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 tabRatio="949" activeTab="4"/>
  </bookViews>
  <sheets>
    <sheet name="მოსალოდნელი სეანსი 2018" sheetId="11" r:id="rId1"/>
    <sheet name=" 2018 მედიკამენტები" sheetId="5" r:id="rId2"/>
    <sheet name="ჰემოდიალიზი სახარჯი 2018" sheetId="7" r:id="rId3"/>
    <sheet name="პერიტ დიალზი 2018" sheetId="9" r:id="rId4"/>
    <sheet name="გამოსაცხადებელი ტენტერები" sheetId="10" r:id="rId5"/>
  </sheets>
  <calcPr calcId="152511"/>
</workbook>
</file>

<file path=xl/calcChain.xml><?xml version="1.0" encoding="utf-8"?>
<calcChain xmlns="http://schemas.openxmlformats.org/spreadsheetml/2006/main">
  <c r="L17" i="9" l="1"/>
  <c r="L18" i="9"/>
  <c r="N12" i="9"/>
  <c r="N13" i="9"/>
  <c r="N14" i="9"/>
  <c r="N15" i="9"/>
  <c r="N19" i="9"/>
  <c r="N20" i="9"/>
  <c r="N23" i="9"/>
  <c r="N25" i="9"/>
  <c r="N26" i="9"/>
  <c r="N11" i="9"/>
  <c r="R5" i="7" l="1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4" i="7"/>
  <c r="U5" i="5"/>
  <c r="U4" i="5"/>
  <c r="U3" i="5"/>
  <c r="U2" i="5"/>
  <c r="E5" i="10" l="1"/>
  <c r="E6" i="10"/>
  <c r="E7" i="10"/>
  <c r="E4" i="10"/>
  <c r="V5" i="7" l="1"/>
  <c r="V4" i="7"/>
  <c r="V7" i="7"/>
  <c r="V10" i="7"/>
  <c r="V11" i="7"/>
  <c r="V14" i="7"/>
  <c r="V15" i="7"/>
  <c r="O5" i="7"/>
  <c r="O6" i="7"/>
  <c r="O7" i="7"/>
  <c r="O8" i="7"/>
  <c r="V8" i="7" s="1"/>
  <c r="O9" i="7"/>
  <c r="O10" i="7"/>
  <c r="O11" i="7"/>
  <c r="O12" i="7"/>
  <c r="V12" i="7" s="1"/>
  <c r="O13" i="7"/>
  <c r="O14" i="7"/>
  <c r="O15" i="7"/>
  <c r="O16" i="7"/>
  <c r="V16" i="7" s="1"/>
  <c r="O17" i="7"/>
  <c r="O18" i="7"/>
  <c r="O19" i="7"/>
  <c r="O20" i="7"/>
  <c r="V20" i="7" s="1"/>
  <c r="O21" i="7"/>
  <c r="O23" i="7"/>
  <c r="O24" i="7"/>
  <c r="O4" i="7"/>
  <c r="U7" i="7"/>
  <c r="U8" i="7"/>
  <c r="U9" i="7"/>
  <c r="V9" i="7" s="1"/>
  <c r="U10" i="7"/>
  <c r="U11" i="7"/>
  <c r="U12" i="7"/>
  <c r="U13" i="7"/>
  <c r="V13" i="7" s="1"/>
  <c r="U14" i="7"/>
  <c r="U15" i="7"/>
  <c r="U16" i="7"/>
  <c r="U17" i="7"/>
  <c r="U18" i="7"/>
  <c r="U19" i="7"/>
  <c r="U20" i="7"/>
  <c r="U21" i="7"/>
  <c r="V21" i="7" s="1"/>
  <c r="U22" i="7"/>
  <c r="U23" i="7"/>
  <c r="U24" i="7"/>
  <c r="K12" i="9" l="1"/>
  <c r="L12" i="9" s="1"/>
  <c r="K13" i="9"/>
  <c r="L13" i="9" s="1"/>
  <c r="K14" i="9"/>
  <c r="K15" i="9"/>
  <c r="L15" i="9" s="1"/>
  <c r="K16" i="9"/>
  <c r="K17" i="9"/>
  <c r="K18" i="9"/>
  <c r="K19" i="9"/>
  <c r="L19" i="9" s="1"/>
  <c r="K20" i="9"/>
  <c r="L20" i="9" s="1"/>
  <c r="K21" i="9"/>
  <c r="K22" i="9"/>
  <c r="K23" i="9"/>
  <c r="L23" i="9" s="1"/>
  <c r="K24" i="9"/>
  <c r="K25" i="9"/>
  <c r="L25" i="9" s="1"/>
  <c r="K26" i="9"/>
  <c r="L26" i="9" s="1"/>
  <c r="K11" i="9"/>
  <c r="L11" i="9" s="1"/>
  <c r="M2" i="5" l="1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3" i="7"/>
  <c r="W24" i="7"/>
  <c r="W4" i="7"/>
  <c r="N22" i="7"/>
  <c r="O22" i="7" s="1"/>
  <c r="V22" i="7" s="1"/>
  <c r="W22" i="7" s="1"/>
  <c r="X25" i="7" l="1"/>
  <c r="G11" i="9"/>
  <c r="L24" i="7" l="1"/>
  <c r="L23" i="7"/>
  <c r="K21" i="7"/>
  <c r="K22" i="7"/>
  <c r="K20" i="7"/>
  <c r="L20" i="7" s="1"/>
  <c r="L19" i="7" l="1"/>
  <c r="K18" i="7"/>
  <c r="K17" i="7"/>
  <c r="L17" i="7" l="1"/>
  <c r="X3" i="5" l="1"/>
  <c r="X4" i="5"/>
  <c r="X5" i="5"/>
  <c r="X2" i="5"/>
  <c r="W3" i="5"/>
  <c r="W4" i="5"/>
  <c r="W5" i="5"/>
  <c r="W2" i="5"/>
  <c r="W6" i="5" s="1"/>
  <c r="O3" i="5" l="1"/>
  <c r="P3" i="5" s="1"/>
  <c r="Q3" i="5" s="1"/>
  <c r="R3" i="5" s="1"/>
  <c r="O4" i="5"/>
  <c r="P4" i="5" s="1"/>
  <c r="O5" i="5"/>
  <c r="P5" i="5" s="1"/>
  <c r="O2" i="5"/>
  <c r="P2" i="5" s="1"/>
  <c r="V2" i="5" l="1"/>
  <c r="V3" i="5"/>
  <c r="V5" i="5"/>
  <c r="V4" i="5"/>
  <c r="M3" i="5"/>
  <c r="M4" i="5"/>
  <c r="M5" i="5"/>
  <c r="I5" i="5"/>
  <c r="I3" i="5"/>
  <c r="H4" i="5"/>
  <c r="I4" i="5" s="1"/>
  <c r="H3" i="5"/>
  <c r="H2" i="5"/>
  <c r="I2" i="5" s="1"/>
  <c r="V6" i="5" l="1"/>
  <c r="J2" i="5" l="1"/>
  <c r="K2" i="5" l="1"/>
  <c r="Q2" i="5" s="1"/>
  <c r="R2" i="5" s="1"/>
  <c r="E32" i="11"/>
  <c r="F32" i="11" s="1"/>
  <c r="G32" i="11"/>
  <c r="H32" i="11" s="1"/>
  <c r="I32" i="11"/>
  <c r="J32" i="11" s="1"/>
  <c r="K32" i="11"/>
  <c r="L32" i="11" s="1"/>
  <c r="M32" i="11"/>
  <c r="N32" i="11" s="1"/>
  <c r="O32" i="11"/>
  <c r="P32" i="11" s="1"/>
  <c r="Q32" i="11"/>
  <c r="R32" i="11" s="1"/>
  <c r="S32" i="11"/>
  <c r="T32" i="11" s="1"/>
  <c r="U32" i="11"/>
  <c r="V32" i="11" s="1"/>
  <c r="W32" i="11"/>
  <c r="X32" i="11" s="1"/>
  <c r="Y32" i="11"/>
  <c r="Z32" i="11" s="1"/>
  <c r="C32" i="11"/>
  <c r="D32" i="11" s="1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4" i="7"/>
  <c r="AA32" i="11" l="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AA28" i="11" l="1"/>
  <c r="M12" i="9" l="1"/>
  <c r="M13" i="9"/>
  <c r="M14" i="9"/>
  <c r="M15" i="9"/>
  <c r="M16" i="9"/>
  <c r="N16" i="9" s="1"/>
  <c r="M17" i="9"/>
  <c r="N17" i="9" s="1"/>
  <c r="M18" i="9"/>
  <c r="N18" i="9" s="1"/>
  <c r="M19" i="9"/>
  <c r="M20" i="9"/>
  <c r="M21" i="9"/>
  <c r="N21" i="9" s="1"/>
  <c r="M22" i="9"/>
  <c r="N22" i="9" s="1"/>
  <c r="M23" i="9"/>
  <c r="M24" i="9"/>
  <c r="N24" i="9" s="1"/>
  <c r="M25" i="9"/>
  <c r="M26" i="9"/>
  <c r="M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M27" i="9" l="1"/>
  <c r="N27" i="9"/>
  <c r="J31" i="9" s="1"/>
  <c r="G27" i="9"/>
  <c r="R25" i="7" l="1"/>
  <c r="Q25" i="7"/>
  <c r="L21" i="7"/>
  <c r="L22" i="7"/>
  <c r="L18" i="7"/>
  <c r="K7" i="7"/>
  <c r="L7" i="7" s="1"/>
  <c r="K8" i="7"/>
  <c r="L8" i="7" s="1"/>
  <c r="K9" i="7"/>
  <c r="L9" i="7" s="1"/>
  <c r="K10" i="7"/>
  <c r="L10" i="7" s="1"/>
  <c r="K11" i="7"/>
  <c r="L11" i="7" s="1"/>
  <c r="K12" i="7"/>
  <c r="L12" i="7" s="1"/>
  <c r="K13" i="7"/>
  <c r="L13" i="7" s="1"/>
  <c r="K14" i="7"/>
  <c r="L14" i="7" s="1"/>
  <c r="K6" i="7"/>
  <c r="L6" i="7" s="1"/>
  <c r="J4" i="5" l="1"/>
  <c r="K4" i="5" l="1"/>
  <c r="Q4" i="5" s="1"/>
  <c r="R4" i="5" s="1"/>
  <c r="J5" i="5"/>
  <c r="K5" i="5" l="1"/>
  <c r="Q5" i="5" s="1"/>
  <c r="R5" i="5" s="1"/>
  <c r="J3" i="5"/>
  <c r="K3" i="5" l="1"/>
</calcChain>
</file>

<file path=xl/comments1.xml><?xml version="1.0" encoding="utf-8"?>
<comments xmlns="http://schemas.openxmlformats.org/spreadsheetml/2006/main">
  <authors>
    <author>Author</author>
  </authors>
  <commentList>
    <comment ref="X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ოქტომრის თვის მაგალითზე, ვინაიდან სეანსები რაოდენობა მზარდია</t>
        </r>
      </text>
    </comment>
    <comment ref="Z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ოქტომრის თვის მაგალითზე, ვინაიდან სეანსები რაოდენობა მზარდია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ვინაიდან მზარდი ციფრია 2018 წლის იანვარს დავიწყებ სექტემბრის თვის ბენეფიციარით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აღებულია დაბალმოლეკულური და არაფარქციული ჰეპარინის ხარჯვის სტანდარტიზირების შესახებ შეხვედრის ოქმიდან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ს.ე,  საპროგნოზო სეანსების 75%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მოსალოდნელი სეანსების მიხედვით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სე, საპროგნოზო სეანსების 25%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ვინაიდან ხარჯვა უფრო მაღალია და არ არის თანაფარდობა დაცული შესყიდვა გამომდინარეობს ხარჯვიდან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შესყიდვა უნდა განხორციელდეს საშ.ხარვის მიხედვით, ვინაიდან თანაფარდობა 75/25% ზუსტი დაცვა ვერ ხერხდება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ს.ე, საპროგნოზო სეანსების 80%, 2000 ერთეული სეანსზე აღებულია 02.11.16წ N111928 წერილიდან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მოსალოდნელი სეანსების მიხედვითვ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მგ, საპროგნოზო სეანსების100%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მოსალოდნელი სეანსების მიხედვით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ხარჯვა დამოკიდებულია იმაზე თუ რა მასალას ვაძლევთ. ზოგი პოზიციის ნაკლებობის გამო მოთხოვნას ვერ ვაკმაყოფილებდით. და ვავსებდით სხვა პოზიციებით (მაგ დიალიზატორებში, k2-k3)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რაოდენობა ჩასმულია სიმბოლურად, თუ დიალიზზე გვეყოლება ბავშვი მის უზრუნველსაყოფად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ამ ეტაპზე პაციენტი არ გვყავს.მარაგის სახით იანვარში გადავა 24 ცალი, ამიტომ ეს რაოდენობა საკმარისი იქნება წლის ბოლომდე ჩასატარებელი სეენსებისთვის (თუ პაციანეტი არ გვეყოლება გადავათამაშემთ სხვა პოზიზიებზე)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რაოდენობა ჩასმულია სიმბოლურად, თუ დიალიზზე გვეყოლება ბავშვი მის უზრუნველსაყოფად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ამ ეტაპზე პაციენტი არ გვყავს.მარაგის სახით იანვარში გადავა 24 ცალი, ამიტომ ეს რაოდენობა საკმარისი იქნება წლის ბოლომდე ჩასატარებელი სეენსებისთვის (თუ პაციანეტი არ გვეყოლება გადავათამაშემთ სხვა პოზიზიებზე)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თუ საჭიროება დადგა, მხოლოდ იმ შემთხვევისთვის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ლიტრი</t>
        </r>
      </text>
    </comment>
    <comment ref="V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შეფუთვიდან გამომდინარე დამრგვალდა</t>
        </r>
      </text>
    </comment>
    <comment ref="V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შეფუთვიდან გამომდინარე დამრგვალდა</t>
        </r>
      </text>
    </comment>
    <comment ref="V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შეფუთვიდან გამომდინარე დამრგვალდა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უნდა გამოაკლდეს ნატრ.ბიკარბ ფხვნილი 12666 სეანსის (ფრეზენიუსს,დიალოგს და ნიკისოს ჯამში)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წერილი 24.10.2017 N106319, 9.10.2017 N100716 აპარატურის განახლებასთან დაკავშირებული წერილები,სადაც განსაზღვრულია კარტრიჯების რაოდენობა</t>
        </r>
      </text>
    </comment>
    <comment ref="V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შეფუთვიდან გამომდინარე დამრგვალდა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მარილის ხარჯვა გაზრდილია წყლის გამო,ამიტომ რაოდენობა მიზანსეწონილია ჩაიდოს მეტი</t>
        </r>
      </text>
    </comment>
    <comment ref="V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შეფუთვიდან გამომდინარე დამრგვალდა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L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დამრგვალდე მეტობით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დამრგვალდა მეტობით</t>
        </r>
      </text>
    </comment>
  </commentList>
</comments>
</file>

<file path=xl/sharedStrings.xml><?xml version="1.0" encoding="utf-8"?>
<sst xmlns="http://schemas.openxmlformats.org/spreadsheetml/2006/main" count="333" uniqueCount="213">
  <si>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</si>
  <si>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</si>
  <si>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</si>
  <si>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</si>
  <si>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</si>
  <si>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</si>
  <si>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</si>
  <si>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</si>
  <si>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</si>
  <si>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№</t>
  </si>
  <si>
    <t>ოქტომბერი</t>
  </si>
  <si>
    <t>შესასყიდი მედიკამნეტის დასახელება</t>
  </si>
  <si>
    <t>1 სეანსზე გასახარჯი რაოდენობა საშუალო</t>
  </si>
  <si>
    <t>ჰეპარინი 25 000 სე</t>
  </si>
  <si>
    <t>ერითროპოეტინი 2000სე</t>
  </si>
  <si>
    <t>რკინის სუკროზა 20მგ/მლ 5მლ</t>
  </si>
  <si>
    <t>შესყიდვა საპროგნოზო სეანსების მიხედვით სე/მგ</t>
  </si>
  <si>
    <t>შესყიდვა საპროგნოზო სეანსების მიხედვით 1 თვე საშუალო (ფლაკნი)</t>
  </si>
  <si>
    <t>დაბალმოლეკულური ჰეპარინი 30000სე</t>
  </si>
  <si>
    <t>სეანსი</t>
  </si>
  <si>
    <t>#</t>
  </si>
  <si>
    <t>დასახელება</t>
  </si>
  <si>
    <t>სახეობა</t>
  </si>
  <si>
    <t xml:space="preserve">ერთეული </t>
  </si>
  <si>
    <t>ერთეულის ფასი (აშშ დოლარი)</t>
  </si>
  <si>
    <t xml:space="preserve">დიალიზატორი სინთეზური მემბრანით ფართი 0.6-0.8 &lt;30 </t>
  </si>
  <si>
    <t>ცალი</t>
  </si>
  <si>
    <t>ა/ვ სისხლის მაგისტრალი (პედიატრიული)</t>
  </si>
  <si>
    <t>6-8/22მმ ჩამცლელი პარკით და სპაიკით, შევსების მოცულობა 55-130მლ, სტერილიზაცია-ორთქლი, რადიაციული (გამა, ბეტა)</t>
  </si>
  <si>
    <t xml:space="preserve">დიალიზატორი სინთეზური მემბრანით ფართი 0.8-1.0 &lt;30 </t>
  </si>
  <si>
    <t>სტერილიზაცია-ორთქლი, რადიაციული (გამა, ბეტა)</t>
  </si>
  <si>
    <t>დიალიზატორი სინთეზური მემბრანით ფართი 1.2-1.3 &lt;30</t>
  </si>
  <si>
    <t>LOPS 12</t>
  </si>
  <si>
    <t>დიალიზატორი სინთეზური მემბრანით ფართი 1.2-1.3 &gt;30</t>
  </si>
  <si>
    <t>HIPS 12</t>
  </si>
  <si>
    <t>დიალიზატორი სინთეზური მემბრანით ფართი 1.4-1.6 &lt;30</t>
  </si>
  <si>
    <t>LOPS 15</t>
  </si>
  <si>
    <t>დიალიზატორი სინთეზური მემბრანით ფართი 1.4-1.6 &gt;30</t>
  </si>
  <si>
    <t>HIPS 15</t>
  </si>
  <si>
    <t>დიალიზატორი სინთეზური მემბრანით ფართი 1.7-1.8 &lt;30</t>
  </si>
  <si>
    <t>LOPS 18</t>
  </si>
  <si>
    <t>დიალიზატორი სინთეზური მემბრანით ფართი 1.7-1.8 &gt;30</t>
  </si>
  <si>
    <t>HIPS 18</t>
  </si>
  <si>
    <t>დიალიზატორი სინთეზური მემბრანით ფართი 2.1-2.4 &lt;30</t>
  </si>
  <si>
    <t>დიალიზატორი სინთეზური მემბრანით ფართი 2.1-2.4 &gt;30</t>
  </si>
  <si>
    <t>HIFLO 23</t>
  </si>
  <si>
    <t xml:space="preserve">ა/ვ ფისტულის საპუნქციე ნემსი             </t>
  </si>
  <si>
    <t>არტერია/ვენა  G16,  ნემსის სიგრძე 20-25მმ, მილის სიგრძე 150-250მმ, სტერილიზაცია-ორთქლი, რადიაციული (გამა, ბეტა)</t>
  </si>
  <si>
    <t>წყვილი</t>
  </si>
  <si>
    <t>მჟავა–კონცენტრატი</t>
  </si>
  <si>
    <t>K2 (Ca 1.5 gl 1)</t>
  </si>
  <si>
    <t xml:space="preserve">ლიტრი (სამუშაო ხსნარი) </t>
  </si>
  <si>
    <t>K3 (Ca 1.5 gl 1)</t>
  </si>
  <si>
    <t>ნატრიუმის ბიკარბონატი</t>
  </si>
  <si>
    <t>ფხვნილი</t>
  </si>
  <si>
    <t>კგ</t>
  </si>
  <si>
    <t>კარტრიჯი Dialog, Nikkiso ტიპის აპარატებისათვის (არანაკლებ 650 გრამისა)</t>
  </si>
  <si>
    <t>კარტრიჯი 4008FMC ტიპის აპარატებისათვის (არანაკლებ 650 გრამისა)</t>
  </si>
  <si>
    <t>კარტრიჯი FMC 4008 S Classic BASIC SN ტიპის აპარატებისათვის (არანაკლებ 650 გრამისა)</t>
  </si>
  <si>
    <t>აპარატის სადეზინფექციო ხსნარი</t>
  </si>
  <si>
    <t>ლიმონმჟავა 50%</t>
  </si>
  <si>
    <t>ლიტრი</t>
  </si>
  <si>
    <t>წყლის დასარბილებელი გრანულირებული (ტაბლეტიზირებული) მარილი</t>
  </si>
  <si>
    <t>შენიშვნა</t>
  </si>
  <si>
    <t>პერიტონეული დიალიზის მასალა</t>
  </si>
  <si>
    <t xml:space="preserve">საქონლის დასახელება </t>
  </si>
  <si>
    <t>ერთეული</t>
  </si>
  <si>
    <t>დიანილი გლუკოზით 1.36% (დექსტროზა 1.5%) 2000 მლ</t>
  </si>
  <si>
    <t>დიანილი გლუკოზით 2.27% (დექსტროზა 2.5%) 2000 მლ</t>
  </si>
  <si>
    <t>დიანილი გლუკოზით 3.86% (დექსტროზა 4.25%) 2000 მლ</t>
  </si>
  <si>
    <t>დიანილი გლუკოზით 1.36% (დექსტროზა 1.5%) 2500 მლ</t>
  </si>
  <si>
    <t>დიანილი გლუკოზით 2.27% (დექსტროზა 2.5%) 2500 მლ</t>
  </si>
  <si>
    <t>დიანილი გლუკოზით 3.86% (დექსტროზა 4.25%) 2500 მლ</t>
  </si>
  <si>
    <t>ექსტრანილი (იკოდექსტრინი 7.5%) 2000 მლ</t>
  </si>
  <si>
    <t>სადეზინფექციო თავსახური</t>
  </si>
  <si>
    <t>კათეტერის დამაგრძელებელი (გადამყვანი)</t>
  </si>
  <si>
    <t>პერიტონეული დიალიზის კათეტერი</t>
  </si>
  <si>
    <t>კათეტერის ადაპტორი (ტიტანის)</t>
  </si>
  <si>
    <t>გამომავალი მაგისტრალის ჩამკეტი</t>
  </si>
  <si>
    <t>დიანილი გლუკოზით 1.36% (დექსტროზა 1.5%) 5000 მლ</t>
  </si>
  <si>
    <t>დიანილი გლუკოზით 2.27% (დექსტროზა 2.5%) 5000 მლ</t>
  </si>
  <si>
    <t>ჩამცლელი (აპდ მიმღები)</t>
  </si>
  <si>
    <t>კასეტა (აპდ სისტემა)</t>
  </si>
  <si>
    <t>საჭიროება სეანსზე (ნეფროლოგიის წერილის გათვალისწინებით)</t>
  </si>
  <si>
    <t>ჯამი (ევრო)</t>
  </si>
  <si>
    <t>საჭიროება  პროგნოზული სეანსების მიხედვით</t>
  </si>
  <si>
    <t>2017 წლის შესყიდვა</t>
  </si>
  <si>
    <t>ფასი (აშშ დოლარი)</t>
  </si>
  <si>
    <t>გაანგარიშებულია 2016 წლის გეგმის, 2016 წელს განხორციელებული შესყიდვის, ხარჯვის და 2017წლის საპროგნოზო მონაცემების გათვალისწინებით</t>
  </si>
  <si>
    <t>შესყიდვა საპროგნოზო ფლაკონები, მოსალოდნელი სეანსების მიხედვით (1 წელი)</t>
  </si>
  <si>
    <t>საჭიროება 1 სეანსზე პოზიციაბზე  გადანაწილებით</t>
  </si>
  <si>
    <t>შენიშვნა: 1 და 2 პოზიციის შესყიდვა განხორციელდება მხოლოდ იმ შემთხევვაში თუ იქნება საჭიროება კონკრეტული ბენეფიციარისთვის</t>
  </si>
  <si>
    <t>2016 წელი გათვლილი იყო 110 ბეენფიციარზე</t>
  </si>
  <si>
    <t>საშუალო ბენეფიციარი 2016 წ. =92.5  (9 თვის მონაცემი)</t>
  </si>
  <si>
    <t>N</t>
  </si>
  <si>
    <t>მედიკამენტის დასახელება</t>
  </si>
  <si>
    <t>01.01.2017 მარაგი თვე</t>
  </si>
  <si>
    <t>დიალიზი და თირკმლის ტრანსპლანტაცია (პროგრამული კოდი 35 03 03 04)</t>
  </si>
  <si>
    <t>ჰემო და პერიტონეული დიალიზისათვის საჭირო სადიალიზე საშუალების, მასალისა და მედიკამენტების შესყიდვა და მიწოდება</t>
  </si>
  <si>
    <t>მჟავა–კონცენტრატი K-2</t>
  </si>
  <si>
    <t>მჟავა–კონცენტრატი K-3</t>
  </si>
  <si>
    <t>ნატრიუმის ბიკარბონატი (ფხვნილი)</t>
  </si>
  <si>
    <t>ნატრიუმის ბიკარბონატი  (Dialog, Nikkiso)</t>
  </si>
  <si>
    <t>ნატრიუმის ბიკარბონატი (4008FMC)</t>
  </si>
  <si>
    <t>ნატრიუმის ბიკარბონატი (FMC 4008 S Classic BASIC SN)</t>
  </si>
  <si>
    <t>2017 წლის ბენეფიციარის რაოდენობა და სეანსი კლინიკების მიხედვით</t>
  </si>
  <si>
    <t>2017წლის ბენეფიციარი ჯამურად თვეში,დაყვანილი 1 პირზე</t>
  </si>
  <si>
    <t>მიმწოდებელი დაწესებულებები</t>
  </si>
  <si>
    <t>ბენეფიციარი</t>
  </si>
  <si>
    <t>სეანსები</t>
  </si>
  <si>
    <t>სს აკად. კ. ერისთავის სახ. ექსპერიმენტული და კლინიკური ქირურგიის ეროვნული ცენტრი (მის. ქ. თბილისი, ჩაჩავას №5)</t>
  </si>
  <si>
    <t>ბათუმის რესპუბლიკური კლინიკური საავადმყოფო (მის. ქ. ბათუმი, აბუსერიძის ქ. №2)</t>
  </si>
  <si>
    <t>შპს  წულუკიძის სახ. უროლოგიის ეროვნული ცენტრი (მის. ქ. თბილისი, წინანდლის ქ. №9)</t>
  </si>
  <si>
    <t>შპს ,,ვია ვიტა” ბათუმის ფილიალი (მის. ქ. ბათუმი, ტბეთის ქ. №5)</t>
  </si>
  <si>
    <t>შპს ,,ვია ვიტა”  (მის. ქ. თბილისი, ლიუბლიანას ქ. №2/6)</t>
  </si>
  <si>
    <t xml:space="preserve"> შპს ,,ვია ვიტა” ზესტაფონის ფილიალი (მის. ქ. ზესტაფონი, უზნაძის ქ. №142) </t>
  </si>
  <si>
    <t>შპს ,,ვია ვიტა”  (მის: ქ.თბილისი თემქა, მე-11 მრ/რ  I- კვარტალი , მე-5 კლინიკური საავადმყოფო)</t>
  </si>
  <si>
    <t>სს "სამედიცინო კორპორაცია ევექსი" - ზუგდიდის რეფერალური ჰოსპიტალი (მის. ქ. ზუგდიდი, გამსახურდიას 206)</t>
  </si>
  <si>
    <t xml:space="preserve">შპს ,,მად ი მედი"  (მის.  ქ. მარნეული, 26 მაისის ქ. №80) </t>
  </si>
  <si>
    <t xml:space="preserve"> საქართველოს თავდაცვის სამინისტროს სამხედრო ჰოსპიტალი (მის. ქ. გორი, ჭავჭავაძის ქ. №56)</t>
  </si>
  <si>
    <t>შპს ,,წმინდა პანტელეიმონ მკურნალის სახელობის კლინიკა” (მის. ქ. ბორჯომი, ვაშლოვანის ქ. №4)</t>
  </si>
  <si>
    <t xml:space="preserve">შპს ,, ნეფროლოგიის განვითარების კლინიკური ცენტრი’’ (მის. ქ. თბილისი, წინანდლის ქ. №9) </t>
  </si>
  <si>
    <t>შპს ,,აკად. ნ. ყიფშიძის სახ. ცენტრალური საუნივერსიტეტო კლინიკა” (მის. ქ. თბილისი, ვაჟა-ფშაველას 29)</t>
  </si>
  <si>
    <t>ააიპ ,,კახეთი იონი"  (მის. გურჯაანი, რუსთაველის #22)</t>
  </si>
  <si>
    <t xml:space="preserve">შპს ,,ჰაიმედი" (მის. ქ. რუსთავი, მე-7 მიკრორაიონი) </t>
  </si>
  <si>
    <t>შპს ,,უნიმედი აჭარა" (ქობულეთი, მ. აბაშიძის ქ. N18)</t>
  </si>
  <si>
    <t>შპს ,,რეფერალური დახმარების ცენტრი" (ქ. თბილისი, ლუბლიანას #18/20)</t>
  </si>
  <si>
    <t>შპს ,,რეფერალური დახმარების ცენტრი’’(ხაშურის ფილიალი),   მის: ქ.ხაშური, რუსთაველის ქ.N38</t>
  </si>
  <si>
    <t>შპპ  ,,მეტაკო"  (ქ. ქუთაისი, გალაქტიონ ტაბიძის ქ.N72)</t>
  </si>
  <si>
    <t>შპპ  ,,მეტაკო"  (ოზურგეთი, გ. ერისთავის N21)</t>
  </si>
  <si>
    <t>შპს „ბათუმის დიალიზისა და ნეფროლოგიის ცენტრი“  (მის. ქ. ბათუმი, პუშკინის ქ. №118)</t>
  </si>
  <si>
    <t>შპს "ნეფროლოგიისა და დიალიზის კლინიკა" NDC  (ქ.სამტრედია ჭანტურიას ქ . N53)</t>
  </si>
  <si>
    <t>შპს "უნიმედი აჭარა" - ქუთაისის ონკოლოგიის ცენტრი (მის: ქ.ქუთაისი, ჯავახიშვილი ქუჩა N85)</t>
  </si>
  <si>
    <t>შპს განთიადი (მის: ლაგოდეხი სოფ. აფენი)</t>
  </si>
  <si>
    <t>შპს "უნიმედი კახეთი" - თელავის რეფერალური ჰოსპიტალი (ქ. თელავი, სეხნიაშვილის ქ. N1)</t>
  </si>
  <si>
    <t>ნოემბერი</t>
  </si>
  <si>
    <t>დეკემბერი</t>
  </si>
  <si>
    <t>2018 წლის საპროგნოზე სეანსები</t>
  </si>
  <si>
    <t>სეანსების რაოდენობა საპროგნოზო 2018</t>
  </si>
  <si>
    <t>ახალი ბენეფიციარი საპროგნოზო 2018</t>
  </si>
  <si>
    <t>შესყიდვა 2017 წლის ხარჯვის გათვალისწინებით (მხოლოდ დაბალმოლეკულური ჰეპარინი)</t>
  </si>
  <si>
    <t xml:space="preserve">შესყიდვა 2018 </t>
  </si>
  <si>
    <t>ერთეულის ფასი ლარი სახელშეკრულებო (2017 წელი)</t>
  </si>
  <si>
    <t>ბენეფიციარის მატება თვეში  (2017 წელს შადგინა საშუალოდ 16 ახალი პაციენტი (9 თვის მონაცემი)</t>
  </si>
  <si>
    <t>შესყიდვა 2017</t>
  </si>
  <si>
    <t>შესყიდვა 2017 (შეთანხმებით პოზიციების გადათამაშება)</t>
  </si>
  <si>
    <t>ერთეულის ფასი (ევრო) 2017 წლის შესყიდვის მიხედვით</t>
  </si>
  <si>
    <t xml:space="preserve">2018 წლის საპროგნოზო ბენეფიციარები </t>
  </si>
  <si>
    <t>მოსალოდნელი ახალი ბენეფიციარი 2018 წელს –216</t>
  </si>
  <si>
    <t>216 ბენეფიციარი/2808 სეანსი</t>
  </si>
  <si>
    <t>საშუალო ხარჯვა ხელშეკრულების მიხედვით (01.02.2017-01.12.2017) 10 თვე</t>
  </si>
  <si>
    <t>მოსალოდნელი საპროგნოზო სეანსი 2018 წელს – 393 276, საშუალო სეანსი თვეში – 32 721</t>
  </si>
  <si>
    <t>10 თვე რეალურად ჩატარებული სეანსები</t>
  </si>
  <si>
    <t xml:space="preserve"> 2017 წლის საშუალო ხარჯვის მონაცემების მიხედვით 12 თვის საჭიროება</t>
  </si>
  <si>
    <t>2017 წლის 16 ნოემბრის მდგომარეობით არსებული ნაშთი (განაწილებულია 2017 წლის ნოემბრის ჩათვლით)</t>
  </si>
  <si>
    <t>სავარაუდო ნაშთი 2018 წლის 1 იანვრისთვის</t>
  </si>
  <si>
    <t>მარაგი (თვე) 2018 წლის 1 იანვრის შემდგომ</t>
  </si>
  <si>
    <t>2018 შესასყიდი რაოდენობა (12 თვე+ ბუფერი 1 თვე )</t>
  </si>
  <si>
    <t>შესყიდვა 2018  (დამრგვალებული)</t>
  </si>
  <si>
    <t>სახელშეკრულებო ღირებულება 2017 წელი</t>
  </si>
  <si>
    <t>რაოდენობრივი სხვაობა 2017წლის შესყიდვასთან მიმართებით</t>
  </si>
  <si>
    <t>შესყიდვა 2017 დაკორექტორებული (პოზიციების გადათამაშება საჭიროებისდამიხედვით)</t>
  </si>
  <si>
    <t>შესყიდვა 2017 (დაგეგმილი, გამოცხადებული ტენდერის მიხევით)</t>
  </si>
  <si>
    <t>შესყიდვა 2018 დამრგვალებული</t>
  </si>
  <si>
    <t>მოთხოვნა საშუალო თვეში   (11 თვე)</t>
  </si>
  <si>
    <t>2018 წლის საპროგნოზო სეანსები</t>
  </si>
  <si>
    <t>2018 საპროგნოზო  სეანსები</t>
  </si>
  <si>
    <t xml:space="preserve">ა/ვ ფისტულის საპუნქციე ნემსი        </t>
  </si>
  <si>
    <t>შესყიდვა 2018 მარაგის გათვალისწინებით</t>
  </si>
  <si>
    <t>სავარაუდო ნაშთი 2018 წლის 1 იანვრის მდგომარეობით (2017 წლის ხელშეკრულების მიხედვით)</t>
  </si>
  <si>
    <t>საერთო ღირებულება (აშშ დოლარი) 2017 წელი</t>
  </si>
  <si>
    <t>2017 წლის ოქტომბრის ჩათვლით პერიტონეული დიალიზის მოსარგებლეა 105 ბენეფიციარი</t>
  </si>
  <si>
    <t>გაპასიაურდა 12 ბენეფიციარი</t>
  </si>
  <si>
    <t>მოკვდა 9 ბენეფიციარი</t>
  </si>
  <si>
    <t>ჩაერთო ახალი 22 ბენეფიციარი</t>
  </si>
  <si>
    <t>ნაშთი 2017 წლის  1 დეკემბრის მდგომარეობით</t>
  </si>
  <si>
    <t>ღირებულება (ევრო)</t>
  </si>
  <si>
    <t>საშუალო ხარჯვა  (10 თვე) თვეში</t>
  </si>
  <si>
    <t xml:space="preserve">საშუალო ხარჯვა </t>
  </si>
  <si>
    <t xml:space="preserve">დაგეგმილი შესყიდვის მიხედვით საშუალო ხარჯვა  თვეში </t>
  </si>
  <si>
    <t>სავარაუდო ნაშთი 01.01.2018 წლისთვის</t>
  </si>
  <si>
    <t>საშუალო ხარჯვა  (11 თვე) თვეში</t>
  </si>
  <si>
    <t>გამოიყენება პაციენტის არსებობის შემთხვევაში, შესაბამისად მარაგის ოდენობა უცნობია</t>
  </si>
  <si>
    <t>ტენდერი გამოსაცხადებელია 2017წ , დეფიციტების თავიდან აცილების მიზნით</t>
  </si>
  <si>
    <t>ტენდერი გამოსაცხადებელია 2017წ , დეფიციტების თავიდან აცილების მიზნით, ვინაიდან ზოგიერთი პოზიცია საკმარისია იანვრის ჩათვლით, და სეანსების მომატების შემთხვევაში, შესაძლოა შეიქმნას ჰემოდიალიზის ჩატარების პრობლემა</t>
  </si>
  <si>
    <t>ტენდერი გამოსაცხადებელია 2017წ , დეფიციტების თავიდან აცილების მიზნით, ვინაიდან ზოგიერთი პოზიცია იანვრის პირველ კვირაში იწურება და შეძლებელი იქნება ახალი პაციენტის ჩართვა</t>
  </si>
  <si>
    <t>შესასყიდი რაოდენობა 2018</t>
  </si>
  <si>
    <t>ერთეულის ფასი  გამოყვანილია სახელშეკრულებო ერთ. ღირებულება გაყოფილი ხელშ.დადების დღეს არსებულ კურსზე და გამრავლებული 2.6673(12.12.2017)კურსზე</t>
  </si>
  <si>
    <t>მოსალოდნელი ღირებულება 2018 (ლარი)</t>
  </si>
  <si>
    <t>ღირებულება (ლარი) 1 ევრო 3.1466 ლარი –12.12.2017</t>
  </si>
  <si>
    <t>ჯამი ლარი  (1ევრო =3.1466 ლარს (12.12.2017)</t>
  </si>
  <si>
    <t>საშუალო ხარჯვა ერთ თვეში (10 თვიდან გამომდინარე) სააგენტოს განაწილების მიხედვით</t>
  </si>
  <si>
    <t>ფასი (ლარი 1 აშშ დოლარი =2.6673 ლარი (12.12.2017)</t>
  </si>
  <si>
    <t>სულ კომპონენტის ბიუჯეტი</t>
  </si>
  <si>
    <r>
      <t xml:space="preserve">ა/ვ სისხლის მაგისტრალი </t>
    </r>
    <r>
      <rPr>
        <sz val="8"/>
        <rFont val="Sylfaen"/>
        <family val="1"/>
      </rPr>
      <t>(2008FMC-4008FMC, Dialog+, Nikkiso)</t>
    </r>
  </si>
  <si>
    <t>4.7</t>
  </si>
  <si>
    <t>3.4</t>
  </si>
  <si>
    <t>4.2</t>
  </si>
  <si>
    <t>14.0</t>
  </si>
  <si>
    <t>3.7</t>
  </si>
  <si>
    <t>6.0</t>
  </si>
  <si>
    <t>7.8</t>
  </si>
  <si>
    <t>1.5</t>
  </si>
  <si>
    <t>7.2</t>
  </si>
  <si>
    <t>6.7</t>
  </si>
  <si>
    <t>0.7</t>
  </si>
  <si>
    <t>14.2</t>
  </si>
  <si>
    <t>4.5</t>
  </si>
  <si>
    <t>4.4</t>
  </si>
  <si>
    <r>
      <t>შევსების მოცულობა 15-55</t>
    </r>
    <r>
      <rPr>
        <sz val="7"/>
        <color theme="1"/>
        <rFont val="Sylfaen"/>
        <family val="1"/>
      </rPr>
      <t>მლ, სტერილიზაცია-ორთქლი, რადიაციული (გამა, ბეტა)</t>
    </r>
  </si>
  <si>
    <r>
      <t xml:space="preserve">ა/ვ სისხლის მაგისტრალი </t>
    </r>
    <r>
      <rPr>
        <sz val="7"/>
        <rFont val="Sylfaen"/>
        <family val="1"/>
      </rPr>
      <t>(2008FMC-4008FMC,FMC 5008,FMC5008S, Dialog+, Nikkiso, NIPRO SURDIAL X)</t>
    </r>
  </si>
  <si>
    <r>
      <t xml:space="preserve"> ჩამცლელი პარკით და სპაიკით, სტერილიზაცია-ორთქლი, რადიაციული (გამა, ბეტა), </t>
    </r>
    <r>
      <rPr>
        <sz val="7"/>
        <color theme="1"/>
        <rFont val="Arial"/>
        <family val="2"/>
      </rPr>
      <t xml:space="preserve">ETO </t>
    </r>
    <r>
      <rPr>
        <sz val="7"/>
        <color theme="1"/>
        <rFont val="AcadNusx"/>
      </rPr>
      <t>**</t>
    </r>
  </si>
  <si>
    <r>
      <t>საპროგნოზო სეანსების პროცენტული გადანაწილება თითოეული მედიკამენტისთვის (</t>
    </r>
    <r>
      <rPr>
        <sz val="8"/>
        <color rgb="FFFF0000"/>
        <rFont val="Calibri"/>
        <family val="2"/>
        <scheme val="minor"/>
      </rPr>
      <t>393276 სეანსში</t>
    </r>
    <r>
      <rPr>
        <sz val="8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</si>
</sst>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_(* #,##0.000_);_(* \(#,##0.000\);_(* &quot;-&quot;??_);_(@_)"/>
    <numFmt numFmtId="166" formatCode="_(* #,##0.0000_);_(* \(#,##0.0000\);_(* &quot;-&quot;??_);_(@_)"/>
    <numFmt numFmtId="167" formatCode="0.0"/>
    <numFmt numFmtId="168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AcadNusx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2"/>
      <name val="GeoABC"/>
      <family val="2"/>
    </font>
    <font>
      <sz val="8"/>
      <color theme="1"/>
      <name val="AcadNusx"/>
    </font>
    <font>
      <sz val="8"/>
      <color theme="1"/>
      <name val="Calibri"/>
      <family val="2"/>
      <charset val="204"/>
      <scheme val="minor"/>
    </font>
    <font>
      <sz val="8"/>
      <name val="Calibri"/>
      <family val="2"/>
    </font>
    <font>
      <sz val="9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name val="AcadNusx"/>
    </font>
    <font>
      <sz val="8"/>
      <color rgb="FFFF0000"/>
      <name val="Calibri"/>
      <family val="2"/>
      <scheme val="minor"/>
    </font>
    <font>
      <sz val="8"/>
      <name val="Sylfaen"/>
      <family val="1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AcadMtavr"/>
    </font>
    <font>
      <sz val="7"/>
      <name val="AcadNusx"/>
    </font>
    <font>
      <sz val="7"/>
      <name val="Calibri"/>
      <family val="2"/>
      <scheme val="minor"/>
    </font>
    <font>
      <sz val="7"/>
      <color theme="1"/>
      <name val="Sylfaen"/>
      <family val="1"/>
    </font>
    <font>
      <sz val="7"/>
      <color theme="1"/>
      <name val="AcadNusx"/>
    </font>
    <font>
      <sz val="7"/>
      <color rgb="FFFF0000"/>
      <name val="Calibri"/>
      <family val="2"/>
      <scheme val="minor"/>
    </font>
    <font>
      <sz val="7"/>
      <name val="Arial"/>
      <family val="2"/>
      <charset val="204"/>
    </font>
    <font>
      <sz val="7"/>
      <name val="Sylfaen"/>
      <family val="1"/>
    </font>
    <font>
      <sz val="7"/>
      <color theme="1"/>
      <name val="Arial"/>
      <family val="2"/>
    </font>
    <font>
      <sz val="7"/>
      <name val="სყ"/>
    </font>
    <font>
      <sz val="8"/>
      <color theme="1"/>
      <name val="Calibri"/>
      <family val="2"/>
    </font>
    <font>
      <b/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8" borderId="0" applyNumberFormat="0" applyBorder="0" applyAlignment="0" applyProtection="0"/>
    <xf numFmtId="0" fontId="12" fillId="12" borderId="0" applyNumberFormat="0" applyBorder="0" applyAlignment="0" applyProtection="0"/>
    <xf numFmtId="0" fontId="13" fillId="29" borderId="8" applyNumberFormat="0" applyAlignment="0" applyProtection="0"/>
    <xf numFmtId="0" fontId="14" fillId="30" borderId="9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16" borderId="8" applyNumberFormat="0" applyAlignment="0" applyProtection="0"/>
    <xf numFmtId="0" fontId="21" fillId="0" borderId="13" applyNumberFormat="0" applyFill="0" applyAlignment="0" applyProtection="0"/>
    <xf numFmtId="0" fontId="22" fillId="31" borderId="0" applyNumberFormat="0" applyBorder="0" applyAlignment="0" applyProtection="0"/>
    <xf numFmtId="0" fontId="8" fillId="32" borderId="14" applyNumberFormat="0" applyFont="0" applyAlignment="0" applyProtection="0"/>
    <xf numFmtId="0" fontId="23" fillId="29" borderId="15" applyNumberFormat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</cellStyleXfs>
  <cellXfs count="199">
    <xf numFmtId="0" fontId="0" fillId="0" borderId="0" xfId="0"/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/>
    <xf numFmtId="0" fontId="7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" fontId="9" fillId="10" borderId="5" xfId="2" applyNumberFormat="1" applyFont="1" applyFill="1" applyBorder="1" applyAlignment="1">
      <alignment horizontal="center" vertical="center" wrapText="1"/>
    </xf>
    <xf numFmtId="2" fontId="9" fillId="10" borderId="2" xfId="2" applyNumberFormat="1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/>
    </xf>
    <xf numFmtId="1" fontId="9" fillId="10" borderId="5" xfId="2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6" fillId="33" borderId="5" xfId="0" applyFont="1" applyFill="1" applyBorder="1" applyAlignment="1">
      <alignment horizontal="center" vertical="center" wrapText="1"/>
    </xf>
    <xf numFmtId="0" fontId="29" fillId="33" borderId="5" xfId="0" applyFont="1" applyFill="1" applyBorder="1" applyAlignment="1">
      <alignment horizontal="center" vertical="center" wrapText="1"/>
    </xf>
    <xf numFmtId="1" fontId="6" fillId="33" borderId="5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vertical="center" wrapText="1"/>
    </xf>
    <xf numFmtId="43" fontId="6" fillId="0" borderId="5" xfId="1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37" fillId="0" borderId="5" xfId="1" applyFont="1" applyBorder="1" applyAlignment="1">
      <alignment horizontal="center" vertical="center"/>
    </xf>
    <xf numFmtId="0" fontId="33" fillId="0" borderId="5" xfId="0" applyFont="1" applyBorder="1" applyAlignment="1">
      <alignment wrapText="1"/>
    </xf>
    <xf numFmtId="0" fontId="33" fillId="0" borderId="5" xfId="0" applyFont="1" applyBorder="1" applyAlignment="1">
      <alignment horizontal="center" vertical="center" wrapText="1"/>
    </xf>
    <xf numFmtId="167" fontId="31" fillId="0" borderId="5" xfId="0" applyNumberFormat="1" applyFont="1" applyBorder="1" applyAlignment="1">
      <alignment horizontal="center" vertical="center" wrapText="1"/>
    </xf>
    <xf numFmtId="1" fontId="3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" fontId="9" fillId="0" borderId="5" xfId="2" applyNumberFormat="1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43" fontId="9" fillId="0" borderId="5" xfId="1" applyFont="1" applyFill="1" applyBorder="1" applyAlignment="1"/>
    <xf numFmtId="43" fontId="9" fillId="0" borderId="2" xfId="1" applyFont="1" applyFill="1" applyBorder="1" applyAlignment="1"/>
    <xf numFmtId="1" fontId="9" fillId="0" borderId="1" xfId="2" applyNumberFormat="1" applyFont="1" applyFill="1" applyBorder="1" applyAlignment="1">
      <alignment wrapText="1"/>
    </xf>
    <xf numFmtId="43" fontId="37" fillId="2" borderId="5" xfId="1" applyFont="1" applyFill="1" applyBorder="1" applyAlignment="1"/>
    <xf numFmtId="43" fontId="5" fillId="0" borderId="5" xfId="1" applyFont="1" applyBorder="1" applyAlignment="1">
      <alignment wrapText="1"/>
    </xf>
    <xf numFmtId="43" fontId="5" fillId="0" borderId="0" xfId="1" applyFont="1" applyAlignment="1">
      <alignment wrapText="1"/>
    </xf>
    <xf numFmtId="43" fontId="5" fillId="3" borderId="0" xfId="1" applyFont="1" applyFill="1" applyAlignment="1">
      <alignment wrapText="1"/>
    </xf>
    <xf numFmtId="0" fontId="5" fillId="39" borderId="5" xfId="0" applyFont="1" applyFill="1" applyBorder="1" applyAlignment="1">
      <alignment wrapText="1"/>
    </xf>
    <xf numFmtId="43" fontId="5" fillId="0" borderId="0" xfId="0" applyNumberFormat="1" applyFont="1" applyAlignment="1">
      <alignment horizontal="center" vertical="center" wrapText="1"/>
    </xf>
    <xf numFmtId="43" fontId="5" fillId="39" borderId="0" xfId="0" applyNumberFormat="1" applyFont="1" applyFill="1" applyAlignment="1">
      <alignment horizontal="center" vertical="center" wrapText="1"/>
    </xf>
    <xf numFmtId="0" fontId="6" fillId="39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/>
    </xf>
    <xf numFmtId="43" fontId="9" fillId="0" borderId="5" xfId="1" applyFont="1" applyFill="1" applyBorder="1" applyAlignment="1">
      <alignment horizontal="center" wrapText="1"/>
    </xf>
    <xf numFmtId="43" fontId="9" fillId="0" borderId="5" xfId="1" applyFont="1" applyFill="1" applyBorder="1" applyAlignment="1">
      <alignment horizontal="center"/>
    </xf>
    <xf numFmtId="1" fontId="6" fillId="0" borderId="5" xfId="0" applyNumberFormat="1" applyFont="1" applyBorder="1" applyAlignment="1">
      <alignment vertical="center"/>
    </xf>
    <xf numFmtId="49" fontId="6" fillId="0" borderId="5" xfId="0" applyNumberFormat="1" applyFont="1" applyBorder="1"/>
    <xf numFmtId="49" fontId="6" fillId="0" borderId="0" xfId="0" applyNumberFormat="1" applyFont="1"/>
    <xf numFmtId="49" fontId="6" fillId="3" borderId="5" xfId="0" applyNumberFormat="1" applyFont="1" applyFill="1" applyBorder="1"/>
    <xf numFmtId="0" fontId="6" fillId="0" borderId="0" xfId="0" applyFont="1" applyAlignment="1">
      <alignment horizontal="center" vertical="center" wrapText="1"/>
    </xf>
    <xf numFmtId="43" fontId="5" fillId="6" borderId="5" xfId="1" applyFont="1" applyFill="1" applyBorder="1" applyAlignment="1">
      <alignment horizontal="center" vertical="center" wrapText="1"/>
    </xf>
    <xf numFmtId="167" fontId="6" fillId="0" borderId="0" xfId="0" applyNumberFormat="1" applyFont="1"/>
    <xf numFmtId="0" fontId="38" fillId="0" borderId="0" xfId="0" applyFont="1"/>
    <xf numFmtId="0" fontId="38" fillId="7" borderId="5" xfId="0" applyFont="1" applyFill="1" applyBorder="1"/>
    <xf numFmtId="0" fontId="38" fillId="2" borderId="0" xfId="0" applyFont="1" applyFill="1" applyAlignment="1">
      <alignment horizontal="center"/>
    </xf>
    <xf numFmtId="0" fontId="38" fillId="2" borderId="0" xfId="0" applyFont="1" applyFill="1"/>
    <xf numFmtId="43" fontId="38" fillId="2" borderId="0" xfId="1" applyFont="1" applyFill="1" applyAlignment="1">
      <alignment vertical="center"/>
    </xf>
    <xf numFmtId="0" fontId="38" fillId="0" borderId="0" xfId="0" applyFont="1" applyAlignment="1">
      <alignment wrapText="1"/>
    </xf>
    <xf numFmtId="0" fontId="39" fillId="0" borderId="5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5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wrapText="1"/>
    </xf>
    <xf numFmtId="0" fontId="40" fillId="2" borderId="5" xfId="0" applyFont="1" applyFill="1" applyBorder="1" applyAlignment="1">
      <alignment horizontal="center" vertical="center" wrapText="1"/>
    </xf>
    <xf numFmtId="43" fontId="40" fillId="2" borderId="5" xfId="1" applyFont="1" applyFill="1" applyBorder="1" applyAlignment="1">
      <alignment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vertical="center" wrapText="1"/>
    </xf>
    <xf numFmtId="0" fontId="38" fillId="4" borderId="5" xfId="0" applyFont="1" applyFill="1" applyBorder="1" applyAlignment="1">
      <alignment horizontal="center" vertical="center" wrapText="1"/>
    </xf>
    <xf numFmtId="0" fontId="38" fillId="39" borderId="5" xfId="0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43" fontId="40" fillId="5" borderId="2" xfId="1" applyFont="1" applyFill="1" applyBorder="1" applyAlignment="1">
      <alignment horizontal="center" vertical="center" wrapText="1"/>
    </xf>
    <xf numFmtId="43" fontId="44" fillId="0" borderId="5" xfId="1" applyFont="1" applyBorder="1" applyAlignment="1">
      <alignment horizontal="center"/>
    </xf>
    <xf numFmtId="43" fontId="45" fillId="2" borderId="5" xfId="1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43" fontId="45" fillId="2" borderId="5" xfId="1" applyFont="1" applyFill="1" applyBorder="1" applyAlignment="1">
      <alignment vertical="center" wrapText="1"/>
    </xf>
    <xf numFmtId="43" fontId="38" fillId="6" borderId="5" xfId="1" applyFont="1" applyFill="1" applyBorder="1" applyAlignment="1">
      <alignment horizontal="center" vertical="center" wrapText="1"/>
    </xf>
    <xf numFmtId="168" fontId="38" fillId="6" borderId="5" xfId="1" applyNumberFormat="1" applyFont="1" applyFill="1" applyBorder="1" applyAlignment="1">
      <alignment horizontal="center" vertical="center" wrapText="1"/>
    </xf>
    <xf numFmtId="43" fontId="41" fillId="0" borderId="5" xfId="1" applyFont="1" applyBorder="1" applyAlignment="1">
      <alignment horizontal="center" vertical="center"/>
    </xf>
    <xf numFmtId="43" fontId="38" fillId="0" borderId="5" xfId="1" applyFont="1" applyBorder="1"/>
    <xf numFmtId="167" fontId="38" fillId="0" borderId="5" xfId="0" applyNumberFormat="1" applyFont="1" applyBorder="1"/>
    <xf numFmtId="43" fontId="38" fillId="39" borderId="5" xfId="0" applyNumberFormat="1" applyFont="1" applyFill="1" applyBorder="1"/>
    <xf numFmtId="43" fontId="38" fillId="0" borderId="5" xfId="0" applyNumberFormat="1" applyFont="1" applyBorder="1"/>
    <xf numFmtId="168" fontId="38" fillId="6" borderId="5" xfId="1" applyNumberFormat="1" applyFont="1" applyFill="1" applyBorder="1" applyAlignment="1">
      <alignment horizontal="left" vertical="center" wrapText="1"/>
    </xf>
    <xf numFmtId="43" fontId="39" fillId="5" borderId="2" xfId="1" applyFont="1" applyFill="1" applyBorder="1" applyAlignment="1">
      <alignment horizontal="center" vertical="center" wrapText="1"/>
    </xf>
    <xf numFmtId="166" fontId="41" fillId="0" borderId="5" xfId="1" applyNumberFormat="1" applyFont="1" applyBorder="1" applyAlignment="1">
      <alignment horizontal="center" vertical="center"/>
    </xf>
    <xf numFmtId="168" fontId="38" fillId="39" borderId="5" xfId="0" applyNumberFormat="1" applyFont="1" applyFill="1" applyBorder="1"/>
    <xf numFmtId="16" fontId="43" fillId="0" borderId="5" xfId="0" applyNumberFormat="1" applyFont="1" applyBorder="1" applyAlignment="1">
      <alignment horizontal="center" vertical="center" wrapText="1"/>
    </xf>
    <xf numFmtId="43" fontId="44" fillId="0" borderId="5" xfId="1" applyFont="1" applyBorder="1" applyAlignment="1">
      <alignment horizontal="center" vertical="center"/>
    </xf>
    <xf numFmtId="43" fontId="45" fillId="6" borderId="5" xfId="1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43" fontId="45" fillId="2" borderId="5" xfId="1" applyFont="1" applyFill="1" applyBorder="1" applyAlignment="1">
      <alignment horizontal="center" wrapText="1"/>
    </xf>
    <xf numFmtId="164" fontId="45" fillId="2" borderId="5" xfId="0" applyNumberFormat="1" applyFont="1" applyFill="1" applyBorder="1" applyAlignment="1">
      <alignment horizontal="center" vertical="center" wrapText="1"/>
    </xf>
    <xf numFmtId="43" fontId="39" fillId="2" borderId="5" xfId="1" applyFont="1" applyFill="1" applyBorder="1" applyAlignment="1">
      <alignment horizontal="center" wrapText="1"/>
    </xf>
    <xf numFmtId="0" fontId="48" fillId="0" borderId="5" xfId="0" applyFont="1" applyFill="1" applyBorder="1" applyAlignment="1">
      <alignment horizontal="center" vertical="center" wrapText="1"/>
    </xf>
    <xf numFmtId="9" fontId="40" fillId="0" borderId="5" xfId="0" applyNumberFormat="1" applyFont="1" applyFill="1" applyBorder="1" applyAlignment="1">
      <alignment horizontal="center" vertical="center" wrapText="1"/>
    </xf>
    <xf numFmtId="165" fontId="41" fillId="0" borderId="5" xfId="1" applyNumberFormat="1" applyFont="1" applyBorder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/>
    <xf numFmtId="0" fontId="45" fillId="0" borderId="0" xfId="0" applyFont="1" applyFill="1" applyAlignment="1">
      <alignment wrapText="1"/>
    </xf>
    <xf numFmtId="0" fontId="45" fillId="2" borderId="0" xfId="0" applyFont="1" applyFill="1" applyAlignment="1">
      <alignment horizontal="center" wrapText="1"/>
    </xf>
    <xf numFmtId="0" fontId="45" fillId="2" borderId="0" xfId="0" applyFont="1" applyFill="1" applyAlignment="1">
      <alignment wrapText="1"/>
    </xf>
    <xf numFmtId="43" fontId="45" fillId="2" borderId="0" xfId="1" applyFont="1" applyFill="1" applyBorder="1" applyAlignment="1">
      <alignment vertical="center" wrapText="1"/>
    </xf>
    <xf numFmtId="43" fontId="44" fillId="0" borderId="0" xfId="1" applyFont="1" applyAlignment="1">
      <alignment wrapText="1"/>
    </xf>
    <xf numFmtId="43" fontId="44" fillId="0" borderId="0" xfId="1" applyFont="1"/>
    <xf numFmtId="43" fontId="44" fillId="2" borderId="0" xfId="0" applyNumberFormat="1" applyFont="1" applyFill="1"/>
    <xf numFmtId="0" fontId="45" fillId="2" borderId="0" xfId="0" applyFont="1" applyFill="1" applyAlignment="1">
      <alignment horizontal="center" vertical="center" wrapText="1"/>
    </xf>
    <xf numFmtId="43" fontId="45" fillId="2" borderId="0" xfId="1" applyFont="1" applyFill="1" applyAlignment="1">
      <alignment vertical="center" wrapText="1"/>
    </xf>
    <xf numFmtId="0" fontId="38" fillId="2" borderId="0" xfId="0" applyFont="1" applyFill="1" applyAlignment="1">
      <alignment wrapText="1"/>
    </xf>
    <xf numFmtId="0" fontId="49" fillId="0" borderId="5" xfId="0" applyFont="1" applyBorder="1" applyAlignment="1">
      <alignment horizontal="center" vertical="center"/>
    </xf>
    <xf numFmtId="0" fontId="6" fillId="35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37" fillId="37" borderId="5" xfId="0" applyFont="1" applyFill="1" applyBorder="1" applyAlignment="1">
      <alignment horizontal="center" vertical="center" wrapText="1"/>
    </xf>
    <xf numFmtId="0" fontId="6" fillId="3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43" fontId="37" fillId="35" borderId="5" xfId="1" applyFont="1" applyFill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3" fontId="6" fillId="4" borderId="5" xfId="1" applyFont="1" applyFill="1" applyBorder="1" applyAlignment="1">
      <alignment horizontal="center" vertical="center"/>
    </xf>
    <xf numFmtId="43" fontId="35" fillId="4" borderId="5" xfId="1" applyFont="1" applyFill="1" applyBorder="1" applyAlignment="1">
      <alignment horizontal="center" vertical="center"/>
    </xf>
    <xf numFmtId="43" fontId="6" fillId="10" borderId="5" xfId="1" applyFont="1" applyFill="1" applyBorder="1" applyAlignment="1">
      <alignment horizontal="center" vertical="center"/>
    </xf>
    <xf numFmtId="43" fontId="37" fillId="37" borderId="5" xfId="1" applyFont="1" applyFill="1" applyBorder="1" applyAlignment="1">
      <alignment horizontal="center" vertical="center"/>
    </xf>
    <xf numFmtId="43" fontId="35" fillId="34" borderId="5" xfId="1" applyFont="1" applyFill="1" applyBorder="1" applyAlignment="1">
      <alignment horizontal="center" vertical="center"/>
    </xf>
    <xf numFmtId="43" fontId="6" fillId="39" borderId="5" xfId="1" applyFont="1" applyFill="1" applyBorder="1" applyAlignment="1">
      <alignment horizontal="center" vertical="center"/>
    </xf>
    <xf numFmtId="43" fontId="6" fillId="36" borderId="5" xfId="1" applyFont="1" applyFill="1" applyBorder="1" applyAlignment="1">
      <alignment horizontal="center" vertical="center"/>
    </xf>
    <xf numFmtId="43" fontId="50" fillId="4" borderId="0" xfId="0" applyNumberFormat="1" applyFont="1" applyFill="1"/>
    <xf numFmtId="43" fontId="6" fillId="4" borderId="0" xfId="0" applyNumberFormat="1" applyFont="1" applyFill="1"/>
    <xf numFmtId="0" fontId="6" fillId="0" borderId="0" xfId="0" applyFont="1" applyAlignment="1">
      <alignment horizont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32" fillId="34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3" fontId="38" fillId="0" borderId="1" xfId="1" applyFont="1" applyBorder="1" applyAlignment="1">
      <alignment horizontal="center" textRotation="90" wrapText="1"/>
    </xf>
    <xf numFmtId="43" fontId="38" fillId="0" borderId="4" xfId="1" applyFont="1" applyBorder="1" applyAlignment="1">
      <alignment horizontal="center" textRotation="90" wrapText="1"/>
    </xf>
    <xf numFmtId="43" fontId="38" fillId="0" borderId="6" xfId="1" applyFont="1" applyBorder="1" applyAlignment="1">
      <alignment horizontal="center" textRotation="90" wrapText="1"/>
    </xf>
    <xf numFmtId="0" fontId="42" fillId="0" borderId="5" xfId="0" applyFont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wrapText="1"/>
    </xf>
    <xf numFmtId="0" fontId="38" fillId="7" borderId="5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0" fontId="38" fillId="7" borderId="7" xfId="0" applyFont="1" applyFill="1" applyBorder="1" applyAlignment="1">
      <alignment horizontal="center"/>
    </xf>
    <xf numFmtId="0" fontId="4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39" borderId="0" xfId="0" applyFont="1" applyFill="1" applyAlignment="1">
      <alignment horizontal="center" vertical="center" wrapText="1"/>
    </xf>
    <xf numFmtId="0" fontId="6" fillId="8" borderId="2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 wrapText="1"/>
    </xf>
    <xf numFmtId="2" fontId="9" fillId="9" borderId="2" xfId="2" applyNumberFormat="1" applyFont="1" applyFill="1" applyBorder="1" applyAlignment="1">
      <alignment horizontal="center" vertical="center" wrapText="1"/>
    </xf>
    <xf numFmtId="2" fontId="9" fillId="9" borderId="3" xfId="2" applyNumberFormat="1" applyFont="1" applyFill="1" applyBorder="1" applyAlignment="1">
      <alignment horizontal="center" vertical="center" wrapText="1"/>
    </xf>
    <xf numFmtId="2" fontId="9" fillId="9" borderId="7" xfId="2" applyNumberFormat="1" applyFont="1" applyFill="1" applyBorder="1" applyAlignment="1">
      <alignment horizontal="center" vertical="center" wrapText="1"/>
    </xf>
    <xf numFmtId="1" fontId="9" fillId="38" borderId="2" xfId="2" applyNumberFormat="1" applyFont="1" applyFill="1" applyBorder="1" applyAlignment="1">
      <alignment horizontal="center" vertical="center" wrapText="1"/>
    </xf>
    <xf numFmtId="1" fontId="9" fillId="38" borderId="3" xfId="2" applyNumberFormat="1" applyFont="1" applyFill="1" applyBorder="1" applyAlignment="1">
      <alignment horizontal="center" vertical="center" wrapText="1"/>
    </xf>
    <xf numFmtId="1" fontId="9" fillId="38" borderId="7" xfId="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wrapText="1"/>
    </xf>
    <xf numFmtId="43" fontId="9" fillId="0" borderId="4" xfId="1" applyFont="1" applyFill="1" applyBorder="1" applyAlignment="1">
      <alignment horizontal="center" wrapText="1"/>
    </xf>
    <xf numFmtId="43" fontId="9" fillId="0" borderId="6" xfId="1" applyFont="1" applyFill="1" applyBorder="1" applyAlignment="1">
      <alignment horizontal="center" wrapText="1"/>
    </xf>
    <xf numFmtId="0" fontId="34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/>
    <xf numFmtId="0" fontId="34" fillId="38" borderId="2" xfId="0" applyFont="1" applyFill="1" applyBorder="1" applyAlignment="1">
      <alignment horizontal="center" vertical="center" wrapText="1"/>
    </xf>
    <xf numFmtId="0" fontId="34" fillId="38" borderId="3" xfId="0" applyFont="1" applyFill="1" applyBorder="1" applyAlignment="1">
      <alignment horizontal="center" vertical="center" wrapText="1"/>
    </xf>
    <xf numFmtId="0" fontId="34" fillId="38" borderId="7" xfId="0" applyFont="1" applyFill="1" applyBorder="1" applyAlignment="1">
      <alignment horizontal="center" vertical="center" wrapText="1"/>
    </xf>
  </cellXfs>
  <cellStyles count="4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2"/>
    <cellStyle name="Normal 2 2" xfId="3"/>
    <cellStyle name="Normal 4" xfId="45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2" defaultPivotStyle="PivotStyleMedium9"/>
  <colors>
    <mruColors>
      <color rgb="FFFF33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CC"/>
  </sheetPr>
  <dimension ref="A1:AB37"/>
  <sheetViews>
    <sheetView topLeftCell="K25" workbookViewId="0">
      <selection activeCell="T36" sqref="T36"/>
    </sheetView>
  </sheetViews>
  <sheetFormatPr defaultRowHeight="11.25" x14ac:dyDescent="0.25"/>
  <cols>
    <col min="1" max="1" width="4.5703125" style="15" customWidth="1"/>
    <col min="2" max="2" width="45" style="15" customWidth="1"/>
    <col min="3" max="3" width="10" style="17" customWidth="1"/>
    <col min="4" max="4" width="9.85546875" style="17" customWidth="1"/>
    <col min="5" max="5" width="9.5703125" style="17" customWidth="1"/>
    <col min="6" max="6" width="11.28515625" style="17" customWidth="1"/>
    <col min="7" max="7" width="8.85546875" style="17" customWidth="1"/>
    <col min="8" max="8" width="10.28515625" style="17" customWidth="1"/>
    <col min="9" max="9" width="10.140625" style="17" customWidth="1"/>
    <col min="10" max="11" width="11" style="17" customWidth="1"/>
    <col min="12" max="12" width="10.85546875" style="17" customWidth="1"/>
    <col min="13" max="13" width="8.7109375" style="17" customWidth="1"/>
    <col min="14" max="14" width="9.7109375" style="17" customWidth="1"/>
    <col min="15" max="15" width="8.7109375" style="17" customWidth="1"/>
    <col min="16" max="16" width="9.7109375" style="17" customWidth="1"/>
    <col min="17" max="17" width="7.140625" style="17" customWidth="1"/>
    <col min="18" max="18" width="10.28515625" style="17" customWidth="1"/>
    <col min="19" max="19" width="8.85546875" style="17" customWidth="1"/>
    <col min="20" max="20" width="9.42578125" style="17" customWidth="1"/>
    <col min="21" max="21" width="9.140625" style="15"/>
    <col min="22" max="22" width="10" style="15" bestFit="1" customWidth="1"/>
    <col min="23" max="27" width="9.140625" style="15"/>
    <col min="28" max="28" width="10" style="15" bestFit="1" customWidth="1"/>
    <col min="29" max="16384" width="9.140625" style="15"/>
  </cols>
  <sheetData>
    <row r="1" spans="1:26" x14ac:dyDescent="0.25">
      <c r="A1" s="148" t="s">
        <v>20</v>
      </c>
      <c r="B1" s="150" t="s">
        <v>107</v>
      </c>
      <c r="C1" s="145" t="s">
        <v>0</v>
      </c>
      <c r="D1" s="145"/>
      <c r="E1" s="145" t="s">
        <v>1</v>
      </c>
      <c r="F1" s="145"/>
      <c r="G1" s="145" t="s">
        <v>2</v>
      </c>
      <c r="H1" s="145"/>
      <c r="I1" s="145" t="s">
        <v>3</v>
      </c>
      <c r="J1" s="145"/>
      <c r="K1" s="145" t="s">
        <v>4</v>
      </c>
      <c r="L1" s="145"/>
      <c r="M1" s="145" t="s">
        <v>5</v>
      </c>
      <c r="N1" s="145"/>
      <c r="O1" s="145" t="s">
        <v>6</v>
      </c>
      <c r="P1" s="145"/>
      <c r="Q1" s="145" t="s">
        <v>7</v>
      </c>
      <c r="R1" s="145"/>
      <c r="S1" s="145" t="s">
        <v>8</v>
      </c>
      <c r="T1" s="145"/>
      <c r="U1" s="153" t="s">
        <v>10</v>
      </c>
      <c r="V1" s="153"/>
      <c r="W1" s="142" t="s">
        <v>135</v>
      </c>
      <c r="X1" s="143"/>
      <c r="Y1" s="142" t="s">
        <v>136</v>
      </c>
      <c r="Z1" s="143"/>
    </row>
    <row r="2" spans="1:26" ht="22.5" x14ac:dyDescent="0.25">
      <c r="A2" s="149"/>
      <c r="B2" s="151"/>
      <c r="C2" s="18" t="s">
        <v>108</v>
      </c>
      <c r="D2" s="18" t="s">
        <v>109</v>
      </c>
      <c r="E2" s="18" t="s">
        <v>108</v>
      </c>
      <c r="F2" s="18" t="s">
        <v>109</v>
      </c>
      <c r="G2" s="18" t="s">
        <v>108</v>
      </c>
      <c r="H2" s="18" t="s">
        <v>109</v>
      </c>
      <c r="I2" s="18" t="s">
        <v>108</v>
      </c>
      <c r="J2" s="18" t="s">
        <v>109</v>
      </c>
      <c r="K2" s="18" t="s">
        <v>108</v>
      </c>
      <c r="L2" s="18" t="s">
        <v>109</v>
      </c>
      <c r="M2" s="18" t="s">
        <v>108</v>
      </c>
      <c r="N2" s="18" t="s">
        <v>109</v>
      </c>
      <c r="O2" s="18" t="s">
        <v>108</v>
      </c>
      <c r="P2" s="18" t="s">
        <v>109</v>
      </c>
      <c r="Q2" s="18" t="s">
        <v>108</v>
      </c>
      <c r="R2" s="18" t="s">
        <v>109</v>
      </c>
      <c r="S2" s="18" t="s">
        <v>108</v>
      </c>
      <c r="T2" s="18" t="s">
        <v>109</v>
      </c>
      <c r="U2" s="18" t="s">
        <v>108</v>
      </c>
      <c r="V2" s="18" t="s">
        <v>109</v>
      </c>
      <c r="W2" s="18" t="s">
        <v>108</v>
      </c>
      <c r="X2" s="18" t="s">
        <v>109</v>
      </c>
      <c r="Y2" s="18" t="s">
        <v>108</v>
      </c>
      <c r="Z2" s="18" t="s">
        <v>109</v>
      </c>
    </row>
    <row r="3" spans="1:26" ht="33.75" x14ac:dyDescent="0.25">
      <c r="A3" s="16">
        <v>1</v>
      </c>
      <c r="B3" s="16" t="s">
        <v>110</v>
      </c>
      <c r="C3" s="18">
        <v>162</v>
      </c>
      <c r="D3" s="19">
        <v>1734</v>
      </c>
      <c r="E3" s="18">
        <v>149</v>
      </c>
      <c r="F3" s="19">
        <v>1748</v>
      </c>
      <c r="G3" s="18">
        <v>143</v>
      </c>
      <c r="H3" s="19">
        <v>1706</v>
      </c>
      <c r="I3" s="18">
        <v>150</v>
      </c>
      <c r="J3" s="19">
        <v>1769</v>
      </c>
      <c r="K3" s="18">
        <v>157</v>
      </c>
      <c r="L3" s="19">
        <v>1823</v>
      </c>
      <c r="M3" s="18">
        <v>161</v>
      </c>
      <c r="N3" s="19">
        <v>1805</v>
      </c>
      <c r="O3" s="18">
        <v>156</v>
      </c>
      <c r="P3" s="20">
        <v>1779</v>
      </c>
      <c r="Q3" s="18">
        <v>158</v>
      </c>
      <c r="R3" s="20">
        <v>1775</v>
      </c>
      <c r="S3" s="18">
        <v>156</v>
      </c>
      <c r="T3" s="19">
        <v>1833</v>
      </c>
      <c r="U3" s="16"/>
      <c r="V3" s="16"/>
      <c r="W3" s="16"/>
      <c r="X3" s="16"/>
      <c r="Y3" s="16"/>
      <c r="Z3" s="16"/>
    </row>
    <row r="4" spans="1:26" ht="22.5" x14ac:dyDescent="0.25">
      <c r="A4" s="16">
        <v>2</v>
      </c>
      <c r="B4" s="16" t="s">
        <v>111</v>
      </c>
      <c r="C4" s="18">
        <v>57</v>
      </c>
      <c r="D4" s="19">
        <v>668</v>
      </c>
      <c r="E4" s="18">
        <v>56</v>
      </c>
      <c r="F4" s="19">
        <v>681</v>
      </c>
      <c r="G4" s="18">
        <v>59</v>
      </c>
      <c r="H4" s="19">
        <v>735</v>
      </c>
      <c r="I4" s="18">
        <v>58</v>
      </c>
      <c r="J4" s="19">
        <v>710</v>
      </c>
      <c r="K4" s="18">
        <v>64</v>
      </c>
      <c r="L4" s="19">
        <v>716</v>
      </c>
      <c r="M4" s="18">
        <v>63</v>
      </c>
      <c r="N4" s="19">
        <v>739</v>
      </c>
      <c r="O4" s="18">
        <v>62</v>
      </c>
      <c r="P4" s="20">
        <v>752</v>
      </c>
      <c r="Q4" s="18">
        <v>67</v>
      </c>
      <c r="R4" s="20">
        <v>776</v>
      </c>
      <c r="S4" s="18">
        <v>61</v>
      </c>
      <c r="T4" s="19">
        <v>702</v>
      </c>
      <c r="U4" s="16"/>
      <c r="V4" s="16"/>
      <c r="W4" s="16"/>
      <c r="X4" s="16"/>
      <c r="Y4" s="16"/>
      <c r="Z4" s="16"/>
    </row>
    <row r="5" spans="1:26" ht="22.5" x14ac:dyDescent="0.25">
      <c r="A5" s="16">
        <v>3</v>
      </c>
      <c r="B5" s="16" t="s">
        <v>112</v>
      </c>
      <c r="C5" s="18">
        <v>220</v>
      </c>
      <c r="D5" s="19">
        <v>2540</v>
      </c>
      <c r="E5" s="18">
        <v>217</v>
      </c>
      <c r="F5" s="19">
        <v>2336</v>
      </c>
      <c r="G5" s="18">
        <v>220</v>
      </c>
      <c r="H5" s="19">
        <v>2672</v>
      </c>
      <c r="I5" s="18">
        <v>218</v>
      </c>
      <c r="J5" s="19">
        <v>2436</v>
      </c>
      <c r="K5" s="18">
        <v>214</v>
      </c>
      <c r="L5" s="19">
        <v>2610</v>
      </c>
      <c r="M5" s="18">
        <v>216</v>
      </c>
      <c r="N5" s="19">
        <v>2487</v>
      </c>
      <c r="O5" s="18">
        <v>224</v>
      </c>
      <c r="P5" s="20">
        <v>2484</v>
      </c>
      <c r="Q5" s="18">
        <v>216</v>
      </c>
      <c r="R5" s="20">
        <v>2505</v>
      </c>
      <c r="S5" s="18">
        <v>217</v>
      </c>
      <c r="T5" s="19">
        <v>2508</v>
      </c>
      <c r="U5" s="16"/>
      <c r="V5" s="16"/>
      <c r="W5" s="16"/>
      <c r="X5" s="16"/>
      <c r="Y5" s="16"/>
      <c r="Z5" s="16"/>
    </row>
    <row r="6" spans="1:26" ht="22.5" x14ac:dyDescent="0.25">
      <c r="A6" s="16">
        <v>4</v>
      </c>
      <c r="B6" s="16" t="s">
        <v>113</v>
      </c>
      <c r="C6" s="18">
        <v>65</v>
      </c>
      <c r="D6" s="19">
        <v>791</v>
      </c>
      <c r="E6" s="18">
        <v>64</v>
      </c>
      <c r="F6" s="19">
        <v>780</v>
      </c>
      <c r="G6" s="18">
        <v>65</v>
      </c>
      <c r="H6" s="19">
        <v>814</v>
      </c>
      <c r="I6" s="18">
        <v>68</v>
      </c>
      <c r="J6" s="19">
        <v>800</v>
      </c>
      <c r="K6" s="18">
        <v>89</v>
      </c>
      <c r="L6" s="19">
        <v>877</v>
      </c>
      <c r="M6" s="18">
        <v>70</v>
      </c>
      <c r="N6" s="19">
        <v>827</v>
      </c>
      <c r="O6" s="18">
        <v>75</v>
      </c>
      <c r="P6" s="20">
        <v>864</v>
      </c>
      <c r="Q6" s="18">
        <v>93</v>
      </c>
      <c r="R6" s="20">
        <v>953</v>
      </c>
      <c r="S6" s="18">
        <v>83</v>
      </c>
      <c r="T6" s="19">
        <v>910</v>
      </c>
      <c r="U6" s="16"/>
      <c r="V6" s="16"/>
      <c r="W6" s="16"/>
      <c r="X6" s="16"/>
      <c r="Y6" s="16"/>
      <c r="Z6" s="16"/>
    </row>
    <row r="7" spans="1:26" x14ac:dyDescent="0.25">
      <c r="A7" s="16">
        <v>5</v>
      </c>
      <c r="B7" s="16" t="s">
        <v>114</v>
      </c>
      <c r="C7" s="18">
        <v>202</v>
      </c>
      <c r="D7" s="19">
        <v>2258</v>
      </c>
      <c r="E7" s="18">
        <v>186</v>
      </c>
      <c r="F7" s="19">
        <v>2049</v>
      </c>
      <c r="G7" s="18">
        <v>189</v>
      </c>
      <c r="H7" s="19">
        <v>2276</v>
      </c>
      <c r="I7" s="18">
        <v>181</v>
      </c>
      <c r="J7" s="19">
        <v>2170</v>
      </c>
      <c r="K7" s="18">
        <v>199</v>
      </c>
      <c r="L7" s="19">
        <v>2405</v>
      </c>
      <c r="M7" s="18">
        <v>205</v>
      </c>
      <c r="N7" s="19">
        <v>2301</v>
      </c>
      <c r="O7" s="18">
        <v>206</v>
      </c>
      <c r="P7" s="20">
        <v>2243</v>
      </c>
      <c r="Q7" s="18">
        <v>200</v>
      </c>
      <c r="R7" s="20">
        <v>2153</v>
      </c>
      <c r="S7" s="18">
        <v>187</v>
      </c>
      <c r="T7" s="19">
        <v>2151</v>
      </c>
      <c r="U7" s="16"/>
      <c r="V7" s="16"/>
      <c r="W7" s="16"/>
      <c r="X7" s="16"/>
      <c r="Y7" s="16"/>
      <c r="Z7" s="16"/>
    </row>
    <row r="8" spans="1:26" ht="22.5" x14ac:dyDescent="0.25">
      <c r="A8" s="16">
        <v>6</v>
      </c>
      <c r="B8" s="16" t="s">
        <v>115</v>
      </c>
      <c r="C8" s="18">
        <v>82</v>
      </c>
      <c r="D8" s="19">
        <v>989</v>
      </c>
      <c r="E8" s="18">
        <v>79</v>
      </c>
      <c r="F8" s="19">
        <v>899</v>
      </c>
      <c r="G8" s="18">
        <v>81</v>
      </c>
      <c r="H8" s="19">
        <v>1039</v>
      </c>
      <c r="I8" s="18">
        <v>85</v>
      </c>
      <c r="J8" s="19">
        <v>1000</v>
      </c>
      <c r="K8" s="18">
        <v>84</v>
      </c>
      <c r="L8" s="19">
        <v>1067</v>
      </c>
      <c r="M8" s="18">
        <v>88</v>
      </c>
      <c r="N8" s="19">
        <v>1092</v>
      </c>
      <c r="O8" s="18">
        <v>96</v>
      </c>
      <c r="P8" s="20">
        <v>1180</v>
      </c>
      <c r="Q8" s="18">
        <v>101</v>
      </c>
      <c r="R8" s="20">
        <v>1256</v>
      </c>
      <c r="S8" s="18">
        <v>97</v>
      </c>
      <c r="T8" s="19">
        <v>1188</v>
      </c>
      <c r="U8" s="16"/>
      <c r="V8" s="16"/>
      <c r="W8" s="16"/>
      <c r="X8" s="16"/>
      <c r="Y8" s="16"/>
      <c r="Z8" s="16"/>
    </row>
    <row r="9" spans="1:26" ht="22.5" x14ac:dyDescent="0.25">
      <c r="A9" s="16">
        <v>7</v>
      </c>
      <c r="B9" s="16" t="s">
        <v>116</v>
      </c>
      <c r="C9" s="18">
        <v>58</v>
      </c>
      <c r="D9" s="19">
        <v>742</v>
      </c>
      <c r="E9" s="18">
        <v>59</v>
      </c>
      <c r="F9" s="19">
        <v>695</v>
      </c>
      <c r="G9" s="18">
        <v>61</v>
      </c>
      <c r="H9" s="19">
        <v>772</v>
      </c>
      <c r="I9" s="18">
        <v>58</v>
      </c>
      <c r="J9" s="19">
        <v>721</v>
      </c>
      <c r="K9" s="18">
        <v>59</v>
      </c>
      <c r="L9" s="19">
        <v>735</v>
      </c>
      <c r="M9" s="18">
        <v>66</v>
      </c>
      <c r="N9" s="19">
        <v>740</v>
      </c>
      <c r="O9" s="18">
        <v>66</v>
      </c>
      <c r="P9" s="20">
        <v>798</v>
      </c>
      <c r="Q9" s="18">
        <v>69</v>
      </c>
      <c r="R9" s="20">
        <v>792</v>
      </c>
      <c r="S9" s="18">
        <v>67</v>
      </c>
      <c r="T9" s="19">
        <v>790</v>
      </c>
      <c r="U9" s="16"/>
      <c r="V9" s="16"/>
      <c r="W9" s="16"/>
      <c r="X9" s="16"/>
      <c r="Y9" s="16"/>
      <c r="Z9" s="16"/>
    </row>
    <row r="10" spans="1:26" ht="33.75" x14ac:dyDescent="0.25">
      <c r="A10" s="16">
        <v>8</v>
      </c>
      <c r="B10" s="16" t="s">
        <v>117</v>
      </c>
      <c r="C10" s="18">
        <v>174</v>
      </c>
      <c r="D10" s="19">
        <v>1034</v>
      </c>
      <c r="E10" s="18">
        <v>90</v>
      </c>
      <c r="F10" s="19">
        <v>979</v>
      </c>
      <c r="G10" s="18">
        <v>93</v>
      </c>
      <c r="H10" s="19">
        <v>1111</v>
      </c>
      <c r="I10" s="18">
        <v>91</v>
      </c>
      <c r="J10" s="19">
        <v>1027</v>
      </c>
      <c r="K10" s="18">
        <v>97</v>
      </c>
      <c r="L10" s="19">
        <v>1131</v>
      </c>
      <c r="M10" s="18">
        <v>103</v>
      </c>
      <c r="N10" s="19">
        <v>1146</v>
      </c>
      <c r="O10" s="18">
        <v>105</v>
      </c>
      <c r="P10" s="20">
        <v>1187</v>
      </c>
      <c r="Q10" s="18">
        <v>111</v>
      </c>
      <c r="R10" s="20">
        <v>1240</v>
      </c>
      <c r="S10" s="18">
        <v>102</v>
      </c>
      <c r="T10" s="19">
        <v>1147</v>
      </c>
      <c r="U10" s="16"/>
      <c r="V10" s="16"/>
      <c r="W10" s="16"/>
      <c r="X10" s="16"/>
      <c r="Y10" s="16"/>
      <c r="Z10" s="16"/>
    </row>
    <row r="11" spans="1:26" x14ac:dyDescent="0.25">
      <c r="A11" s="16">
        <v>9</v>
      </c>
      <c r="B11" s="16" t="s">
        <v>118</v>
      </c>
      <c r="C11" s="18">
        <v>128</v>
      </c>
      <c r="D11" s="19">
        <v>1547</v>
      </c>
      <c r="E11" s="18">
        <v>125</v>
      </c>
      <c r="F11" s="19">
        <v>1453</v>
      </c>
      <c r="G11" s="18">
        <v>129</v>
      </c>
      <c r="H11" s="19">
        <v>1626</v>
      </c>
      <c r="I11" s="18">
        <v>132</v>
      </c>
      <c r="J11" s="19">
        <v>1549</v>
      </c>
      <c r="K11" s="18">
        <v>134</v>
      </c>
      <c r="L11" s="19">
        <v>1703</v>
      </c>
      <c r="M11" s="18">
        <v>136</v>
      </c>
      <c r="N11" s="19">
        <v>1666</v>
      </c>
      <c r="O11" s="18">
        <v>142</v>
      </c>
      <c r="P11" s="20">
        <v>1690</v>
      </c>
      <c r="Q11" s="18">
        <v>139</v>
      </c>
      <c r="R11" s="20">
        <v>1759</v>
      </c>
      <c r="S11" s="18">
        <v>139</v>
      </c>
      <c r="T11" s="19">
        <v>1704</v>
      </c>
      <c r="U11" s="16"/>
      <c r="V11" s="16"/>
      <c r="W11" s="16"/>
      <c r="X11" s="16"/>
      <c r="Y11" s="16"/>
      <c r="Z11" s="16"/>
    </row>
    <row r="12" spans="1:26" ht="22.5" x14ac:dyDescent="0.25">
      <c r="A12" s="16">
        <v>10</v>
      </c>
      <c r="B12" s="16" t="s">
        <v>119</v>
      </c>
      <c r="C12" s="18">
        <v>73</v>
      </c>
      <c r="D12" s="19">
        <v>945</v>
      </c>
      <c r="E12" s="18">
        <v>73</v>
      </c>
      <c r="F12" s="19">
        <v>863</v>
      </c>
      <c r="G12" s="18">
        <v>75</v>
      </c>
      <c r="H12" s="19">
        <v>925</v>
      </c>
      <c r="I12" s="18">
        <v>75</v>
      </c>
      <c r="J12" s="19">
        <v>881</v>
      </c>
      <c r="K12" s="18">
        <v>76</v>
      </c>
      <c r="L12" s="19">
        <v>971</v>
      </c>
      <c r="M12" s="18">
        <v>73</v>
      </c>
      <c r="N12" s="19">
        <v>943</v>
      </c>
      <c r="O12" s="18">
        <v>76</v>
      </c>
      <c r="P12" s="20">
        <v>961</v>
      </c>
      <c r="Q12" s="18">
        <v>78</v>
      </c>
      <c r="R12" s="20">
        <v>1000</v>
      </c>
      <c r="S12" s="18">
        <v>77</v>
      </c>
      <c r="T12" s="19">
        <v>937</v>
      </c>
      <c r="U12" s="16"/>
      <c r="V12" s="16"/>
      <c r="W12" s="16"/>
      <c r="X12" s="16"/>
      <c r="Y12" s="16"/>
      <c r="Z12" s="16"/>
    </row>
    <row r="13" spans="1:26" ht="22.5" x14ac:dyDescent="0.25">
      <c r="A13" s="16">
        <v>11</v>
      </c>
      <c r="B13" s="16" t="s">
        <v>120</v>
      </c>
      <c r="C13" s="18">
        <v>51</v>
      </c>
      <c r="D13" s="19">
        <v>654</v>
      </c>
      <c r="E13" s="18">
        <v>53</v>
      </c>
      <c r="F13" s="19">
        <v>669</v>
      </c>
      <c r="G13" s="18">
        <v>57</v>
      </c>
      <c r="H13" s="19">
        <v>689</v>
      </c>
      <c r="I13" s="18">
        <v>52</v>
      </c>
      <c r="J13" s="19">
        <v>651</v>
      </c>
      <c r="K13" s="18">
        <v>53</v>
      </c>
      <c r="L13" s="19">
        <v>651</v>
      </c>
      <c r="M13" s="18">
        <v>54</v>
      </c>
      <c r="N13" s="19">
        <v>671</v>
      </c>
      <c r="O13" s="18">
        <v>62</v>
      </c>
      <c r="P13" s="20">
        <v>701</v>
      </c>
      <c r="Q13" s="18">
        <v>66</v>
      </c>
      <c r="R13" s="20">
        <v>766</v>
      </c>
      <c r="S13" s="18">
        <v>63</v>
      </c>
      <c r="T13" s="19">
        <v>756</v>
      </c>
      <c r="U13" s="16"/>
      <c r="V13" s="16"/>
      <c r="W13" s="16"/>
      <c r="X13" s="16"/>
      <c r="Y13" s="16"/>
      <c r="Z13" s="16"/>
    </row>
    <row r="14" spans="1:26" ht="22.5" x14ac:dyDescent="0.25">
      <c r="A14" s="16">
        <v>12</v>
      </c>
      <c r="B14" s="16" t="s">
        <v>121</v>
      </c>
      <c r="C14" s="18">
        <v>333</v>
      </c>
      <c r="D14" s="19">
        <v>3963</v>
      </c>
      <c r="E14" s="18">
        <v>328</v>
      </c>
      <c r="F14" s="19">
        <v>3678</v>
      </c>
      <c r="G14" s="18">
        <v>325</v>
      </c>
      <c r="H14" s="19">
        <v>4131</v>
      </c>
      <c r="I14" s="18">
        <v>322</v>
      </c>
      <c r="J14" s="19">
        <v>3805</v>
      </c>
      <c r="K14" s="18">
        <v>327</v>
      </c>
      <c r="L14" s="19">
        <v>4082</v>
      </c>
      <c r="M14" s="18">
        <v>329</v>
      </c>
      <c r="N14" s="19">
        <v>3892</v>
      </c>
      <c r="O14" s="18">
        <v>323</v>
      </c>
      <c r="P14" s="20">
        <v>3780</v>
      </c>
      <c r="Q14" s="18">
        <v>309</v>
      </c>
      <c r="R14" s="20">
        <v>3819</v>
      </c>
      <c r="S14" s="18">
        <v>321</v>
      </c>
      <c r="T14" s="19">
        <v>3845</v>
      </c>
      <c r="U14" s="16"/>
      <c r="V14" s="16"/>
      <c r="W14" s="16"/>
      <c r="X14" s="16"/>
      <c r="Y14" s="16"/>
      <c r="Z14" s="16"/>
    </row>
    <row r="15" spans="1:26" ht="33.75" x14ac:dyDescent="0.25">
      <c r="A15" s="16">
        <v>13</v>
      </c>
      <c r="B15" s="16" t="s">
        <v>122</v>
      </c>
      <c r="C15" s="18">
        <v>124</v>
      </c>
      <c r="D15" s="19">
        <v>1356</v>
      </c>
      <c r="E15" s="18">
        <v>117</v>
      </c>
      <c r="F15" s="19">
        <v>1301</v>
      </c>
      <c r="G15" s="18">
        <v>125</v>
      </c>
      <c r="H15" s="19">
        <v>1474</v>
      </c>
      <c r="I15" s="18">
        <v>117</v>
      </c>
      <c r="J15" s="19">
        <v>1357</v>
      </c>
      <c r="K15" s="18">
        <v>122</v>
      </c>
      <c r="L15" s="19">
        <v>1466</v>
      </c>
      <c r="M15" s="18">
        <v>122</v>
      </c>
      <c r="N15" s="19">
        <v>1370</v>
      </c>
      <c r="O15" s="18">
        <v>117</v>
      </c>
      <c r="P15" s="20">
        <v>1276</v>
      </c>
      <c r="Q15" s="18">
        <v>114</v>
      </c>
      <c r="R15" s="20">
        <v>1331</v>
      </c>
      <c r="S15" s="18">
        <v>119</v>
      </c>
      <c r="T15" s="19">
        <v>1359</v>
      </c>
      <c r="U15" s="16"/>
      <c r="V15" s="16"/>
      <c r="W15" s="16"/>
      <c r="X15" s="16"/>
      <c r="Y15" s="16"/>
      <c r="Z15" s="16"/>
    </row>
    <row r="16" spans="1:26" x14ac:dyDescent="0.25">
      <c r="A16" s="16">
        <v>14</v>
      </c>
      <c r="B16" s="16" t="s">
        <v>123</v>
      </c>
      <c r="C16" s="18">
        <v>112</v>
      </c>
      <c r="D16" s="19">
        <v>1292</v>
      </c>
      <c r="E16" s="18">
        <v>90</v>
      </c>
      <c r="F16" s="19">
        <v>1110</v>
      </c>
      <c r="G16" s="18">
        <v>95</v>
      </c>
      <c r="H16" s="19">
        <v>1202</v>
      </c>
      <c r="I16" s="18">
        <v>99</v>
      </c>
      <c r="J16" s="19">
        <v>1234</v>
      </c>
      <c r="K16" s="18">
        <v>103</v>
      </c>
      <c r="L16" s="19">
        <v>1248</v>
      </c>
      <c r="M16" s="18">
        <v>101</v>
      </c>
      <c r="N16" s="19">
        <v>1235</v>
      </c>
      <c r="O16" s="18">
        <v>107</v>
      </c>
      <c r="P16" s="20">
        <v>1245</v>
      </c>
      <c r="Q16" s="18">
        <v>105</v>
      </c>
      <c r="R16" s="20">
        <v>1303</v>
      </c>
      <c r="S16" s="18">
        <v>105</v>
      </c>
      <c r="T16" s="19">
        <v>1253</v>
      </c>
      <c r="U16" s="16"/>
      <c r="V16" s="16"/>
      <c r="W16" s="16"/>
      <c r="X16" s="16"/>
      <c r="Y16" s="16"/>
      <c r="Z16" s="16"/>
    </row>
    <row r="17" spans="1:28" x14ac:dyDescent="0.25">
      <c r="A17" s="16">
        <v>15</v>
      </c>
      <c r="B17" s="16" t="s">
        <v>124</v>
      </c>
      <c r="C17" s="18">
        <v>95</v>
      </c>
      <c r="D17" s="19">
        <v>1156</v>
      </c>
      <c r="E17" s="18">
        <v>94</v>
      </c>
      <c r="F17" s="19">
        <v>1074</v>
      </c>
      <c r="G17" s="18">
        <v>97</v>
      </c>
      <c r="H17" s="19">
        <v>1230</v>
      </c>
      <c r="I17" s="18">
        <v>95</v>
      </c>
      <c r="J17" s="19">
        <v>1137</v>
      </c>
      <c r="K17" s="18">
        <v>101</v>
      </c>
      <c r="L17" s="19">
        <v>1259</v>
      </c>
      <c r="M17" s="18">
        <v>97</v>
      </c>
      <c r="N17" s="19">
        <v>1187</v>
      </c>
      <c r="O17" s="18">
        <v>92</v>
      </c>
      <c r="P17" s="20">
        <v>1130</v>
      </c>
      <c r="Q17" s="18">
        <v>93</v>
      </c>
      <c r="R17" s="20">
        <v>1206</v>
      </c>
      <c r="S17" s="18">
        <v>94</v>
      </c>
      <c r="T17" s="19">
        <v>1164</v>
      </c>
      <c r="U17" s="16"/>
      <c r="V17" s="16"/>
      <c r="W17" s="16"/>
      <c r="X17" s="16"/>
      <c r="Y17" s="16"/>
      <c r="Z17" s="16"/>
    </row>
    <row r="18" spans="1:28" x14ac:dyDescent="0.25">
      <c r="A18" s="16">
        <v>16</v>
      </c>
      <c r="B18" s="16" t="s">
        <v>125</v>
      </c>
      <c r="C18" s="18">
        <v>53</v>
      </c>
      <c r="D18" s="19">
        <v>638</v>
      </c>
      <c r="E18" s="18">
        <v>53</v>
      </c>
      <c r="F18" s="19">
        <v>600</v>
      </c>
      <c r="G18" s="18">
        <v>55</v>
      </c>
      <c r="H18" s="19">
        <v>713</v>
      </c>
      <c r="I18" s="18">
        <v>56</v>
      </c>
      <c r="J18" s="19">
        <v>651</v>
      </c>
      <c r="K18" s="18">
        <v>53</v>
      </c>
      <c r="L18" s="19">
        <v>622</v>
      </c>
      <c r="M18" s="18">
        <v>56</v>
      </c>
      <c r="N18" s="19">
        <v>678</v>
      </c>
      <c r="O18" s="18">
        <v>54</v>
      </c>
      <c r="P18" s="20">
        <v>681</v>
      </c>
      <c r="Q18" s="18">
        <v>55</v>
      </c>
      <c r="R18" s="20">
        <v>708</v>
      </c>
      <c r="S18" s="18">
        <v>56</v>
      </c>
      <c r="T18" s="19">
        <v>666</v>
      </c>
      <c r="U18" s="16"/>
      <c r="V18" s="16"/>
      <c r="W18" s="16"/>
      <c r="X18" s="16"/>
      <c r="Y18" s="16"/>
      <c r="Z18" s="16"/>
    </row>
    <row r="19" spans="1:28" ht="22.5" x14ac:dyDescent="0.25">
      <c r="A19" s="16">
        <v>17</v>
      </c>
      <c r="B19" s="16" t="s">
        <v>126</v>
      </c>
      <c r="C19" s="18">
        <v>38</v>
      </c>
      <c r="D19" s="19">
        <v>448</v>
      </c>
      <c r="E19" s="18">
        <v>39</v>
      </c>
      <c r="F19" s="19">
        <v>409</v>
      </c>
      <c r="G19" s="18">
        <v>39</v>
      </c>
      <c r="H19" s="19">
        <v>486</v>
      </c>
      <c r="I19" s="18">
        <v>35</v>
      </c>
      <c r="J19" s="19">
        <v>405</v>
      </c>
      <c r="K19" s="18">
        <v>33</v>
      </c>
      <c r="L19" s="19">
        <v>394</v>
      </c>
      <c r="M19" s="18">
        <v>37</v>
      </c>
      <c r="N19" s="19">
        <v>421</v>
      </c>
      <c r="O19" s="18">
        <v>34</v>
      </c>
      <c r="P19" s="20">
        <v>400</v>
      </c>
      <c r="Q19" s="18">
        <v>38</v>
      </c>
      <c r="R19" s="20">
        <v>405</v>
      </c>
      <c r="S19" s="18">
        <v>41</v>
      </c>
      <c r="T19" s="19">
        <v>415</v>
      </c>
      <c r="U19" s="16"/>
      <c r="V19" s="16"/>
      <c r="W19" s="16"/>
      <c r="X19" s="16"/>
      <c r="Y19" s="16"/>
      <c r="Z19" s="16"/>
    </row>
    <row r="20" spans="1:28" ht="22.5" x14ac:dyDescent="0.25">
      <c r="A20" s="16">
        <v>18</v>
      </c>
      <c r="B20" s="16" t="s">
        <v>127</v>
      </c>
      <c r="C20" s="18">
        <v>31</v>
      </c>
      <c r="D20" s="19">
        <v>379</v>
      </c>
      <c r="E20" s="18">
        <v>31</v>
      </c>
      <c r="F20" s="19">
        <v>357</v>
      </c>
      <c r="G20" s="18">
        <v>35</v>
      </c>
      <c r="H20" s="19">
        <v>422</v>
      </c>
      <c r="I20" s="18">
        <v>40</v>
      </c>
      <c r="J20" s="19">
        <v>393</v>
      </c>
      <c r="K20" s="18">
        <v>38</v>
      </c>
      <c r="L20" s="19">
        <v>464</v>
      </c>
      <c r="M20" s="18">
        <v>43</v>
      </c>
      <c r="N20" s="19">
        <v>469</v>
      </c>
      <c r="O20" s="18">
        <v>47</v>
      </c>
      <c r="P20" s="20">
        <v>538</v>
      </c>
      <c r="Q20" s="18">
        <v>52</v>
      </c>
      <c r="R20" s="20">
        <v>553</v>
      </c>
      <c r="S20" s="18">
        <v>48</v>
      </c>
      <c r="T20" s="19">
        <v>508</v>
      </c>
      <c r="U20" s="16"/>
      <c r="V20" s="16"/>
      <c r="W20" s="16"/>
      <c r="X20" s="16"/>
      <c r="Y20" s="16"/>
      <c r="Z20" s="16"/>
    </row>
    <row r="21" spans="1:28" x14ac:dyDescent="0.25">
      <c r="A21" s="16">
        <v>19</v>
      </c>
      <c r="B21" s="16" t="s">
        <v>128</v>
      </c>
      <c r="C21" s="18">
        <v>105</v>
      </c>
      <c r="D21" s="19">
        <v>1270</v>
      </c>
      <c r="E21" s="18">
        <v>100</v>
      </c>
      <c r="F21" s="19">
        <v>1165</v>
      </c>
      <c r="G21" s="18">
        <v>105</v>
      </c>
      <c r="H21" s="19">
        <v>1256</v>
      </c>
      <c r="I21" s="18">
        <v>106</v>
      </c>
      <c r="J21" s="19">
        <v>1264</v>
      </c>
      <c r="K21" s="18">
        <v>111</v>
      </c>
      <c r="L21" s="19">
        <v>1373</v>
      </c>
      <c r="M21" s="18">
        <v>110</v>
      </c>
      <c r="N21" s="19">
        <v>1359</v>
      </c>
      <c r="O21" s="18">
        <v>119</v>
      </c>
      <c r="P21" s="20">
        <v>1442</v>
      </c>
      <c r="Q21" s="18">
        <v>128</v>
      </c>
      <c r="R21" s="20">
        <v>1564</v>
      </c>
      <c r="S21" s="18">
        <v>125</v>
      </c>
      <c r="T21" s="19">
        <v>1481</v>
      </c>
      <c r="U21" s="16"/>
      <c r="V21" s="16"/>
      <c r="W21" s="16"/>
      <c r="X21" s="16"/>
      <c r="Y21" s="16"/>
      <c r="Z21" s="16"/>
    </row>
    <row r="22" spans="1:28" x14ac:dyDescent="0.25">
      <c r="A22" s="16">
        <v>20</v>
      </c>
      <c r="B22" s="16" t="s">
        <v>129</v>
      </c>
      <c r="C22" s="18">
        <v>42</v>
      </c>
      <c r="D22" s="19">
        <v>509</v>
      </c>
      <c r="E22" s="18">
        <v>44</v>
      </c>
      <c r="F22" s="19">
        <v>489</v>
      </c>
      <c r="G22" s="18">
        <v>44</v>
      </c>
      <c r="H22" s="19">
        <v>556</v>
      </c>
      <c r="I22" s="18">
        <v>43</v>
      </c>
      <c r="J22" s="19">
        <v>510</v>
      </c>
      <c r="K22" s="18">
        <v>42</v>
      </c>
      <c r="L22" s="19">
        <v>536</v>
      </c>
      <c r="M22" s="18">
        <v>41</v>
      </c>
      <c r="N22" s="19">
        <v>488</v>
      </c>
      <c r="O22" s="18">
        <v>43</v>
      </c>
      <c r="P22" s="20">
        <v>530</v>
      </c>
      <c r="Q22" s="18">
        <v>49</v>
      </c>
      <c r="R22" s="20">
        <v>575</v>
      </c>
      <c r="S22" s="18">
        <v>41</v>
      </c>
      <c r="T22" s="19">
        <v>512</v>
      </c>
      <c r="U22" s="16"/>
      <c r="V22" s="16"/>
      <c r="W22" s="16"/>
      <c r="X22" s="16"/>
      <c r="Y22" s="16"/>
      <c r="Z22" s="16"/>
    </row>
    <row r="23" spans="1:28" ht="22.5" x14ac:dyDescent="0.25">
      <c r="A23" s="16">
        <v>21</v>
      </c>
      <c r="B23" s="16" t="s">
        <v>130</v>
      </c>
      <c r="C23" s="18">
        <v>98</v>
      </c>
      <c r="D23" s="19">
        <v>1198</v>
      </c>
      <c r="E23" s="18">
        <v>83</v>
      </c>
      <c r="F23" s="19">
        <v>1126</v>
      </c>
      <c r="G23" s="18">
        <v>83</v>
      </c>
      <c r="H23" s="19">
        <v>1144</v>
      </c>
      <c r="I23" s="18">
        <v>93</v>
      </c>
      <c r="J23" s="19">
        <v>1148</v>
      </c>
      <c r="K23" s="18">
        <v>113</v>
      </c>
      <c r="L23" s="19">
        <v>1186</v>
      </c>
      <c r="M23" s="18">
        <v>101</v>
      </c>
      <c r="N23" s="19">
        <v>1174</v>
      </c>
      <c r="O23" s="18">
        <v>107</v>
      </c>
      <c r="P23" s="20">
        <v>1272</v>
      </c>
      <c r="Q23" s="18">
        <v>107</v>
      </c>
      <c r="R23" s="20">
        <v>1264</v>
      </c>
      <c r="S23" s="18">
        <v>99</v>
      </c>
      <c r="T23" s="19">
        <v>1126</v>
      </c>
      <c r="U23" s="16"/>
      <c r="V23" s="16"/>
      <c r="W23" s="16"/>
      <c r="X23" s="16"/>
      <c r="Y23" s="16"/>
      <c r="Z23" s="16"/>
    </row>
    <row r="24" spans="1:28" ht="22.5" x14ac:dyDescent="0.25">
      <c r="A24" s="16">
        <v>22</v>
      </c>
      <c r="B24" s="16" t="s">
        <v>131</v>
      </c>
      <c r="C24" s="18">
        <v>53</v>
      </c>
      <c r="D24" s="19">
        <v>613</v>
      </c>
      <c r="E24" s="18">
        <v>49</v>
      </c>
      <c r="F24" s="19">
        <v>563</v>
      </c>
      <c r="G24" s="18">
        <v>49</v>
      </c>
      <c r="H24" s="19">
        <v>596</v>
      </c>
      <c r="I24" s="18">
        <v>59</v>
      </c>
      <c r="J24" s="19">
        <v>588</v>
      </c>
      <c r="K24" s="18">
        <v>64</v>
      </c>
      <c r="L24" s="19">
        <v>652</v>
      </c>
      <c r="M24" s="18">
        <v>58</v>
      </c>
      <c r="N24" s="19">
        <v>661</v>
      </c>
      <c r="O24" s="18">
        <v>65</v>
      </c>
      <c r="P24" s="20">
        <v>729</v>
      </c>
      <c r="Q24" s="18">
        <v>66</v>
      </c>
      <c r="R24" s="20">
        <v>783</v>
      </c>
      <c r="S24" s="18">
        <v>62</v>
      </c>
      <c r="T24" s="19">
        <v>694</v>
      </c>
      <c r="U24" s="16"/>
      <c r="V24" s="16"/>
      <c r="W24" s="16"/>
      <c r="X24" s="16"/>
      <c r="Y24" s="16"/>
      <c r="Z24" s="16"/>
    </row>
    <row r="25" spans="1:28" ht="22.5" x14ac:dyDescent="0.25">
      <c r="A25" s="16">
        <v>23</v>
      </c>
      <c r="B25" s="16" t="s">
        <v>132</v>
      </c>
      <c r="C25" s="18">
        <v>139</v>
      </c>
      <c r="D25" s="19">
        <v>1488</v>
      </c>
      <c r="E25" s="18">
        <v>132</v>
      </c>
      <c r="F25" s="19">
        <v>1409</v>
      </c>
      <c r="G25" s="18">
        <v>135</v>
      </c>
      <c r="H25" s="19">
        <v>1603</v>
      </c>
      <c r="I25" s="18">
        <v>148</v>
      </c>
      <c r="J25" s="19">
        <v>1520</v>
      </c>
      <c r="K25" s="18">
        <v>139</v>
      </c>
      <c r="L25" s="19">
        <v>1658</v>
      </c>
      <c r="M25" s="18">
        <v>145</v>
      </c>
      <c r="N25" s="19">
        <v>1625</v>
      </c>
      <c r="O25" s="18">
        <v>145</v>
      </c>
      <c r="P25" s="20">
        <v>1619</v>
      </c>
      <c r="Q25" s="18">
        <v>155</v>
      </c>
      <c r="R25" s="20">
        <v>1677</v>
      </c>
      <c r="S25" s="18">
        <v>145</v>
      </c>
      <c r="T25" s="19">
        <v>1564</v>
      </c>
      <c r="U25" s="16"/>
      <c r="V25" s="16"/>
      <c r="W25" s="16"/>
      <c r="X25" s="16"/>
      <c r="Y25" s="16"/>
      <c r="Z25" s="16"/>
    </row>
    <row r="26" spans="1:28" x14ac:dyDescent="0.25">
      <c r="A26" s="16">
        <v>24</v>
      </c>
      <c r="B26" s="16" t="s">
        <v>133</v>
      </c>
      <c r="C26" s="18">
        <v>21</v>
      </c>
      <c r="D26" s="19">
        <v>239</v>
      </c>
      <c r="E26" s="18">
        <v>11</v>
      </c>
      <c r="F26" s="19">
        <v>20</v>
      </c>
      <c r="G26" s="18"/>
      <c r="H26" s="19"/>
      <c r="I26" s="18"/>
      <c r="J26" s="19"/>
      <c r="K26" s="18"/>
      <c r="L26" s="19"/>
      <c r="M26" s="18"/>
      <c r="N26" s="19"/>
      <c r="O26" s="18"/>
      <c r="P26" s="20"/>
      <c r="Q26" s="18"/>
      <c r="R26" s="20"/>
      <c r="S26" s="18"/>
      <c r="T26" s="19"/>
      <c r="U26" s="16"/>
      <c r="V26" s="16"/>
      <c r="W26" s="16"/>
      <c r="X26" s="16"/>
      <c r="Y26" s="16"/>
      <c r="Z26" s="16"/>
    </row>
    <row r="27" spans="1:28" ht="22.5" x14ac:dyDescent="0.25">
      <c r="A27" s="16">
        <v>25</v>
      </c>
      <c r="B27" s="16" t="s">
        <v>134</v>
      </c>
      <c r="C27" s="18">
        <v>32</v>
      </c>
      <c r="D27" s="19">
        <v>32</v>
      </c>
      <c r="E27" s="18">
        <v>46</v>
      </c>
      <c r="F27" s="19">
        <v>520</v>
      </c>
      <c r="G27" s="18">
        <v>47</v>
      </c>
      <c r="H27" s="19">
        <v>580</v>
      </c>
      <c r="I27" s="18">
        <v>49</v>
      </c>
      <c r="J27" s="19">
        <v>542</v>
      </c>
      <c r="K27" s="18">
        <v>17</v>
      </c>
      <c r="L27" s="19">
        <v>611</v>
      </c>
      <c r="M27" s="18">
        <v>51</v>
      </c>
      <c r="N27" s="19">
        <v>601</v>
      </c>
      <c r="O27" s="18">
        <v>52</v>
      </c>
      <c r="P27" s="20">
        <v>596</v>
      </c>
      <c r="Q27" s="18">
        <v>55</v>
      </c>
      <c r="R27" s="20">
        <v>618</v>
      </c>
      <c r="S27" s="18">
        <v>51</v>
      </c>
      <c r="T27" s="19">
        <v>574</v>
      </c>
      <c r="U27" s="16"/>
      <c r="V27" s="16"/>
      <c r="W27" s="16"/>
      <c r="X27" s="16"/>
      <c r="Y27" s="16"/>
      <c r="Z27" s="16"/>
    </row>
    <row r="28" spans="1:28" s="17" customFormat="1" ht="33.75" customHeight="1" x14ac:dyDescent="0.25">
      <c r="A28" s="146" t="s">
        <v>105</v>
      </c>
      <c r="B28" s="147"/>
      <c r="C28" s="22">
        <f t="shared" ref="C28:T28" si="0">SUM(C3:C27)</f>
        <v>2548</v>
      </c>
      <c r="D28" s="24">
        <f t="shared" si="0"/>
        <v>28483</v>
      </c>
      <c r="E28" s="22">
        <f t="shared" si="0"/>
        <v>2368</v>
      </c>
      <c r="F28" s="24">
        <f t="shared" si="0"/>
        <v>26973</v>
      </c>
      <c r="G28" s="22">
        <f t="shared" si="0"/>
        <v>2406</v>
      </c>
      <c r="H28" s="24">
        <f t="shared" si="0"/>
        <v>29758</v>
      </c>
      <c r="I28" s="22">
        <f t="shared" si="0"/>
        <v>2430</v>
      </c>
      <c r="J28" s="24">
        <f t="shared" si="0"/>
        <v>28268</v>
      </c>
      <c r="K28" s="22">
        <f t="shared" si="0"/>
        <v>2489</v>
      </c>
      <c r="L28" s="24">
        <f t="shared" si="0"/>
        <v>30240</v>
      </c>
      <c r="M28" s="22">
        <f t="shared" si="0"/>
        <v>2526</v>
      </c>
      <c r="N28" s="24">
        <f t="shared" si="0"/>
        <v>29577</v>
      </c>
      <c r="O28" s="22">
        <f t="shared" si="0"/>
        <v>2575</v>
      </c>
      <c r="P28" s="24">
        <f t="shared" si="0"/>
        <v>29877</v>
      </c>
      <c r="Q28" s="22">
        <f t="shared" si="0"/>
        <v>2624</v>
      </c>
      <c r="R28" s="24">
        <f t="shared" si="0"/>
        <v>30781</v>
      </c>
      <c r="S28" s="22">
        <f t="shared" si="0"/>
        <v>2556</v>
      </c>
      <c r="T28" s="24">
        <f t="shared" si="0"/>
        <v>29787</v>
      </c>
      <c r="U28" s="22"/>
      <c r="V28" s="26">
        <v>29991</v>
      </c>
      <c r="W28" s="22"/>
      <c r="X28" s="24">
        <v>29991</v>
      </c>
      <c r="Y28" s="22"/>
      <c r="Z28" s="24">
        <v>29991</v>
      </c>
      <c r="AA28" s="27">
        <f>V28+T28+R28+P28+N28+L28+J28+H28+F28+D28</f>
        <v>293735</v>
      </c>
      <c r="AB28" s="17" t="s">
        <v>152</v>
      </c>
    </row>
    <row r="29" spans="1:28" ht="25.5" customHeight="1" x14ac:dyDescent="0.25">
      <c r="A29" s="144" t="s">
        <v>106</v>
      </c>
      <c r="B29" s="144"/>
      <c r="C29" s="22">
        <v>2286</v>
      </c>
      <c r="D29" s="24"/>
      <c r="E29" s="22">
        <v>2273</v>
      </c>
      <c r="F29" s="24"/>
      <c r="G29" s="22">
        <v>2301</v>
      </c>
      <c r="H29" s="24"/>
      <c r="I29" s="22">
        <v>2301</v>
      </c>
      <c r="J29" s="24"/>
      <c r="K29" s="22">
        <v>2348</v>
      </c>
      <c r="L29" s="24"/>
      <c r="M29" s="22">
        <v>2378</v>
      </c>
      <c r="N29" s="24"/>
      <c r="O29" s="22">
        <v>2393</v>
      </c>
      <c r="P29" s="24"/>
      <c r="Q29" s="22">
        <v>2393</v>
      </c>
      <c r="R29" s="24"/>
      <c r="S29" s="22">
        <v>2400</v>
      </c>
      <c r="T29" s="24"/>
      <c r="U29" s="23">
        <v>2404</v>
      </c>
      <c r="V29" s="25"/>
      <c r="W29" s="23"/>
      <c r="X29" s="25"/>
      <c r="Y29" s="23"/>
      <c r="Z29" s="25"/>
    </row>
    <row r="30" spans="1:28" ht="27.75" customHeight="1" x14ac:dyDescent="0.25">
      <c r="A30" s="144" t="s">
        <v>147</v>
      </c>
      <c r="B30" s="144"/>
      <c r="C30" s="18">
        <v>2404</v>
      </c>
      <c r="D30" s="18"/>
      <c r="E30" s="18">
        <v>2422</v>
      </c>
      <c r="F30" s="18"/>
      <c r="G30" s="18">
        <v>2440</v>
      </c>
      <c r="H30" s="18"/>
      <c r="I30" s="18">
        <v>2458</v>
      </c>
      <c r="J30" s="18"/>
      <c r="K30" s="18">
        <v>2476</v>
      </c>
      <c r="L30" s="18"/>
      <c r="M30" s="18">
        <v>2494</v>
      </c>
      <c r="N30" s="18"/>
      <c r="O30" s="18">
        <v>2512</v>
      </c>
      <c r="P30" s="18"/>
      <c r="Q30" s="18">
        <v>2530</v>
      </c>
      <c r="R30" s="18"/>
      <c r="S30" s="18">
        <v>2548</v>
      </c>
      <c r="T30" s="18"/>
      <c r="U30" s="16">
        <v>2566</v>
      </c>
      <c r="V30" s="16"/>
      <c r="W30" s="16">
        <v>2584</v>
      </c>
      <c r="X30" s="16"/>
      <c r="Y30" s="16">
        <v>2602</v>
      </c>
      <c r="Z30" s="16"/>
    </row>
    <row r="31" spans="1:28" ht="29.25" customHeight="1" x14ac:dyDescent="0.25">
      <c r="A31" s="144" t="s">
        <v>143</v>
      </c>
      <c r="B31" s="144"/>
      <c r="C31" s="18">
        <v>18</v>
      </c>
      <c r="D31" s="18"/>
      <c r="E31" s="18">
        <v>18</v>
      </c>
      <c r="F31" s="18"/>
      <c r="G31" s="18">
        <v>18</v>
      </c>
      <c r="H31" s="18"/>
      <c r="I31" s="18">
        <v>18</v>
      </c>
      <c r="J31" s="18"/>
      <c r="K31" s="18">
        <v>18</v>
      </c>
      <c r="L31" s="18"/>
      <c r="M31" s="18">
        <v>18</v>
      </c>
      <c r="N31" s="18"/>
      <c r="O31" s="18">
        <v>18</v>
      </c>
      <c r="P31" s="18"/>
      <c r="Q31" s="18">
        <v>18</v>
      </c>
      <c r="R31" s="18"/>
      <c r="S31" s="18">
        <v>18</v>
      </c>
      <c r="T31" s="18"/>
      <c r="U31" s="18">
        <v>18</v>
      </c>
      <c r="V31" s="16"/>
      <c r="W31" s="18">
        <v>18</v>
      </c>
      <c r="X31" s="16"/>
      <c r="Y31" s="18">
        <v>18</v>
      </c>
      <c r="Z31" s="16"/>
    </row>
    <row r="32" spans="1:28" ht="22.5" customHeight="1" x14ac:dyDescent="0.25">
      <c r="A32" s="144" t="s">
        <v>137</v>
      </c>
      <c r="B32" s="144"/>
      <c r="C32" s="18">
        <f>SUM(C30:C31)</f>
        <v>2422</v>
      </c>
      <c r="D32" s="18">
        <f>C32*13</f>
        <v>31486</v>
      </c>
      <c r="E32" s="18">
        <f t="shared" ref="E32:Y32" si="1">SUM(E30:E31)</f>
        <v>2440</v>
      </c>
      <c r="F32" s="18">
        <f>E32*13</f>
        <v>31720</v>
      </c>
      <c r="G32" s="18">
        <f t="shared" si="1"/>
        <v>2458</v>
      </c>
      <c r="H32" s="18">
        <f>G32*13</f>
        <v>31954</v>
      </c>
      <c r="I32" s="18">
        <f t="shared" si="1"/>
        <v>2476</v>
      </c>
      <c r="J32" s="18">
        <f>I32*13</f>
        <v>32188</v>
      </c>
      <c r="K32" s="18">
        <f t="shared" si="1"/>
        <v>2494</v>
      </c>
      <c r="L32" s="18">
        <f>K32*13</f>
        <v>32422</v>
      </c>
      <c r="M32" s="18">
        <f t="shared" si="1"/>
        <v>2512</v>
      </c>
      <c r="N32" s="18">
        <f>M32*13</f>
        <v>32656</v>
      </c>
      <c r="O32" s="18">
        <f t="shared" si="1"/>
        <v>2530</v>
      </c>
      <c r="P32" s="18">
        <f>O32*13</f>
        <v>32890</v>
      </c>
      <c r="Q32" s="18">
        <f t="shared" si="1"/>
        <v>2548</v>
      </c>
      <c r="R32" s="18">
        <f>Q32*13</f>
        <v>33124</v>
      </c>
      <c r="S32" s="18">
        <f t="shared" si="1"/>
        <v>2566</v>
      </c>
      <c r="T32" s="18">
        <f>S32*13</f>
        <v>33358</v>
      </c>
      <c r="U32" s="18">
        <f t="shared" si="1"/>
        <v>2584</v>
      </c>
      <c r="V32" s="18">
        <f>U32*13</f>
        <v>33592</v>
      </c>
      <c r="W32" s="18">
        <f t="shared" si="1"/>
        <v>2602</v>
      </c>
      <c r="X32" s="18">
        <f>W32*13</f>
        <v>33826</v>
      </c>
      <c r="Y32" s="18">
        <f t="shared" si="1"/>
        <v>2620</v>
      </c>
      <c r="Z32" s="18">
        <f>Y32*13</f>
        <v>34060</v>
      </c>
      <c r="AA32" s="15">
        <f>Z32+X32+V32+T32+R32+P32+N32+L32+J32+H32+F32++D32</f>
        <v>393276</v>
      </c>
    </row>
    <row r="36" spans="15:20" ht="63.75" customHeight="1" x14ac:dyDescent="0.25">
      <c r="O36" s="152" t="s">
        <v>151</v>
      </c>
      <c r="P36" s="152"/>
      <c r="Q36" s="152"/>
      <c r="R36" s="152"/>
      <c r="T36" s="27"/>
    </row>
    <row r="37" spans="15:20" ht="42" customHeight="1" x14ac:dyDescent="0.25">
      <c r="O37" s="152" t="s">
        <v>148</v>
      </c>
      <c r="P37" s="152"/>
      <c r="Q37" s="152"/>
      <c r="R37" s="152"/>
    </row>
  </sheetData>
  <mergeCells count="21">
    <mergeCell ref="A32:B32"/>
    <mergeCell ref="O36:R36"/>
    <mergeCell ref="O37:R37"/>
    <mergeCell ref="U1:V1"/>
    <mergeCell ref="W1:X1"/>
    <mergeCell ref="Y1:Z1"/>
    <mergeCell ref="A29:B29"/>
    <mergeCell ref="A30:B30"/>
    <mergeCell ref="A31:B31"/>
    <mergeCell ref="K1:L1"/>
    <mergeCell ref="M1:N1"/>
    <mergeCell ref="O1:P1"/>
    <mergeCell ref="Q1:R1"/>
    <mergeCell ref="S1:T1"/>
    <mergeCell ref="A28:B28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Y9"/>
  <sheetViews>
    <sheetView workbookViewId="0">
      <selection activeCell="H3" sqref="H3"/>
    </sheetView>
  </sheetViews>
  <sheetFormatPr defaultRowHeight="11.25" x14ac:dyDescent="0.2"/>
  <cols>
    <col min="1" max="1" width="5.140625" style="28" customWidth="1"/>
    <col min="2" max="2" width="18.140625" style="28" customWidth="1"/>
    <col min="3" max="3" width="10.5703125" style="28" customWidth="1"/>
    <col min="4" max="4" width="9.5703125" style="28" customWidth="1"/>
    <col min="5" max="5" width="8.140625" style="28" customWidth="1"/>
    <col min="6" max="6" width="10.5703125" style="28" customWidth="1"/>
    <col min="7" max="7" width="9.7109375" style="28" customWidth="1"/>
    <col min="8" max="8" width="12.85546875" style="28" customWidth="1"/>
    <col min="9" max="9" width="15.5703125" style="28" customWidth="1"/>
    <col min="10" max="12" width="10.28515625" style="28" customWidth="1"/>
    <col min="13" max="19" width="11.140625" style="28" customWidth="1"/>
    <col min="20" max="20" width="9.28515625" style="28" bestFit="1" customWidth="1"/>
    <col min="21" max="21" width="14.7109375" style="28" customWidth="1"/>
    <col min="22" max="22" width="11.42578125" style="28" customWidth="1"/>
    <col min="23" max="23" width="11.7109375" style="28" customWidth="1"/>
    <col min="24" max="24" width="10.85546875" style="28" customWidth="1"/>
    <col min="25" max="16384" width="9.140625" style="28"/>
  </cols>
  <sheetData>
    <row r="1" spans="1:25" ht="165" customHeight="1" x14ac:dyDescent="0.2">
      <c r="A1" s="122" t="s">
        <v>9</v>
      </c>
      <c r="B1" s="52" t="s">
        <v>11</v>
      </c>
      <c r="C1" s="123" t="s">
        <v>86</v>
      </c>
      <c r="D1" s="123" t="s">
        <v>150</v>
      </c>
      <c r="E1" s="19" t="s">
        <v>139</v>
      </c>
      <c r="F1" s="19" t="s">
        <v>138</v>
      </c>
      <c r="G1" s="29" t="s">
        <v>12</v>
      </c>
      <c r="H1" s="19" t="s">
        <v>212</v>
      </c>
      <c r="I1" s="19" t="s">
        <v>16</v>
      </c>
      <c r="J1" s="124" t="s">
        <v>89</v>
      </c>
      <c r="K1" s="125" t="s">
        <v>17</v>
      </c>
      <c r="L1" s="124" t="s">
        <v>140</v>
      </c>
      <c r="M1" s="124" t="s">
        <v>153</v>
      </c>
      <c r="N1" s="124" t="s">
        <v>154</v>
      </c>
      <c r="O1" s="124" t="s">
        <v>155</v>
      </c>
      <c r="P1" s="124" t="s">
        <v>156</v>
      </c>
      <c r="Q1" s="126" t="s">
        <v>141</v>
      </c>
      <c r="R1" s="126" t="s">
        <v>157</v>
      </c>
      <c r="S1" s="127" t="s">
        <v>158</v>
      </c>
      <c r="T1" s="128" t="s">
        <v>142</v>
      </c>
      <c r="U1" s="128" t="s">
        <v>187</v>
      </c>
      <c r="V1" s="51" t="s">
        <v>188</v>
      </c>
      <c r="W1" s="19" t="s">
        <v>159</v>
      </c>
      <c r="X1" s="129" t="s">
        <v>160</v>
      </c>
    </row>
    <row r="2" spans="1:25" ht="28.5" customHeight="1" x14ac:dyDescent="0.2">
      <c r="A2" s="38">
        <v>1</v>
      </c>
      <c r="B2" s="52" t="s">
        <v>13</v>
      </c>
      <c r="C2" s="130">
        <v>120000</v>
      </c>
      <c r="D2" s="130">
        <v>9831</v>
      </c>
      <c r="E2" s="154" t="s">
        <v>149</v>
      </c>
      <c r="F2" s="33">
        <v>393276</v>
      </c>
      <c r="G2" s="33">
        <v>10450</v>
      </c>
      <c r="H2" s="131">
        <f>F2*75/100</f>
        <v>294957</v>
      </c>
      <c r="I2" s="131">
        <f>H2*G2</f>
        <v>3082300650</v>
      </c>
      <c r="J2" s="132">
        <f>I2/25000</f>
        <v>123292.026</v>
      </c>
      <c r="K2" s="133">
        <f>J2/12</f>
        <v>10274.335499999999</v>
      </c>
      <c r="L2" s="132"/>
      <c r="M2" s="132">
        <f>D2*12</f>
        <v>117972</v>
      </c>
      <c r="N2" s="132">
        <v>31517</v>
      </c>
      <c r="O2" s="132">
        <f>N2-D2</f>
        <v>21686</v>
      </c>
      <c r="P2" s="132">
        <f>O2/D2</f>
        <v>2.2058793612043535</v>
      </c>
      <c r="Q2" s="134">
        <f>K2*(12-P2)</f>
        <v>100628.08137046079</v>
      </c>
      <c r="R2" s="134">
        <f>Q2+K2</f>
        <v>110902.41687046079</v>
      </c>
      <c r="S2" s="135">
        <v>111000</v>
      </c>
      <c r="T2" s="136">
        <v>2.99</v>
      </c>
      <c r="U2" s="136">
        <f>T2/2.6773*2.6673</f>
        <v>2.9788320322713187</v>
      </c>
      <c r="V2" s="137">
        <f>S2*U2</f>
        <v>330650.35558211635</v>
      </c>
      <c r="W2" s="131">
        <f>T2*C2</f>
        <v>358800</v>
      </c>
      <c r="X2" s="30">
        <f>C2-S2</f>
        <v>9000</v>
      </c>
    </row>
    <row r="3" spans="1:25" ht="28.5" customHeight="1" x14ac:dyDescent="0.2">
      <c r="A3" s="38">
        <v>2</v>
      </c>
      <c r="B3" s="52" t="s">
        <v>18</v>
      </c>
      <c r="C3" s="130">
        <v>24555</v>
      </c>
      <c r="D3" s="130">
        <v>2080</v>
      </c>
      <c r="E3" s="155"/>
      <c r="F3" s="33">
        <v>393276</v>
      </c>
      <c r="G3" s="33">
        <v>6000</v>
      </c>
      <c r="H3" s="131">
        <f>F3*25/100</f>
        <v>98319</v>
      </c>
      <c r="I3" s="131">
        <f>H3*G3</f>
        <v>589914000</v>
      </c>
      <c r="J3" s="132">
        <f>I3/30000</f>
        <v>19663.8</v>
      </c>
      <c r="K3" s="133">
        <f t="shared" ref="K3:K5" si="0">J3/12</f>
        <v>1638.6499999999999</v>
      </c>
      <c r="L3" s="138">
        <v>2080</v>
      </c>
      <c r="M3" s="132">
        <f t="shared" ref="M3:M5" si="1">D3*12</f>
        <v>24960</v>
      </c>
      <c r="N3" s="132">
        <v>5833</v>
      </c>
      <c r="O3" s="132">
        <f t="shared" ref="O3:O5" si="2">N3-D3</f>
        <v>3753</v>
      </c>
      <c r="P3" s="132">
        <f t="shared" ref="P3:P5" si="3">O3/D3</f>
        <v>1.804326923076923</v>
      </c>
      <c r="Q3" s="134">
        <f>L3*(12-P3)</f>
        <v>21207</v>
      </c>
      <c r="R3" s="134">
        <f>Q3+L3</f>
        <v>23287</v>
      </c>
      <c r="S3" s="135">
        <v>23300</v>
      </c>
      <c r="T3" s="136">
        <v>17.850000000000001</v>
      </c>
      <c r="U3" s="136">
        <f>T3/2.6773*2.6673</f>
        <v>17.783328353191653</v>
      </c>
      <c r="V3" s="137">
        <f t="shared" ref="V3:V5" si="4">S3*U3</f>
        <v>414351.55062936549</v>
      </c>
      <c r="W3" s="131">
        <f t="shared" ref="W3:W5" si="5">T3*C3</f>
        <v>438306.75000000006</v>
      </c>
      <c r="X3" s="30">
        <f t="shared" ref="X3:X5" si="6">C3-S3</f>
        <v>1255</v>
      </c>
      <c r="Y3" s="8"/>
    </row>
    <row r="4" spans="1:25" ht="28.5" customHeight="1" x14ac:dyDescent="0.2">
      <c r="A4" s="38">
        <v>3</v>
      </c>
      <c r="B4" s="52" t="s">
        <v>14</v>
      </c>
      <c r="C4" s="130">
        <v>320000</v>
      </c>
      <c r="D4" s="130">
        <v>24503</v>
      </c>
      <c r="E4" s="155"/>
      <c r="F4" s="33">
        <v>393276</v>
      </c>
      <c r="G4" s="33">
        <v>2000</v>
      </c>
      <c r="H4" s="131">
        <f>F4*80/100</f>
        <v>314620.79999999999</v>
      </c>
      <c r="I4" s="131">
        <f>H4*G4</f>
        <v>629241600</v>
      </c>
      <c r="J4" s="132">
        <f>I4/2000</f>
        <v>314620.79999999999</v>
      </c>
      <c r="K4" s="133">
        <f>J4/12</f>
        <v>26218.399999999998</v>
      </c>
      <c r="L4" s="132"/>
      <c r="M4" s="132">
        <f t="shared" si="1"/>
        <v>294036</v>
      </c>
      <c r="N4" s="132">
        <v>70232</v>
      </c>
      <c r="O4" s="132">
        <f t="shared" si="2"/>
        <v>45729</v>
      </c>
      <c r="P4" s="132">
        <f t="shared" si="3"/>
        <v>1.8662612741296984</v>
      </c>
      <c r="Q4" s="134">
        <f t="shared" ref="Q4:Q5" si="7">K4*(12-P4)</f>
        <v>265690.41541035788</v>
      </c>
      <c r="R4" s="134">
        <f t="shared" ref="R4:R5" si="8">Q4+K4</f>
        <v>291908.8154103579</v>
      </c>
      <c r="S4" s="135">
        <v>292000</v>
      </c>
      <c r="T4" s="136">
        <v>5.3367000000000004</v>
      </c>
      <c r="U4" s="136">
        <f>T4/2.5052*2.6673</f>
        <v>5.6820133761775518</v>
      </c>
      <c r="V4" s="137">
        <f t="shared" si="4"/>
        <v>1659147.9058438451</v>
      </c>
      <c r="W4" s="131">
        <f t="shared" si="5"/>
        <v>1707744.0000000002</v>
      </c>
      <c r="X4" s="30">
        <f t="shared" si="6"/>
        <v>28000</v>
      </c>
    </row>
    <row r="5" spans="1:25" ht="28.5" customHeight="1" x14ac:dyDescent="0.2">
      <c r="A5" s="38">
        <v>4</v>
      </c>
      <c r="B5" s="52" t="s">
        <v>15</v>
      </c>
      <c r="C5" s="130">
        <v>70000</v>
      </c>
      <c r="D5" s="130">
        <v>5258.3</v>
      </c>
      <c r="E5" s="156"/>
      <c r="F5" s="33">
        <v>393276</v>
      </c>
      <c r="G5" s="33">
        <v>20</v>
      </c>
      <c r="H5" s="131">
        <v>393276</v>
      </c>
      <c r="I5" s="131">
        <f>H5*G5</f>
        <v>7865520</v>
      </c>
      <c r="J5" s="132">
        <f>I5/100</f>
        <v>78655.199999999997</v>
      </c>
      <c r="K5" s="133">
        <f t="shared" si="0"/>
        <v>6554.5999999999995</v>
      </c>
      <c r="L5" s="132"/>
      <c r="M5" s="132">
        <f t="shared" si="1"/>
        <v>63099.600000000006</v>
      </c>
      <c r="N5" s="132">
        <v>22675</v>
      </c>
      <c r="O5" s="132">
        <f t="shared" si="2"/>
        <v>17416.7</v>
      </c>
      <c r="P5" s="132">
        <f t="shared" si="3"/>
        <v>3.3122301884639525</v>
      </c>
      <c r="Q5" s="134">
        <f t="shared" si="7"/>
        <v>56944.856006694165</v>
      </c>
      <c r="R5" s="134">
        <f t="shared" si="8"/>
        <v>63499.456006694163</v>
      </c>
      <c r="S5" s="135">
        <v>63500</v>
      </c>
      <c r="T5" s="136">
        <v>5.4</v>
      </c>
      <c r="U5" s="136">
        <f>T5/2.6987*2.6673</f>
        <v>5.3371697483973763</v>
      </c>
      <c r="V5" s="137">
        <f t="shared" si="4"/>
        <v>338910.27902323339</v>
      </c>
      <c r="W5" s="131">
        <f t="shared" si="5"/>
        <v>378000</v>
      </c>
      <c r="X5" s="30">
        <f t="shared" si="6"/>
        <v>6500</v>
      </c>
    </row>
    <row r="6" spans="1:25" ht="23.25" customHeight="1" x14ac:dyDescent="0.2">
      <c r="V6" s="139">
        <f>SUM(V2:V5)</f>
        <v>2743060.0910785603</v>
      </c>
      <c r="W6" s="140">
        <f>SUM(W2:W5)</f>
        <v>2882850.75</v>
      </c>
    </row>
    <row r="9" spans="1:25" x14ac:dyDescent="0.2">
      <c r="B9" s="157"/>
      <c r="C9" s="157"/>
      <c r="D9" s="141"/>
    </row>
  </sheetData>
  <mergeCells count="2">
    <mergeCell ref="E2:E5"/>
    <mergeCell ref="B9:C9"/>
  </mergeCells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X30"/>
  <sheetViews>
    <sheetView topLeftCell="E22" workbookViewId="0">
      <selection activeCell="T5" sqref="T5"/>
    </sheetView>
  </sheetViews>
  <sheetFormatPr defaultRowHeight="9.75" x14ac:dyDescent="0.2"/>
  <cols>
    <col min="1" max="1" width="7.140625" style="110" customWidth="1"/>
    <col min="2" max="2" width="28.5703125" style="111" customWidth="1"/>
    <col min="3" max="3" width="12.28515625" style="112" hidden="1" customWidth="1"/>
    <col min="4" max="4" width="18.28515625" style="112" customWidth="1"/>
    <col min="5" max="5" width="7.140625" style="112" customWidth="1"/>
    <col min="6" max="6" width="9.140625" style="112" customWidth="1"/>
    <col min="7" max="7" width="8.7109375" style="112" customWidth="1"/>
    <col min="8" max="8" width="8.140625" style="113" customWidth="1"/>
    <col min="9" max="9" width="10.42578125" style="114" customWidth="1"/>
    <col min="10" max="10" width="6.42578125" style="114" customWidth="1"/>
    <col min="11" max="11" width="10.42578125" style="114" customWidth="1"/>
    <col min="12" max="12" width="10.7109375" style="120" customWidth="1"/>
    <col min="13" max="13" width="6" style="69" customWidth="1"/>
    <col min="14" max="14" width="8.42578125" style="69" customWidth="1"/>
    <col min="15" max="15" width="6" style="69" customWidth="1"/>
    <col min="16" max="16" width="6.5703125" style="69" customWidth="1"/>
    <col min="17" max="17" width="9.7109375" style="69" customWidth="1"/>
    <col min="18" max="18" width="8.85546875" style="69" customWidth="1"/>
    <col min="19" max="19" width="8.7109375" style="69" customWidth="1"/>
    <col min="20" max="20" width="8.140625" style="69" customWidth="1"/>
    <col min="21" max="21" width="5" style="69" customWidth="1"/>
    <col min="22" max="22" width="6.7109375" style="69" customWidth="1"/>
    <col min="23" max="23" width="8.28515625" style="64" customWidth="1"/>
    <col min="24" max="24" width="9.5703125" style="64" customWidth="1"/>
    <col min="25" max="16384" width="9.140625" style="64"/>
  </cols>
  <sheetData>
    <row r="1" spans="1:24" ht="26.25" customHeight="1" x14ac:dyDescent="0.15">
      <c r="A1" s="64"/>
      <c r="B1" s="167" t="s">
        <v>165</v>
      </c>
      <c r="C1" s="167"/>
      <c r="D1" s="65">
        <v>393276</v>
      </c>
      <c r="E1" s="64"/>
      <c r="F1" s="64"/>
      <c r="G1" s="64"/>
      <c r="H1" s="66"/>
      <c r="I1" s="67"/>
      <c r="J1" s="67"/>
      <c r="K1" s="67"/>
      <c r="L1" s="68"/>
      <c r="Q1" s="64"/>
      <c r="R1" s="64"/>
      <c r="S1" s="64"/>
      <c r="T1" s="64"/>
      <c r="U1" s="64"/>
      <c r="V1" s="64"/>
    </row>
    <row r="2" spans="1:24" ht="29.25" customHeight="1" x14ac:dyDescent="0.15">
      <c r="A2" s="64"/>
      <c r="B2" s="168" t="s">
        <v>19</v>
      </c>
      <c r="C2" s="169"/>
      <c r="D2" s="65">
        <v>13</v>
      </c>
      <c r="E2" s="64"/>
      <c r="F2" s="64"/>
      <c r="G2" s="64"/>
      <c r="H2" s="66"/>
      <c r="I2" s="67"/>
      <c r="J2" s="67"/>
      <c r="K2" s="67"/>
      <c r="L2" s="68"/>
      <c r="Q2" s="64"/>
      <c r="R2" s="64"/>
      <c r="S2" s="64"/>
      <c r="T2" s="64"/>
      <c r="U2" s="64"/>
      <c r="V2" s="64"/>
    </row>
    <row r="3" spans="1:24" ht="122.25" customHeight="1" x14ac:dyDescent="0.15">
      <c r="A3" s="70" t="s">
        <v>20</v>
      </c>
      <c r="B3" s="162" t="s">
        <v>21</v>
      </c>
      <c r="C3" s="162"/>
      <c r="D3" s="71" t="s">
        <v>22</v>
      </c>
      <c r="E3" s="71" t="s">
        <v>23</v>
      </c>
      <c r="F3" s="72" t="s">
        <v>162</v>
      </c>
      <c r="G3" s="72" t="s">
        <v>161</v>
      </c>
      <c r="H3" s="73" t="s">
        <v>191</v>
      </c>
      <c r="I3" s="74" t="s">
        <v>164</v>
      </c>
      <c r="J3" s="74" t="s">
        <v>83</v>
      </c>
      <c r="K3" s="74" t="s">
        <v>90</v>
      </c>
      <c r="L3" s="75" t="s">
        <v>85</v>
      </c>
      <c r="M3" s="76" t="s">
        <v>166</v>
      </c>
      <c r="N3" s="77" t="s">
        <v>163</v>
      </c>
      <c r="O3" s="77" t="s">
        <v>179</v>
      </c>
      <c r="P3" s="78" t="s">
        <v>146</v>
      </c>
      <c r="Q3" s="79" t="s">
        <v>84</v>
      </c>
      <c r="R3" s="80" t="s">
        <v>190</v>
      </c>
      <c r="S3" s="76" t="s">
        <v>175</v>
      </c>
      <c r="T3" s="76" t="s">
        <v>169</v>
      </c>
      <c r="U3" s="81" t="s">
        <v>156</v>
      </c>
      <c r="V3" s="82" t="s">
        <v>168</v>
      </c>
      <c r="W3" s="76" t="s">
        <v>176</v>
      </c>
      <c r="X3" s="76" t="s">
        <v>189</v>
      </c>
    </row>
    <row r="4" spans="1:24" ht="72" customHeight="1" x14ac:dyDescent="0.15">
      <c r="A4" s="70">
        <v>1</v>
      </c>
      <c r="B4" s="161" t="s">
        <v>25</v>
      </c>
      <c r="C4" s="161"/>
      <c r="D4" s="83" t="s">
        <v>209</v>
      </c>
      <c r="E4" s="71" t="s">
        <v>26</v>
      </c>
      <c r="F4" s="84">
        <v>312</v>
      </c>
      <c r="G4" s="84">
        <v>24</v>
      </c>
      <c r="H4" s="85">
        <v>0</v>
      </c>
      <c r="I4" s="86">
        <v>1</v>
      </c>
      <c r="J4" s="163">
        <v>1</v>
      </c>
      <c r="K4" s="87"/>
      <c r="L4" s="88">
        <v>156</v>
      </c>
      <c r="M4" s="158">
        <v>393276</v>
      </c>
      <c r="N4" s="89">
        <v>156</v>
      </c>
      <c r="O4" s="90">
        <f>N4/12</f>
        <v>13</v>
      </c>
      <c r="P4" s="91">
        <v>19.79</v>
      </c>
      <c r="Q4" s="92">
        <f>P4*N4</f>
        <v>3087.24</v>
      </c>
      <c r="R4" s="92">
        <f>Q4*3.1466</f>
        <v>9714.3093839999983</v>
      </c>
      <c r="S4" s="92">
        <v>24</v>
      </c>
      <c r="T4" s="92">
        <v>24</v>
      </c>
      <c r="U4" s="93"/>
      <c r="V4" s="94">
        <f>156-24</f>
        <v>132</v>
      </c>
      <c r="W4" s="95">
        <f>V4*P4</f>
        <v>2612.2799999999997</v>
      </c>
      <c r="X4" s="95">
        <f>W4*3.1466</f>
        <v>8219.8002479999996</v>
      </c>
    </row>
    <row r="5" spans="1:24" ht="45" x14ac:dyDescent="0.15">
      <c r="A5" s="70">
        <v>2</v>
      </c>
      <c r="B5" s="161" t="s">
        <v>27</v>
      </c>
      <c r="C5" s="161"/>
      <c r="D5" s="83" t="s">
        <v>28</v>
      </c>
      <c r="E5" s="71" t="s">
        <v>26</v>
      </c>
      <c r="F5" s="84">
        <v>312</v>
      </c>
      <c r="G5" s="84">
        <v>24</v>
      </c>
      <c r="H5" s="85">
        <v>0</v>
      </c>
      <c r="I5" s="86">
        <v>1</v>
      </c>
      <c r="J5" s="164"/>
      <c r="K5" s="87"/>
      <c r="L5" s="88">
        <v>156</v>
      </c>
      <c r="M5" s="159"/>
      <c r="N5" s="89">
        <v>156</v>
      </c>
      <c r="O5" s="96">
        <f t="shared" ref="O5:O24" si="0">N5/12</f>
        <v>13</v>
      </c>
      <c r="P5" s="91">
        <v>14.89</v>
      </c>
      <c r="Q5" s="92">
        <f t="shared" ref="Q5:Q24" si="1">P5*N5</f>
        <v>2322.84</v>
      </c>
      <c r="R5" s="92">
        <f t="shared" ref="R5:R24" si="2">Q5*3.1466</f>
        <v>7309.0483439999998</v>
      </c>
      <c r="S5" s="92">
        <v>24</v>
      </c>
      <c r="T5" s="92">
        <v>24</v>
      </c>
      <c r="U5" s="93"/>
      <c r="V5" s="94">
        <f>156-24</f>
        <v>132</v>
      </c>
      <c r="W5" s="95">
        <f t="shared" ref="W5:W24" si="3">V5*P5</f>
        <v>1965.48</v>
      </c>
      <c r="X5" s="95">
        <f t="shared" ref="X5:X24" si="4">W5*3.1466</f>
        <v>6184.5793679999997</v>
      </c>
    </row>
    <row r="6" spans="1:24" ht="36.75" customHeight="1" x14ac:dyDescent="0.15">
      <c r="A6" s="70">
        <v>3</v>
      </c>
      <c r="B6" s="162" t="s">
        <v>29</v>
      </c>
      <c r="C6" s="162"/>
      <c r="D6" s="162" t="s">
        <v>30</v>
      </c>
      <c r="E6" s="70" t="s">
        <v>26</v>
      </c>
      <c r="F6" s="97">
        <v>190</v>
      </c>
      <c r="G6" s="97">
        <v>100</v>
      </c>
      <c r="H6" s="85">
        <v>0</v>
      </c>
      <c r="I6" s="86">
        <v>0</v>
      </c>
      <c r="J6" s="164"/>
      <c r="K6" s="87">
        <f>I6/SUM($I$6:$I$14)</f>
        <v>0</v>
      </c>
      <c r="L6" s="88">
        <f>K6*$D$1</f>
        <v>0</v>
      </c>
      <c r="M6" s="159"/>
      <c r="N6" s="89">
        <v>100</v>
      </c>
      <c r="O6" s="96">
        <f t="shared" si="0"/>
        <v>8.3333333333333339</v>
      </c>
      <c r="P6" s="98">
        <v>5.8395000000000001</v>
      </c>
      <c r="Q6" s="92">
        <f t="shared" si="1"/>
        <v>583.95000000000005</v>
      </c>
      <c r="R6" s="92">
        <f t="shared" si="2"/>
        <v>1837.4570700000002</v>
      </c>
      <c r="S6" s="92">
        <v>100</v>
      </c>
      <c r="T6" s="92">
        <v>100</v>
      </c>
      <c r="U6" s="93"/>
      <c r="V6" s="94">
        <v>100</v>
      </c>
      <c r="W6" s="95">
        <f t="shared" si="3"/>
        <v>583.95000000000005</v>
      </c>
      <c r="X6" s="95">
        <f t="shared" si="4"/>
        <v>1837.4570700000002</v>
      </c>
    </row>
    <row r="7" spans="1:24" ht="36.75" customHeight="1" x14ac:dyDescent="0.15">
      <c r="A7" s="70">
        <v>4</v>
      </c>
      <c r="B7" s="162" t="s">
        <v>31</v>
      </c>
      <c r="C7" s="162" t="s">
        <v>32</v>
      </c>
      <c r="D7" s="162"/>
      <c r="E7" s="70" t="s">
        <v>26</v>
      </c>
      <c r="F7" s="97">
        <v>640</v>
      </c>
      <c r="G7" s="97">
        <v>725</v>
      </c>
      <c r="H7" s="85">
        <v>52.4</v>
      </c>
      <c r="I7" s="86">
        <v>48.636363636363633</v>
      </c>
      <c r="J7" s="164"/>
      <c r="K7" s="87">
        <f t="shared" ref="K7:K14" si="5">I7/SUM($I$6:$I$14)</f>
        <v>1.6264809336912602E-3</v>
      </c>
      <c r="L7" s="88">
        <f t="shared" ref="L7:L14" si="6">K7*$D$1</f>
        <v>639.65591567836407</v>
      </c>
      <c r="M7" s="159"/>
      <c r="N7" s="89">
        <v>640</v>
      </c>
      <c r="O7" s="96">
        <f t="shared" si="0"/>
        <v>53.333333333333336</v>
      </c>
      <c r="P7" s="91">
        <v>5.87</v>
      </c>
      <c r="Q7" s="92">
        <f t="shared" si="1"/>
        <v>3756.8</v>
      </c>
      <c r="R7" s="92">
        <f t="shared" si="2"/>
        <v>11821.14688</v>
      </c>
      <c r="S7" s="92">
        <v>201</v>
      </c>
      <c r="T7" s="92">
        <v>100</v>
      </c>
      <c r="U7" s="93">
        <f t="shared" ref="U7:U24" si="7">T7/I7</f>
        <v>2.0560747663551404</v>
      </c>
      <c r="V7" s="99">
        <f t="shared" ref="V7:V22" si="8">O7*(12-U7)</f>
        <v>530.34267912772589</v>
      </c>
      <c r="W7" s="95">
        <f t="shared" si="3"/>
        <v>3113.1115264797509</v>
      </c>
      <c r="X7" s="95">
        <f t="shared" si="4"/>
        <v>9795.7167292211834</v>
      </c>
    </row>
    <row r="8" spans="1:24" ht="36.75" customHeight="1" x14ac:dyDescent="0.15">
      <c r="A8" s="70">
        <v>5</v>
      </c>
      <c r="B8" s="162" t="s">
        <v>33</v>
      </c>
      <c r="C8" s="162" t="s">
        <v>34</v>
      </c>
      <c r="D8" s="162"/>
      <c r="E8" s="70" t="s">
        <v>26</v>
      </c>
      <c r="F8" s="97">
        <v>1915</v>
      </c>
      <c r="G8" s="97">
        <v>2126</v>
      </c>
      <c r="H8" s="85">
        <v>165.9</v>
      </c>
      <c r="I8" s="86">
        <v>196.36363636363637</v>
      </c>
      <c r="J8" s="164"/>
      <c r="K8" s="87">
        <f t="shared" si="5"/>
        <v>6.5667267603235933E-3</v>
      </c>
      <c r="L8" s="88">
        <f t="shared" si="6"/>
        <v>2582.5360333930216</v>
      </c>
      <c r="M8" s="159"/>
      <c r="N8" s="89">
        <v>2200</v>
      </c>
      <c r="O8" s="96">
        <f t="shared" si="0"/>
        <v>183.33333333333334</v>
      </c>
      <c r="P8" s="91">
        <v>5.93</v>
      </c>
      <c r="Q8" s="92">
        <f t="shared" si="1"/>
        <v>13046</v>
      </c>
      <c r="R8" s="92">
        <f t="shared" si="2"/>
        <v>41050.543599999997</v>
      </c>
      <c r="S8" s="92">
        <v>467</v>
      </c>
      <c r="T8" s="92">
        <v>218</v>
      </c>
      <c r="U8" s="93">
        <f t="shared" si="7"/>
        <v>1.1101851851851852</v>
      </c>
      <c r="V8" s="99">
        <f t="shared" si="8"/>
        <v>1996.4660493827159</v>
      </c>
      <c r="W8" s="95">
        <f t="shared" si="3"/>
        <v>11839.043672839505</v>
      </c>
      <c r="X8" s="95">
        <f t="shared" si="4"/>
        <v>37252.734820956786</v>
      </c>
    </row>
    <row r="9" spans="1:24" ht="36.75" customHeight="1" x14ac:dyDescent="0.15">
      <c r="A9" s="70">
        <v>6</v>
      </c>
      <c r="B9" s="162" t="s">
        <v>35</v>
      </c>
      <c r="C9" s="162" t="s">
        <v>36</v>
      </c>
      <c r="D9" s="162"/>
      <c r="E9" s="70" t="s">
        <v>26</v>
      </c>
      <c r="F9" s="97">
        <v>14470</v>
      </c>
      <c r="G9" s="97">
        <v>13550</v>
      </c>
      <c r="H9" s="85">
        <v>857.2</v>
      </c>
      <c r="I9" s="86">
        <v>890.36363636363637</v>
      </c>
      <c r="J9" s="164"/>
      <c r="K9" s="87">
        <f t="shared" si="5"/>
        <v>2.977524161602281E-2</v>
      </c>
      <c r="L9" s="88">
        <f t="shared" si="6"/>
        <v>11709.887921782987</v>
      </c>
      <c r="M9" s="159"/>
      <c r="N9" s="89">
        <v>12072</v>
      </c>
      <c r="O9" s="96">
        <f t="shared" si="0"/>
        <v>1006</v>
      </c>
      <c r="P9" s="91">
        <v>5.85</v>
      </c>
      <c r="Q9" s="92">
        <f t="shared" si="1"/>
        <v>70621.2</v>
      </c>
      <c r="R9" s="92">
        <f t="shared" si="2"/>
        <v>222216.66791999998</v>
      </c>
      <c r="S9" s="92">
        <v>4978</v>
      </c>
      <c r="T9" s="92">
        <v>4137</v>
      </c>
      <c r="U9" s="93">
        <f t="shared" si="7"/>
        <v>4.6464161731672453</v>
      </c>
      <c r="V9" s="99">
        <f t="shared" si="8"/>
        <v>7397.7053297937509</v>
      </c>
      <c r="W9" s="95">
        <f t="shared" si="3"/>
        <v>43276.576179293443</v>
      </c>
      <c r="X9" s="95">
        <f t="shared" si="4"/>
        <v>136174.07460576473</v>
      </c>
    </row>
    <row r="10" spans="1:24" ht="36.75" customHeight="1" x14ac:dyDescent="0.15">
      <c r="A10" s="70">
        <v>7</v>
      </c>
      <c r="B10" s="162" t="s">
        <v>37</v>
      </c>
      <c r="C10" s="162" t="s">
        <v>38</v>
      </c>
      <c r="D10" s="162"/>
      <c r="E10" s="70" t="s">
        <v>26</v>
      </c>
      <c r="F10" s="97">
        <v>74050</v>
      </c>
      <c r="G10" s="97">
        <v>69835</v>
      </c>
      <c r="H10" s="85">
        <v>5206.8999999999996</v>
      </c>
      <c r="I10" s="86">
        <v>5345.636363636364</v>
      </c>
      <c r="J10" s="164"/>
      <c r="K10" s="87">
        <f t="shared" si="5"/>
        <v>0.17876697544469813</v>
      </c>
      <c r="L10" s="88">
        <f t="shared" si="6"/>
        <v>70304.761034989104</v>
      </c>
      <c r="M10" s="159"/>
      <c r="N10" s="89">
        <v>70300</v>
      </c>
      <c r="O10" s="96">
        <f t="shared" si="0"/>
        <v>5858.333333333333</v>
      </c>
      <c r="P10" s="91">
        <v>6.1</v>
      </c>
      <c r="Q10" s="92">
        <f t="shared" si="1"/>
        <v>428830</v>
      </c>
      <c r="R10" s="92">
        <f t="shared" si="2"/>
        <v>1349356.4779999999</v>
      </c>
      <c r="S10" s="92">
        <v>17766</v>
      </c>
      <c r="T10" s="92">
        <v>12068</v>
      </c>
      <c r="U10" s="93">
        <f t="shared" si="7"/>
        <v>2.2575422604673308</v>
      </c>
      <c r="V10" s="99">
        <f t="shared" si="8"/>
        <v>57074.564924095554</v>
      </c>
      <c r="W10" s="95">
        <f t="shared" si="3"/>
        <v>348154.84603698284</v>
      </c>
      <c r="X10" s="95">
        <f t="shared" si="4"/>
        <v>1095504.0385399701</v>
      </c>
    </row>
    <row r="11" spans="1:24" ht="36.75" customHeight="1" x14ac:dyDescent="0.15">
      <c r="A11" s="70">
        <v>8</v>
      </c>
      <c r="B11" s="162" t="s">
        <v>39</v>
      </c>
      <c r="C11" s="162" t="s">
        <v>40</v>
      </c>
      <c r="D11" s="162"/>
      <c r="E11" s="70" t="s">
        <v>26</v>
      </c>
      <c r="F11" s="97">
        <v>15641</v>
      </c>
      <c r="G11" s="97">
        <v>15641</v>
      </c>
      <c r="H11" s="85">
        <v>1193.3</v>
      </c>
      <c r="I11" s="86">
        <v>1100.5454545454545</v>
      </c>
      <c r="J11" s="164"/>
      <c r="K11" s="87">
        <f t="shared" si="5"/>
        <v>3.6804071370591399E-2</v>
      </c>
      <c r="L11" s="88">
        <f t="shared" si="6"/>
        <v>14474.157972340703</v>
      </c>
      <c r="M11" s="159"/>
      <c r="N11" s="89">
        <v>14400</v>
      </c>
      <c r="O11" s="96">
        <f t="shared" si="0"/>
        <v>1200</v>
      </c>
      <c r="P11" s="91">
        <v>6.41</v>
      </c>
      <c r="Q11" s="92">
        <f t="shared" si="1"/>
        <v>92304</v>
      </c>
      <c r="R11" s="92">
        <f t="shared" si="2"/>
        <v>290443.76639999996</v>
      </c>
      <c r="S11" s="92">
        <v>3708</v>
      </c>
      <c r="T11" s="92">
        <v>1894</v>
      </c>
      <c r="U11" s="93">
        <f t="shared" si="7"/>
        <v>1.7209648108376012</v>
      </c>
      <c r="V11" s="99">
        <f t="shared" si="8"/>
        <v>12334.842226994877</v>
      </c>
      <c r="W11" s="95">
        <f t="shared" si="3"/>
        <v>79066.338675037157</v>
      </c>
      <c r="X11" s="95">
        <f t="shared" si="4"/>
        <v>248790.14127487192</v>
      </c>
    </row>
    <row r="12" spans="1:24" ht="36.75" customHeight="1" x14ac:dyDescent="0.15">
      <c r="A12" s="70">
        <v>9</v>
      </c>
      <c r="B12" s="162" t="s">
        <v>41</v>
      </c>
      <c r="C12" s="162" t="s">
        <v>42</v>
      </c>
      <c r="D12" s="162"/>
      <c r="E12" s="70" t="s">
        <v>26</v>
      </c>
      <c r="F12" s="97">
        <v>168530</v>
      </c>
      <c r="G12" s="97">
        <v>178460</v>
      </c>
      <c r="H12" s="85">
        <v>14408.3</v>
      </c>
      <c r="I12" s="86">
        <v>14971.727272727272</v>
      </c>
      <c r="J12" s="164"/>
      <c r="K12" s="87">
        <f t="shared" si="5"/>
        <v>0.50067947381061673</v>
      </c>
      <c r="L12" s="88">
        <f t="shared" si="6"/>
        <v>196905.2207423441</v>
      </c>
      <c r="M12" s="159"/>
      <c r="N12" s="89">
        <v>196000</v>
      </c>
      <c r="O12" s="96">
        <f t="shared" si="0"/>
        <v>16333.333333333334</v>
      </c>
      <c r="P12" s="91">
        <v>6.79</v>
      </c>
      <c r="Q12" s="92">
        <f t="shared" si="1"/>
        <v>1330840</v>
      </c>
      <c r="R12" s="92">
        <f t="shared" si="2"/>
        <v>4187621.1439999999</v>
      </c>
      <c r="S12" s="92">
        <v>34377</v>
      </c>
      <c r="T12" s="92">
        <v>19491</v>
      </c>
      <c r="U12" s="93">
        <f t="shared" si="7"/>
        <v>1.3018537971570658</v>
      </c>
      <c r="V12" s="99">
        <f t="shared" si="8"/>
        <v>174736.38797976795</v>
      </c>
      <c r="W12" s="95">
        <f t="shared" si="3"/>
        <v>1186460.0743826244</v>
      </c>
      <c r="X12" s="95">
        <f t="shared" si="4"/>
        <v>3733315.2700523655</v>
      </c>
    </row>
    <row r="13" spans="1:24" ht="36.75" customHeight="1" x14ac:dyDescent="0.15">
      <c r="A13" s="70">
        <v>10</v>
      </c>
      <c r="B13" s="162" t="s">
        <v>43</v>
      </c>
      <c r="C13" s="162"/>
      <c r="D13" s="162"/>
      <c r="E13" s="70" t="s">
        <v>26</v>
      </c>
      <c r="F13" s="97">
        <v>8200</v>
      </c>
      <c r="G13" s="97">
        <v>8200</v>
      </c>
      <c r="H13" s="85">
        <v>561.4</v>
      </c>
      <c r="I13" s="86">
        <v>463</v>
      </c>
      <c r="J13" s="164"/>
      <c r="K13" s="87">
        <f t="shared" si="5"/>
        <v>1.5483490458485212E-2</v>
      </c>
      <c r="L13" s="88">
        <f t="shared" si="6"/>
        <v>6089.2851935512308</v>
      </c>
      <c r="M13" s="159"/>
      <c r="N13" s="89">
        <v>6700</v>
      </c>
      <c r="O13" s="96">
        <f t="shared" si="0"/>
        <v>558.33333333333337</v>
      </c>
      <c r="P13" s="91">
        <v>8.1999999999999993</v>
      </c>
      <c r="Q13" s="92">
        <f t="shared" si="1"/>
        <v>54939.999999999993</v>
      </c>
      <c r="R13" s="92">
        <f t="shared" si="2"/>
        <v>172874.20399999997</v>
      </c>
      <c r="S13" s="92">
        <v>2586</v>
      </c>
      <c r="T13" s="92">
        <v>2045</v>
      </c>
      <c r="U13" s="93">
        <f t="shared" si="7"/>
        <v>4.4168466522678189</v>
      </c>
      <c r="V13" s="99">
        <f t="shared" si="8"/>
        <v>4233.9272858171344</v>
      </c>
      <c r="W13" s="95">
        <f t="shared" si="3"/>
        <v>34718.203743700498</v>
      </c>
      <c r="X13" s="95">
        <f t="shared" si="4"/>
        <v>109244.29989992798</v>
      </c>
    </row>
    <row r="14" spans="1:24" ht="36.75" customHeight="1" x14ac:dyDescent="0.15">
      <c r="A14" s="70">
        <v>11</v>
      </c>
      <c r="B14" s="162" t="s">
        <v>44</v>
      </c>
      <c r="C14" s="162" t="s">
        <v>45</v>
      </c>
      <c r="D14" s="162"/>
      <c r="E14" s="70" t="s">
        <v>26</v>
      </c>
      <c r="F14" s="97">
        <v>83900</v>
      </c>
      <c r="G14" s="97">
        <v>83900</v>
      </c>
      <c r="H14" s="85">
        <v>6604.5</v>
      </c>
      <c r="I14" s="86">
        <v>6886.545454545455</v>
      </c>
      <c r="J14" s="165"/>
      <c r="K14" s="87">
        <f t="shared" si="5"/>
        <v>0.23029753960557078</v>
      </c>
      <c r="L14" s="88">
        <f t="shared" si="6"/>
        <v>90570.495185920459</v>
      </c>
      <c r="M14" s="159"/>
      <c r="N14" s="89">
        <v>90600</v>
      </c>
      <c r="O14" s="96">
        <f t="shared" si="0"/>
        <v>7550</v>
      </c>
      <c r="P14" s="91">
        <v>8.15</v>
      </c>
      <c r="Q14" s="92">
        <f t="shared" si="1"/>
        <v>738390</v>
      </c>
      <c r="R14" s="92">
        <f t="shared" si="2"/>
        <v>2323417.9739999999</v>
      </c>
      <c r="S14" s="92">
        <v>17855</v>
      </c>
      <c r="T14" s="92">
        <v>11295</v>
      </c>
      <c r="U14" s="93">
        <f t="shared" si="7"/>
        <v>1.6401547153870524</v>
      </c>
      <c r="V14" s="99">
        <f t="shared" si="8"/>
        <v>78216.831898827761</v>
      </c>
      <c r="W14" s="95">
        <f t="shared" si="3"/>
        <v>637467.17997544631</v>
      </c>
      <c r="X14" s="95">
        <f t="shared" si="4"/>
        <v>2005854.2285107393</v>
      </c>
    </row>
    <row r="15" spans="1:24" ht="36" x14ac:dyDescent="0.15">
      <c r="A15" s="70">
        <v>12</v>
      </c>
      <c r="B15" s="162" t="s">
        <v>210</v>
      </c>
      <c r="C15" s="162"/>
      <c r="D15" s="100" t="s">
        <v>211</v>
      </c>
      <c r="E15" s="70" t="s">
        <v>26</v>
      </c>
      <c r="F15" s="97">
        <v>368160</v>
      </c>
      <c r="G15" s="97">
        <v>366000</v>
      </c>
      <c r="H15" s="101">
        <v>29832.9</v>
      </c>
      <c r="I15" s="86">
        <v>30863</v>
      </c>
      <c r="J15" s="87">
        <v>1</v>
      </c>
      <c r="K15" s="87"/>
      <c r="L15" s="88">
        <v>393276</v>
      </c>
      <c r="M15" s="159"/>
      <c r="N15" s="102">
        <v>393276</v>
      </c>
      <c r="O15" s="96">
        <f t="shared" si="0"/>
        <v>32773</v>
      </c>
      <c r="P15" s="91">
        <v>2.75</v>
      </c>
      <c r="Q15" s="92">
        <f t="shared" si="1"/>
        <v>1081509</v>
      </c>
      <c r="R15" s="92">
        <f t="shared" si="2"/>
        <v>3403076.2193999998</v>
      </c>
      <c r="S15" s="92">
        <v>67671</v>
      </c>
      <c r="T15" s="92">
        <v>36591</v>
      </c>
      <c r="U15" s="93">
        <f t="shared" si="7"/>
        <v>1.1855944010627613</v>
      </c>
      <c r="V15" s="99">
        <f t="shared" si="8"/>
        <v>354420.51469397009</v>
      </c>
      <c r="W15" s="95">
        <f t="shared" si="3"/>
        <v>974656.41540841782</v>
      </c>
      <c r="X15" s="95">
        <f t="shared" si="4"/>
        <v>3066853.8767241272</v>
      </c>
    </row>
    <row r="16" spans="1:24" ht="48.75" x14ac:dyDescent="0.2">
      <c r="A16" s="70">
        <v>13</v>
      </c>
      <c r="B16" s="162" t="s">
        <v>167</v>
      </c>
      <c r="C16" s="162"/>
      <c r="D16" s="103" t="s">
        <v>47</v>
      </c>
      <c r="E16" s="70" t="s">
        <v>48</v>
      </c>
      <c r="F16" s="97">
        <v>368160</v>
      </c>
      <c r="G16" s="97">
        <v>365544</v>
      </c>
      <c r="H16" s="101">
        <v>26737</v>
      </c>
      <c r="I16" s="104">
        <v>27199</v>
      </c>
      <c r="J16" s="87">
        <v>1</v>
      </c>
      <c r="K16" s="87"/>
      <c r="L16" s="88">
        <v>393276</v>
      </c>
      <c r="M16" s="159"/>
      <c r="N16" s="102">
        <v>393276</v>
      </c>
      <c r="O16" s="96">
        <f t="shared" si="0"/>
        <v>32773</v>
      </c>
      <c r="P16" s="91">
        <v>0.51</v>
      </c>
      <c r="Q16" s="92">
        <f t="shared" si="1"/>
        <v>200570.76</v>
      </c>
      <c r="R16" s="92">
        <f t="shared" si="2"/>
        <v>631115.953416</v>
      </c>
      <c r="S16" s="92">
        <v>98174</v>
      </c>
      <c r="T16" s="92">
        <v>69934</v>
      </c>
      <c r="U16" s="93">
        <f t="shared" si="7"/>
        <v>2.5711974704952389</v>
      </c>
      <c r="V16" s="99">
        <f t="shared" si="8"/>
        <v>309010.14529945952</v>
      </c>
      <c r="W16" s="95">
        <f t="shared" si="3"/>
        <v>157595.17410272436</v>
      </c>
      <c r="X16" s="95">
        <f t="shared" si="4"/>
        <v>495888.97483163245</v>
      </c>
    </row>
    <row r="17" spans="1:24" ht="27" x14ac:dyDescent="0.2">
      <c r="A17" s="70">
        <v>14</v>
      </c>
      <c r="B17" s="162" t="s">
        <v>49</v>
      </c>
      <c r="C17" s="162"/>
      <c r="D17" s="103" t="s">
        <v>50</v>
      </c>
      <c r="E17" s="70" t="s">
        <v>51</v>
      </c>
      <c r="F17" s="97">
        <v>307200</v>
      </c>
      <c r="G17" s="97">
        <v>305700</v>
      </c>
      <c r="H17" s="101">
        <v>19440</v>
      </c>
      <c r="I17" s="104">
        <v>18672.727272727272</v>
      </c>
      <c r="J17" s="163">
        <v>4</v>
      </c>
      <c r="K17" s="105">
        <f>I17/(SUM($I$17:$I$18))</f>
        <v>0.16471531676022455</v>
      </c>
      <c r="L17" s="88">
        <f>$J$17*K17*$D$1</f>
        <v>259114.32365677628</v>
      </c>
      <c r="M17" s="159"/>
      <c r="N17" s="89">
        <v>260000</v>
      </c>
      <c r="O17" s="96">
        <f t="shared" si="0"/>
        <v>21666.666666666668</v>
      </c>
      <c r="P17" s="91">
        <v>0.25</v>
      </c>
      <c r="Q17" s="92">
        <f t="shared" si="1"/>
        <v>65000</v>
      </c>
      <c r="R17" s="92">
        <f t="shared" si="2"/>
        <v>204529</v>
      </c>
      <c r="S17" s="92">
        <v>111300</v>
      </c>
      <c r="T17" s="92">
        <v>94900</v>
      </c>
      <c r="U17" s="93">
        <f t="shared" si="7"/>
        <v>5.0822784810126587</v>
      </c>
      <c r="V17" s="99">
        <v>149900</v>
      </c>
      <c r="W17" s="95">
        <f t="shared" si="3"/>
        <v>37475</v>
      </c>
      <c r="X17" s="95">
        <f t="shared" si="4"/>
        <v>117918.83499999999</v>
      </c>
    </row>
    <row r="18" spans="1:24" ht="27" x14ac:dyDescent="0.15">
      <c r="A18" s="70">
        <v>15</v>
      </c>
      <c r="B18" s="162" t="s">
        <v>49</v>
      </c>
      <c r="C18" s="162"/>
      <c r="D18" s="103" t="s">
        <v>52</v>
      </c>
      <c r="E18" s="70" t="s">
        <v>51</v>
      </c>
      <c r="F18" s="97">
        <v>1165400</v>
      </c>
      <c r="G18" s="97">
        <v>1145500</v>
      </c>
      <c r="H18" s="101">
        <v>89650</v>
      </c>
      <c r="I18" s="106">
        <v>94690.909090909088</v>
      </c>
      <c r="J18" s="165"/>
      <c r="K18" s="105">
        <f>I18/(SUM($I$17:$I$18))</f>
        <v>0.83528468323977556</v>
      </c>
      <c r="L18" s="88">
        <f>$J$17*K18*$D$1</f>
        <v>1313989.6763432238</v>
      </c>
      <c r="M18" s="159"/>
      <c r="N18" s="89">
        <v>1313104</v>
      </c>
      <c r="O18" s="96">
        <f t="shared" si="0"/>
        <v>109425.33333333333</v>
      </c>
      <c r="P18" s="91">
        <v>0.25</v>
      </c>
      <c r="Q18" s="92">
        <f t="shared" si="1"/>
        <v>328276</v>
      </c>
      <c r="R18" s="92">
        <f t="shared" si="2"/>
        <v>1032953.2616</v>
      </c>
      <c r="S18" s="92">
        <v>249000</v>
      </c>
      <c r="T18" s="92">
        <v>148700</v>
      </c>
      <c r="U18" s="93">
        <f t="shared" si="7"/>
        <v>1.5703725038402458</v>
      </c>
      <c r="V18" s="99">
        <v>1141300</v>
      </c>
      <c r="W18" s="95">
        <f t="shared" si="3"/>
        <v>285325</v>
      </c>
      <c r="X18" s="95">
        <f t="shared" si="4"/>
        <v>897803.6449999999</v>
      </c>
    </row>
    <row r="19" spans="1:24" ht="23.25" customHeight="1" x14ac:dyDescent="0.2">
      <c r="A19" s="70">
        <v>16</v>
      </c>
      <c r="B19" s="162" t="s">
        <v>53</v>
      </c>
      <c r="C19" s="162"/>
      <c r="D19" s="71" t="s">
        <v>54</v>
      </c>
      <c r="E19" s="70" t="s">
        <v>55</v>
      </c>
      <c r="F19" s="97">
        <v>4350</v>
      </c>
      <c r="G19" s="97">
        <v>6500</v>
      </c>
      <c r="H19" s="85">
        <v>465</v>
      </c>
      <c r="I19" s="104">
        <v>475</v>
      </c>
      <c r="J19" s="87">
        <v>0.45</v>
      </c>
      <c r="K19" s="87"/>
      <c r="L19" s="88">
        <f>I19*12</f>
        <v>5700</v>
      </c>
      <c r="M19" s="159"/>
      <c r="N19" s="89">
        <v>6000</v>
      </c>
      <c r="O19" s="96">
        <f t="shared" si="0"/>
        <v>500</v>
      </c>
      <c r="P19" s="91">
        <v>0.9</v>
      </c>
      <c r="Q19" s="92">
        <f t="shared" si="1"/>
        <v>5400</v>
      </c>
      <c r="R19" s="92">
        <f t="shared" si="2"/>
        <v>16991.64</v>
      </c>
      <c r="S19" s="92">
        <v>1850</v>
      </c>
      <c r="T19" s="92">
        <v>1450</v>
      </c>
      <c r="U19" s="93">
        <f t="shared" si="7"/>
        <v>3.0526315789473686</v>
      </c>
      <c r="V19" s="99">
        <v>4475</v>
      </c>
      <c r="W19" s="95">
        <f t="shared" si="3"/>
        <v>4027.5</v>
      </c>
      <c r="X19" s="95">
        <f t="shared" si="4"/>
        <v>12672.931499999999</v>
      </c>
    </row>
    <row r="20" spans="1:24" ht="60.75" customHeight="1" x14ac:dyDescent="0.2">
      <c r="A20" s="70">
        <v>17</v>
      </c>
      <c r="B20" s="162" t="s">
        <v>53</v>
      </c>
      <c r="C20" s="162"/>
      <c r="D20" s="107" t="s">
        <v>56</v>
      </c>
      <c r="E20" s="70" t="s">
        <v>26</v>
      </c>
      <c r="F20" s="97">
        <v>156000</v>
      </c>
      <c r="G20" s="97">
        <v>147000</v>
      </c>
      <c r="H20" s="85">
        <v>11878.1</v>
      </c>
      <c r="I20" s="104">
        <v>12369.09090909091</v>
      </c>
      <c r="J20" s="163">
        <v>1</v>
      </c>
      <c r="K20" s="105">
        <f>I20/(SUM($I$20:$I$22))</f>
        <v>0.43104568019743322</v>
      </c>
      <c r="L20" s="88">
        <f>K20*$D$1</f>
        <v>169519.92092532574</v>
      </c>
      <c r="M20" s="159"/>
      <c r="N20" s="89">
        <v>152498</v>
      </c>
      <c r="O20" s="96">
        <f t="shared" si="0"/>
        <v>12708.166666666666</v>
      </c>
      <c r="P20" s="91">
        <v>1.4</v>
      </c>
      <c r="Q20" s="92">
        <f t="shared" si="1"/>
        <v>213497.19999999998</v>
      </c>
      <c r="R20" s="92">
        <f t="shared" si="2"/>
        <v>671790.28951999987</v>
      </c>
      <c r="S20" s="92">
        <v>28219</v>
      </c>
      <c r="T20" s="92">
        <v>15799</v>
      </c>
      <c r="U20" s="93">
        <f t="shared" si="7"/>
        <v>1.2772967808319857</v>
      </c>
      <c r="V20" s="99">
        <f t="shared" si="8"/>
        <v>136265.89962639031</v>
      </c>
      <c r="W20" s="95">
        <f t="shared" si="3"/>
        <v>190772.25947694643</v>
      </c>
      <c r="X20" s="95">
        <f t="shared" si="4"/>
        <v>600283.99167015962</v>
      </c>
    </row>
    <row r="21" spans="1:24" ht="62.25" customHeight="1" x14ac:dyDescent="0.2">
      <c r="A21" s="70">
        <v>18</v>
      </c>
      <c r="B21" s="162" t="s">
        <v>53</v>
      </c>
      <c r="C21" s="162"/>
      <c r="D21" s="107" t="s">
        <v>57</v>
      </c>
      <c r="E21" s="70" t="s">
        <v>26</v>
      </c>
      <c r="F21" s="97">
        <v>195328</v>
      </c>
      <c r="G21" s="97">
        <v>185024</v>
      </c>
      <c r="H21" s="85">
        <v>15189.9</v>
      </c>
      <c r="I21" s="104">
        <v>15719.545454545454</v>
      </c>
      <c r="J21" s="164"/>
      <c r="K21" s="105">
        <f t="shared" ref="K21:K22" si="9">I21/(SUM($I$20:$I$22))</f>
        <v>0.54780437888680844</v>
      </c>
      <c r="L21" s="88">
        <f t="shared" ref="L21:L22" si="10">K21*$D$1</f>
        <v>215438.31491108847</v>
      </c>
      <c r="M21" s="159"/>
      <c r="N21" s="89">
        <v>196016</v>
      </c>
      <c r="O21" s="96">
        <f t="shared" si="0"/>
        <v>16334.666666666666</v>
      </c>
      <c r="P21" s="91">
        <v>1.5</v>
      </c>
      <c r="Q21" s="92">
        <f t="shared" si="1"/>
        <v>294024</v>
      </c>
      <c r="R21" s="92">
        <f t="shared" si="2"/>
        <v>925175.91839999997</v>
      </c>
      <c r="S21" s="92">
        <v>33125</v>
      </c>
      <c r="T21" s="92">
        <v>16585</v>
      </c>
      <c r="U21" s="93">
        <f t="shared" si="7"/>
        <v>1.0550559523465286</v>
      </c>
      <c r="V21" s="99">
        <f t="shared" si="8"/>
        <v>178782.01270373689</v>
      </c>
      <c r="W21" s="95">
        <f t="shared" si="3"/>
        <v>268173.01905560534</v>
      </c>
      <c r="X21" s="95">
        <f t="shared" si="4"/>
        <v>843833.22176036774</v>
      </c>
    </row>
    <row r="22" spans="1:24" ht="75" customHeight="1" x14ac:dyDescent="0.2">
      <c r="A22" s="70">
        <v>19</v>
      </c>
      <c r="B22" s="162" t="s">
        <v>53</v>
      </c>
      <c r="C22" s="162"/>
      <c r="D22" s="107" t="s">
        <v>58</v>
      </c>
      <c r="E22" s="70" t="s">
        <v>26</v>
      </c>
      <c r="F22" s="97">
        <v>7200</v>
      </c>
      <c r="G22" s="97">
        <v>8560</v>
      </c>
      <c r="H22" s="85">
        <v>628.6</v>
      </c>
      <c r="I22" s="104">
        <v>606.90909090909088</v>
      </c>
      <c r="J22" s="165"/>
      <c r="K22" s="105">
        <f t="shared" si="9"/>
        <v>2.1149940915758225E-2</v>
      </c>
      <c r="L22" s="88">
        <f t="shared" si="10"/>
        <v>8317.7641635857326</v>
      </c>
      <c r="M22" s="159"/>
      <c r="N22" s="89">
        <f>20112+3000+8317</f>
        <v>31429</v>
      </c>
      <c r="O22" s="96">
        <f t="shared" si="0"/>
        <v>2619.0833333333335</v>
      </c>
      <c r="P22" s="91">
        <v>3.8</v>
      </c>
      <c r="Q22" s="92">
        <f t="shared" si="1"/>
        <v>119430.2</v>
      </c>
      <c r="R22" s="92">
        <f t="shared" si="2"/>
        <v>375799.06731999997</v>
      </c>
      <c r="S22" s="92">
        <v>2274</v>
      </c>
      <c r="T22" s="92">
        <v>1354</v>
      </c>
      <c r="U22" s="93">
        <f t="shared" si="7"/>
        <v>2.2309766327142002</v>
      </c>
      <c r="V22" s="99">
        <f t="shared" si="8"/>
        <v>25585.886284202119</v>
      </c>
      <c r="W22" s="95">
        <f t="shared" si="3"/>
        <v>97226.367879968049</v>
      </c>
      <c r="X22" s="95">
        <f t="shared" si="4"/>
        <v>305932.48917110747</v>
      </c>
    </row>
    <row r="23" spans="1:24" ht="32.25" customHeight="1" x14ac:dyDescent="0.2">
      <c r="A23" s="70">
        <v>20</v>
      </c>
      <c r="B23" s="162" t="s">
        <v>59</v>
      </c>
      <c r="C23" s="162"/>
      <c r="D23" s="108" t="s">
        <v>60</v>
      </c>
      <c r="E23" s="70" t="s">
        <v>61</v>
      </c>
      <c r="F23" s="97">
        <v>27600</v>
      </c>
      <c r="G23" s="97">
        <v>28300</v>
      </c>
      <c r="H23" s="85">
        <v>2135</v>
      </c>
      <c r="I23" s="104">
        <v>2289</v>
      </c>
      <c r="J23" s="87">
        <v>7.4999999999999997E-2</v>
      </c>
      <c r="K23" s="87"/>
      <c r="L23" s="88">
        <f>J23*$D$1</f>
        <v>29495.699999999997</v>
      </c>
      <c r="M23" s="159"/>
      <c r="N23" s="89">
        <v>29500</v>
      </c>
      <c r="O23" s="96">
        <f t="shared" si="0"/>
        <v>2458.3333333333335</v>
      </c>
      <c r="P23" s="91">
        <v>1.4</v>
      </c>
      <c r="Q23" s="92">
        <f t="shared" si="1"/>
        <v>41300</v>
      </c>
      <c r="R23" s="92">
        <f t="shared" si="2"/>
        <v>129954.57999999999</v>
      </c>
      <c r="S23" s="92">
        <v>6950</v>
      </c>
      <c r="T23" s="92">
        <v>4450</v>
      </c>
      <c r="U23" s="93">
        <f t="shared" si="7"/>
        <v>1.9440803844473569</v>
      </c>
      <c r="V23" s="99">
        <v>24720</v>
      </c>
      <c r="W23" s="95">
        <f t="shared" si="3"/>
        <v>34608</v>
      </c>
      <c r="X23" s="95">
        <f t="shared" si="4"/>
        <v>108897.5328</v>
      </c>
    </row>
    <row r="24" spans="1:24" ht="22.5" customHeight="1" x14ac:dyDescent="0.2">
      <c r="A24" s="70">
        <v>21</v>
      </c>
      <c r="B24" s="162" t="s">
        <v>62</v>
      </c>
      <c r="C24" s="162"/>
      <c r="D24" s="71"/>
      <c r="E24" s="70" t="s">
        <v>55</v>
      </c>
      <c r="F24" s="97">
        <v>70000</v>
      </c>
      <c r="G24" s="97">
        <v>79400</v>
      </c>
      <c r="H24" s="85">
        <v>6370</v>
      </c>
      <c r="I24" s="104">
        <v>7400</v>
      </c>
      <c r="J24" s="87">
        <v>0.2</v>
      </c>
      <c r="K24" s="87"/>
      <c r="L24" s="88">
        <f>J24*$D$1</f>
        <v>78655.200000000012</v>
      </c>
      <c r="M24" s="160"/>
      <c r="N24" s="89">
        <v>82000</v>
      </c>
      <c r="O24" s="96">
        <f t="shared" si="0"/>
        <v>6833.333333333333</v>
      </c>
      <c r="P24" s="109">
        <v>0.53500000000000003</v>
      </c>
      <c r="Q24" s="92">
        <f t="shared" si="1"/>
        <v>43870</v>
      </c>
      <c r="R24" s="92">
        <f t="shared" si="2"/>
        <v>138041.342</v>
      </c>
      <c r="S24" s="92">
        <v>15700</v>
      </c>
      <c r="T24" s="92">
        <v>9050</v>
      </c>
      <c r="U24" s="93">
        <f t="shared" si="7"/>
        <v>1.222972972972973</v>
      </c>
      <c r="V24" s="99">
        <v>73650</v>
      </c>
      <c r="W24" s="95">
        <f t="shared" si="3"/>
        <v>39402.75</v>
      </c>
      <c r="X24" s="95">
        <f t="shared" si="4"/>
        <v>123984.69314999999</v>
      </c>
    </row>
    <row r="25" spans="1:24" ht="30.75" customHeight="1" x14ac:dyDescent="0.2">
      <c r="L25" s="115"/>
      <c r="Q25" s="116">
        <f>SUM(Q4:Q24)</f>
        <v>5131599.1900000004</v>
      </c>
      <c r="R25" s="117">
        <f>SUM(R4:R24)</f>
        <v>16147090.011254</v>
      </c>
      <c r="S25" s="117"/>
      <c r="T25" s="117"/>
      <c r="U25" s="67"/>
      <c r="V25" s="67"/>
      <c r="W25" s="67"/>
      <c r="X25" s="118">
        <f>SUM(X4:X24)</f>
        <v>13966242.532727215</v>
      </c>
    </row>
    <row r="26" spans="1:24" ht="36.75" customHeight="1" x14ac:dyDescent="0.2">
      <c r="A26" s="110" t="s">
        <v>63</v>
      </c>
      <c r="B26" s="170" t="s">
        <v>88</v>
      </c>
      <c r="C26" s="170"/>
      <c r="D26" s="170"/>
      <c r="E26" s="170"/>
      <c r="F26" s="170"/>
      <c r="G26" s="170"/>
      <c r="J26" s="119"/>
      <c r="K26" s="119"/>
      <c r="R26" s="64"/>
      <c r="S26" s="64"/>
      <c r="T26" s="64"/>
      <c r="U26" s="67"/>
      <c r="V26" s="121"/>
      <c r="W26" s="67"/>
      <c r="X26" s="67"/>
    </row>
    <row r="27" spans="1:24" x14ac:dyDescent="0.2">
      <c r="U27" s="121"/>
      <c r="V27" s="121"/>
      <c r="W27" s="67"/>
      <c r="X27" s="67"/>
    </row>
    <row r="28" spans="1:24" ht="21" customHeight="1" x14ac:dyDescent="0.2">
      <c r="B28" s="166" t="s">
        <v>91</v>
      </c>
      <c r="C28" s="166"/>
      <c r="D28" s="166"/>
      <c r="R28" s="64"/>
      <c r="S28" s="64"/>
      <c r="T28" s="64"/>
      <c r="U28" s="64"/>
      <c r="V28" s="64"/>
    </row>
    <row r="29" spans="1:24" x14ac:dyDescent="0.2">
      <c r="R29" s="64"/>
      <c r="S29" s="64"/>
      <c r="T29" s="64"/>
      <c r="U29" s="64"/>
      <c r="V29" s="64"/>
    </row>
    <row r="30" spans="1:24" x14ac:dyDescent="0.2">
      <c r="R30" s="64"/>
      <c r="S30" s="64"/>
      <c r="T30" s="64"/>
      <c r="U30" s="64"/>
      <c r="V30" s="64"/>
    </row>
  </sheetData>
  <mergeCells count="31">
    <mergeCell ref="B28:D28"/>
    <mergeCell ref="B1:C1"/>
    <mergeCell ref="B2:C2"/>
    <mergeCell ref="B3:C3"/>
    <mergeCell ref="B4:C4"/>
    <mergeCell ref="B26:G26"/>
    <mergeCell ref="B19:C19"/>
    <mergeCell ref="B20:C20"/>
    <mergeCell ref="B21:C21"/>
    <mergeCell ref="B22:C22"/>
    <mergeCell ref="B10:C10"/>
    <mergeCell ref="B11:C11"/>
    <mergeCell ref="B12:C12"/>
    <mergeCell ref="B13:C13"/>
    <mergeCell ref="B14:C14"/>
    <mergeCell ref="M4:M24"/>
    <mergeCell ref="B5:C5"/>
    <mergeCell ref="B6:C6"/>
    <mergeCell ref="D6:D14"/>
    <mergeCell ref="B7:C7"/>
    <mergeCell ref="B8:C8"/>
    <mergeCell ref="B23:C23"/>
    <mergeCell ref="B24:C24"/>
    <mergeCell ref="J4:J14"/>
    <mergeCell ref="J20:J22"/>
    <mergeCell ref="J17:J18"/>
    <mergeCell ref="B9:C9"/>
    <mergeCell ref="B15:C15"/>
    <mergeCell ref="B16:C16"/>
    <mergeCell ref="B17:C17"/>
    <mergeCell ref="B18:C18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N32"/>
  <sheetViews>
    <sheetView topLeftCell="A16" workbookViewId="0">
      <selection activeCell="J32" sqref="J32"/>
    </sheetView>
  </sheetViews>
  <sheetFormatPr defaultRowHeight="12" x14ac:dyDescent="0.2"/>
  <cols>
    <col min="1" max="1" width="4.7109375" style="5" customWidth="1"/>
    <col min="2" max="2" width="24.42578125" style="5" customWidth="1"/>
    <col min="3" max="3" width="7.42578125" style="5" customWidth="1"/>
    <col min="4" max="4" width="8.7109375" style="5" customWidth="1"/>
    <col min="5" max="5" width="9.42578125" style="6" customWidth="1"/>
    <col min="6" max="6" width="7.42578125" style="6" customWidth="1"/>
    <col min="7" max="7" width="10.140625" style="6" customWidth="1"/>
    <col min="8" max="8" width="8.7109375" style="6" customWidth="1"/>
    <col min="9" max="9" width="9.140625" style="6" customWidth="1"/>
    <col min="10" max="10" width="11.85546875" style="6" customWidth="1"/>
    <col min="11" max="11" width="9" style="6" customWidth="1"/>
    <col min="12" max="12" width="11.28515625" style="5" customWidth="1"/>
    <col min="13" max="13" width="9.5703125" style="5" bestFit="1" customWidth="1"/>
    <col min="14" max="14" width="11.5703125" style="5" customWidth="1"/>
    <col min="15" max="16384" width="9.140625" style="5"/>
  </cols>
  <sheetData>
    <row r="2" spans="1:14" ht="39" customHeight="1" x14ac:dyDescent="0.2">
      <c r="B2" s="5" t="s">
        <v>93</v>
      </c>
      <c r="C2" s="171" t="s">
        <v>92</v>
      </c>
      <c r="D2" s="171"/>
      <c r="E2" s="171"/>
      <c r="F2" s="171"/>
      <c r="G2" s="7"/>
      <c r="H2" s="32"/>
      <c r="I2" s="31"/>
      <c r="J2" s="32"/>
      <c r="K2" s="31"/>
    </row>
    <row r="4" spans="1:14" ht="48" x14ac:dyDescent="0.2">
      <c r="B4" s="5" t="s">
        <v>171</v>
      </c>
    </row>
    <row r="5" spans="1:14" ht="24" x14ac:dyDescent="0.2">
      <c r="B5" s="5" t="s">
        <v>172</v>
      </c>
    </row>
    <row r="6" spans="1:14" x14ac:dyDescent="0.2">
      <c r="B6" s="5" t="s">
        <v>173</v>
      </c>
    </row>
    <row r="7" spans="1:14" ht="24" x14ac:dyDescent="0.2">
      <c r="B7" s="5" t="s">
        <v>174</v>
      </c>
    </row>
    <row r="9" spans="1:14" ht="12" customHeight="1" x14ac:dyDescent="0.2">
      <c r="B9" s="5" t="s">
        <v>64</v>
      </c>
    </row>
    <row r="10" spans="1:14" ht="112.5" x14ac:dyDescent="0.2">
      <c r="A10" s="3" t="s">
        <v>9</v>
      </c>
      <c r="B10" s="3" t="s">
        <v>65</v>
      </c>
      <c r="C10" s="3" t="s">
        <v>66</v>
      </c>
      <c r="D10" s="9" t="s">
        <v>144</v>
      </c>
      <c r="E10" s="10" t="s">
        <v>145</v>
      </c>
      <c r="F10" s="2" t="s">
        <v>24</v>
      </c>
      <c r="G10" s="2" t="s">
        <v>170</v>
      </c>
      <c r="H10" s="2" t="s">
        <v>178</v>
      </c>
      <c r="I10" s="19" t="s">
        <v>175</v>
      </c>
      <c r="J10" s="19" t="s">
        <v>169</v>
      </c>
      <c r="K10" s="4" t="s">
        <v>156</v>
      </c>
      <c r="L10" s="19" t="s">
        <v>168</v>
      </c>
      <c r="M10" s="1" t="s">
        <v>87</v>
      </c>
      <c r="N10" s="1" t="s">
        <v>192</v>
      </c>
    </row>
    <row r="11" spans="1:14" ht="24" x14ac:dyDescent="0.2">
      <c r="A11" s="3">
        <v>1</v>
      </c>
      <c r="B11" s="3" t="s">
        <v>67</v>
      </c>
      <c r="C11" s="3" t="s">
        <v>26</v>
      </c>
      <c r="D11" s="34">
        <v>28250</v>
      </c>
      <c r="E11" s="35">
        <v>45120</v>
      </c>
      <c r="F11" s="35">
        <v>7.9</v>
      </c>
      <c r="G11" s="35">
        <f>F11*E11</f>
        <v>356448</v>
      </c>
      <c r="H11" s="37">
        <v>2857.5</v>
      </c>
      <c r="I11" s="21">
        <v>16545</v>
      </c>
      <c r="J11" s="21">
        <v>13470</v>
      </c>
      <c r="K11" s="36">
        <f>J11/H11</f>
        <v>4.7139107611548559</v>
      </c>
      <c r="L11" s="62">
        <f>H11*(12-K11)</f>
        <v>20820</v>
      </c>
      <c r="M11" s="45">
        <f t="shared" ref="M11:M26" si="0">L11*F11</f>
        <v>164478</v>
      </c>
      <c r="N11" s="45">
        <f>M11*2.6673</f>
        <v>438712.16940000001</v>
      </c>
    </row>
    <row r="12" spans="1:14" ht="24" x14ac:dyDescent="0.2">
      <c r="A12" s="3">
        <v>2</v>
      </c>
      <c r="B12" s="3" t="s">
        <v>68</v>
      </c>
      <c r="C12" s="3" t="s">
        <v>26</v>
      </c>
      <c r="D12" s="34">
        <v>41730</v>
      </c>
      <c r="E12" s="35">
        <v>50180</v>
      </c>
      <c r="F12" s="35">
        <v>7.9</v>
      </c>
      <c r="G12" s="35">
        <f t="shared" ref="G12:G26" si="1">F12*E12</f>
        <v>396422</v>
      </c>
      <c r="H12" s="37">
        <v>3494.5</v>
      </c>
      <c r="I12" s="21">
        <v>15235</v>
      </c>
      <c r="J12" s="21">
        <v>11715</v>
      </c>
      <c r="K12" s="36">
        <f t="shared" ref="K12:K26" si="2">J12/H12</f>
        <v>3.3524109314637287</v>
      </c>
      <c r="L12" s="62">
        <f t="shared" ref="L12:L26" si="3">H12*(12-K12)</f>
        <v>30219</v>
      </c>
      <c r="M12" s="45">
        <f t="shared" si="0"/>
        <v>238730.1</v>
      </c>
      <c r="N12" s="45">
        <f t="shared" ref="N12:N26" si="4">M12*2.6673</f>
        <v>636764.79573000001</v>
      </c>
    </row>
    <row r="13" spans="1:14" ht="24" x14ac:dyDescent="0.2">
      <c r="A13" s="3">
        <v>3</v>
      </c>
      <c r="B13" s="3" t="s">
        <v>69</v>
      </c>
      <c r="C13" s="3" t="s">
        <v>26</v>
      </c>
      <c r="D13" s="34">
        <v>5000</v>
      </c>
      <c r="E13" s="35">
        <v>6440</v>
      </c>
      <c r="F13" s="35">
        <v>7.9</v>
      </c>
      <c r="G13" s="35">
        <f t="shared" si="1"/>
        <v>50876</v>
      </c>
      <c r="H13" s="37">
        <v>422.5</v>
      </c>
      <c r="I13" s="21">
        <v>2215</v>
      </c>
      <c r="J13" s="21">
        <v>1770</v>
      </c>
      <c r="K13" s="36">
        <f t="shared" si="2"/>
        <v>4.1893491124260356</v>
      </c>
      <c r="L13" s="62">
        <f t="shared" si="3"/>
        <v>3300</v>
      </c>
      <c r="M13" s="45">
        <f t="shared" si="0"/>
        <v>26070</v>
      </c>
      <c r="N13" s="45">
        <f t="shared" si="4"/>
        <v>69536.510999999999</v>
      </c>
    </row>
    <row r="14" spans="1:14" ht="24" x14ac:dyDescent="0.2">
      <c r="A14" s="3">
        <v>4</v>
      </c>
      <c r="B14" s="3" t="s">
        <v>70</v>
      </c>
      <c r="C14" s="3" t="s">
        <v>26</v>
      </c>
      <c r="D14" s="34">
        <v>1244</v>
      </c>
      <c r="E14" s="35">
        <v>2904</v>
      </c>
      <c r="F14" s="35">
        <v>8.5</v>
      </c>
      <c r="G14" s="35">
        <f t="shared" si="1"/>
        <v>24684</v>
      </c>
      <c r="H14" s="37">
        <v>117.2</v>
      </c>
      <c r="I14" s="21">
        <v>1732</v>
      </c>
      <c r="J14" s="21">
        <v>1644</v>
      </c>
      <c r="K14" s="36">
        <f t="shared" si="2"/>
        <v>14.027303754266212</v>
      </c>
      <c r="L14" s="62">
        <v>0</v>
      </c>
      <c r="M14" s="45">
        <f t="shared" si="0"/>
        <v>0</v>
      </c>
      <c r="N14" s="45">
        <f t="shared" si="4"/>
        <v>0</v>
      </c>
    </row>
    <row r="15" spans="1:14" ht="24" x14ac:dyDescent="0.2">
      <c r="A15" s="3">
        <v>5</v>
      </c>
      <c r="B15" s="3" t="s">
        <v>71</v>
      </c>
      <c r="C15" s="3" t="s">
        <v>26</v>
      </c>
      <c r="D15" s="34">
        <v>7412</v>
      </c>
      <c r="E15" s="35">
        <v>5992</v>
      </c>
      <c r="F15" s="35">
        <v>8.5</v>
      </c>
      <c r="G15" s="35">
        <f t="shared" si="1"/>
        <v>50932</v>
      </c>
      <c r="H15" s="37">
        <v>416</v>
      </c>
      <c r="I15" s="21">
        <v>1832</v>
      </c>
      <c r="J15" s="21">
        <v>1556</v>
      </c>
      <c r="K15" s="36">
        <f t="shared" si="2"/>
        <v>3.7403846153846154</v>
      </c>
      <c r="L15" s="62">
        <f t="shared" si="3"/>
        <v>3436</v>
      </c>
      <c r="M15" s="45">
        <f t="shared" si="0"/>
        <v>29206</v>
      </c>
      <c r="N15" s="45">
        <f t="shared" si="4"/>
        <v>77901.163799999995</v>
      </c>
    </row>
    <row r="16" spans="1:14" ht="24" x14ac:dyDescent="0.2">
      <c r="A16" s="3">
        <v>6</v>
      </c>
      <c r="B16" s="3" t="s">
        <v>72</v>
      </c>
      <c r="C16" s="3" t="s">
        <v>26</v>
      </c>
      <c r="D16" s="34">
        <v>1796</v>
      </c>
      <c r="E16" s="35">
        <v>1372</v>
      </c>
      <c r="F16" s="35">
        <v>8.5</v>
      </c>
      <c r="G16" s="35">
        <f t="shared" si="1"/>
        <v>11662</v>
      </c>
      <c r="H16" s="37">
        <v>93.2</v>
      </c>
      <c r="I16" s="21">
        <v>440</v>
      </c>
      <c r="J16" s="21">
        <v>320</v>
      </c>
      <c r="K16" s="36">
        <f t="shared" si="2"/>
        <v>3.4334763948497855</v>
      </c>
      <c r="L16" s="62">
        <v>799</v>
      </c>
      <c r="M16" s="45">
        <f t="shared" si="0"/>
        <v>6791.5</v>
      </c>
      <c r="N16" s="45">
        <f t="shared" si="4"/>
        <v>18114.967949999998</v>
      </c>
    </row>
    <row r="17" spans="1:14" ht="24" x14ac:dyDescent="0.2">
      <c r="A17" s="3">
        <v>7</v>
      </c>
      <c r="B17" s="48" t="s">
        <v>79</v>
      </c>
      <c r="C17" s="3" t="s">
        <v>26</v>
      </c>
      <c r="D17" s="34">
        <v>8070</v>
      </c>
      <c r="E17" s="35">
        <v>2534</v>
      </c>
      <c r="F17" s="35">
        <v>9.6</v>
      </c>
      <c r="G17" s="35">
        <f t="shared" si="1"/>
        <v>24326.399999999998</v>
      </c>
      <c r="H17" s="37">
        <v>265</v>
      </c>
      <c r="I17" s="21">
        <v>1934</v>
      </c>
      <c r="J17" s="21">
        <v>1584</v>
      </c>
      <c r="K17" s="36">
        <f t="shared" si="2"/>
        <v>5.9773584905660373</v>
      </c>
      <c r="L17" s="62">
        <f t="shared" si="3"/>
        <v>1596.0000000000002</v>
      </c>
      <c r="M17" s="45">
        <f t="shared" si="0"/>
        <v>15321.600000000002</v>
      </c>
      <c r="N17" s="45">
        <f t="shared" si="4"/>
        <v>40867.303680000005</v>
      </c>
    </row>
    <row r="18" spans="1:14" ht="24" x14ac:dyDescent="0.2">
      <c r="A18" s="3">
        <v>8</v>
      </c>
      <c r="B18" s="48" t="s">
        <v>80</v>
      </c>
      <c r="C18" s="3" t="s">
        <v>26</v>
      </c>
      <c r="D18" s="34">
        <v>12110</v>
      </c>
      <c r="E18" s="35">
        <v>5270</v>
      </c>
      <c r="F18" s="35">
        <v>9.6</v>
      </c>
      <c r="G18" s="35">
        <f t="shared" si="1"/>
        <v>50592</v>
      </c>
      <c r="H18" s="37">
        <v>553</v>
      </c>
      <c r="I18" s="21">
        <v>4660</v>
      </c>
      <c r="J18" s="21">
        <v>4340</v>
      </c>
      <c r="K18" s="36">
        <f t="shared" si="2"/>
        <v>7.8481012658227849</v>
      </c>
      <c r="L18" s="62">
        <f t="shared" si="3"/>
        <v>2296</v>
      </c>
      <c r="M18" s="45">
        <f t="shared" si="0"/>
        <v>22041.599999999999</v>
      </c>
      <c r="N18" s="45">
        <f t="shared" si="4"/>
        <v>58791.559679999998</v>
      </c>
    </row>
    <row r="19" spans="1:14" ht="36" x14ac:dyDescent="0.2">
      <c r="A19" s="3">
        <v>9</v>
      </c>
      <c r="B19" s="3" t="s">
        <v>73</v>
      </c>
      <c r="C19" s="3" t="s">
        <v>26</v>
      </c>
      <c r="D19" s="34">
        <v>8900</v>
      </c>
      <c r="E19" s="35">
        <v>6740</v>
      </c>
      <c r="F19" s="35">
        <v>21.3</v>
      </c>
      <c r="G19" s="35">
        <f t="shared" si="1"/>
        <v>143562</v>
      </c>
      <c r="H19" s="37">
        <v>524.5</v>
      </c>
      <c r="I19" s="21">
        <v>1495</v>
      </c>
      <c r="J19" s="21">
        <v>765</v>
      </c>
      <c r="K19" s="36">
        <f t="shared" si="2"/>
        <v>1.4585319351763584</v>
      </c>
      <c r="L19" s="62">
        <f t="shared" si="3"/>
        <v>5529</v>
      </c>
      <c r="M19" s="45">
        <f t="shared" si="0"/>
        <v>117767.7</v>
      </c>
      <c r="N19" s="45">
        <f t="shared" si="4"/>
        <v>314121.78620999999</v>
      </c>
    </row>
    <row r="20" spans="1:14" x14ac:dyDescent="0.2">
      <c r="A20" s="3">
        <v>10</v>
      </c>
      <c r="B20" s="3" t="s">
        <v>74</v>
      </c>
      <c r="C20" s="3" t="s">
        <v>26</v>
      </c>
      <c r="D20" s="34">
        <v>124773</v>
      </c>
      <c r="E20" s="35">
        <v>123237</v>
      </c>
      <c r="F20" s="35">
        <v>0.3</v>
      </c>
      <c r="G20" s="35">
        <f t="shared" si="1"/>
        <v>36971.1</v>
      </c>
      <c r="H20" s="37">
        <v>6687</v>
      </c>
      <c r="I20" s="21">
        <v>56367</v>
      </c>
      <c r="J20" s="21">
        <v>48267</v>
      </c>
      <c r="K20" s="36">
        <f t="shared" si="2"/>
        <v>7.2180349932705248</v>
      </c>
      <c r="L20" s="62">
        <f t="shared" si="3"/>
        <v>31977</v>
      </c>
      <c r="M20" s="45">
        <f t="shared" si="0"/>
        <v>9593.1</v>
      </c>
      <c r="N20" s="45">
        <f t="shared" si="4"/>
        <v>25587.675630000002</v>
      </c>
    </row>
    <row r="21" spans="1:14" ht="36" x14ac:dyDescent="0.2">
      <c r="A21" s="3">
        <v>11</v>
      </c>
      <c r="B21" s="3" t="s">
        <v>75</v>
      </c>
      <c r="C21" s="3" t="s">
        <v>26</v>
      </c>
      <c r="D21" s="34">
        <v>126</v>
      </c>
      <c r="E21" s="35">
        <v>278</v>
      </c>
      <c r="F21" s="35">
        <v>25.5</v>
      </c>
      <c r="G21" s="35">
        <f t="shared" si="1"/>
        <v>7089</v>
      </c>
      <c r="H21" s="37">
        <v>15.2</v>
      </c>
      <c r="I21" s="21">
        <v>126</v>
      </c>
      <c r="J21" s="21">
        <v>102</v>
      </c>
      <c r="K21" s="36">
        <f t="shared" si="2"/>
        <v>6.7105263157894743</v>
      </c>
      <c r="L21" s="62">
        <v>81</v>
      </c>
      <c r="M21" s="45">
        <f t="shared" si="0"/>
        <v>2065.5</v>
      </c>
      <c r="N21" s="45">
        <f t="shared" si="4"/>
        <v>5509.3081499999998</v>
      </c>
    </row>
    <row r="22" spans="1:14" ht="23.25" customHeight="1" x14ac:dyDescent="0.2">
      <c r="A22" s="3">
        <v>12</v>
      </c>
      <c r="B22" s="3" t="s">
        <v>76</v>
      </c>
      <c r="C22" s="3" t="s">
        <v>26</v>
      </c>
      <c r="D22" s="34">
        <v>15</v>
      </c>
      <c r="E22" s="35">
        <v>15</v>
      </c>
      <c r="F22" s="35">
        <v>223.8</v>
      </c>
      <c r="G22" s="35">
        <f t="shared" si="1"/>
        <v>3357</v>
      </c>
      <c r="H22" s="37">
        <v>1.4</v>
      </c>
      <c r="I22" s="21">
        <v>1</v>
      </c>
      <c r="J22" s="21">
        <v>1</v>
      </c>
      <c r="K22" s="36">
        <f t="shared" si="2"/>
        <v>0.7142857142857143</v>
      </c>
      <c r="L22" s="62">
        <v>16</v>
      </c>
      <c r="M22" s="45">
        <f t="shared" si="0"/>
        <v>3580.8</v>
      </c>
      <c r="N22" s="45">
        <f t="shared" si="4"/>
        <v>9551.0678399999997</v>
      </c>
    </row>
    <row r="23" spans="1:14" ht="23.25" customHeight="1" x14ac:dyDescent="0.2">
      <c r="A23" s="3">
        <v>13</v>
      </c>
      <c r="B23" s="3" t="s">
        <v>77</v>
      </c>
      <c r="C23" s="3" t="s">
        <v>26</v>
      </c>
      <c r="D23" s="34">
        <v>15</v>
      </c>
      <c r="E23" s="35">
        <v>32</v>
      </c>
      <c r="F23" s="35">
        <v>94.9</v>
      </c>
      <c r="G23" s="35">
        <f t="shared" si="1"/>
        <v>3036.8</v>
      </c>
      <c r="H23" s="37">
        <v>2</v>
      </c>
      <c r="I23" s="21">
        <v>11</v>
      </c>
      <c r="J23" s="21">
        <v>11</v>
      </c>
      <c r="K23" s="36">
        <f t="shared" si="2"/>
        <v>5.5</v>
      </c>
      <c r="L23" s="62">
        <f t="shared" si="3"/>
        <v>13</v>
      </c>
      <c r="M23" s="45">
        <f t="shared" si="0"/>
        <v>1233.7</v>
      </c>
      <c r="N23" s="45">
        <f t="shared" si="4"/>
        <v>3290.6480100000003</v>
      </c>
    </row>
    <row r="24" spans="1:14" ht="23.25" customHeight="1" x14ac:dyDescent="0.2">
      <c r="A24" s="3">
        <v>14</v>
      </c>
      <c r="B24" s="3" t="s">
        <v>78</v>
      </c>
      <c r="C24" s="3" t="s">
        <v>26</v>
      </c>
      <c r="D24" s="34">
        <v>200</v>
      </c>
      <c r="E24" s="35">
        <v>201</v>
      </c>
      <c r="F24" s="35">
        <v>1.1000000000000001</v>
      </c>
      <c r="G24" s="35">
        <f t="shared" si="1"/>
        <v>221.10000000000002</v>
      </c>
      <c r="H24" s="37">
        <v>7.8</v>
      </c>
      <c r="I24" s="21">
        <v>123</v>
      </c>
      <c r="J24" s="21">
        <v>111</v>
      </c>
      <c r="K24" s="36">
        <f t="shared" si="2"/>
        <v>14.230769230769232</v>
      </c>
      <c r="L24" s="62">
        <v>0</v>
      </c>
      <c r="M24" s="45">
        <f t="shared" si="0"/>
        <v>0</v>
      </c>
      <c r="N24" s="45">
        <f t="shared" si="4"/>
        <v>0</v>
      </c>
    </row>
    <row r="25" spans="1:14" ht="23.25" customHeight="1" x14ac:dyDescent="0.2">
      <c r="A25" s="3">
        <v>15</v>
      </c>
      <c r="B25" s="3" t="s">
        <v>81</v>
      </c>
      <c r="C25" s="3" t="s">
        <v>26</v>
      </c>
      <c r="D25" s="34">
        <v>6750</v>
      </c>
      <c r="E25" s="35">
        <v>4422</v>
      </c>
      <c r="F25" s="35">
        <v>4.2</v>
      </c>
      <c r="G25" s="35">
        <f t="shared" si="1"/>
        <v>18572.400000000001</v>
      </c>
      <c r="H25" s="37">
        <v>366</v>
      </c>
      <c r="I25" s="21">
        <v>2082</v>
      </c>
      <c r="J25" s="21">
        <v>1662</v>
      </c>
      <c r="K25" s="36">
        <f t="shared" si="2"/>
        <v>4.5409836065573774</v>
      </c>
      <c r="L25" s="62">
        <f t="shared" si="3"/>
        <v>2730</v>
      </c>
      <c r="M25" s="45">
        <f t="shared" si="0"/>
        <v>11466</v>
      </c>
      <c r="N25" s="45">
        <f t="shared" si="4"/>
        <v>30583.2618</v>
      </c>
    </row>
    <row r="26" spans="1:14" ht="23.25" customHeight="1" x14ac:dyDescent="0.2">
      <c r="A26" s="3">
        <v>16</v>
      </c>
      <c r="B26" s="3" t="s">
        <v>82</v>
      </c>
      <c r="C26" s="3" t="s">
        <v>26</v>
      </c>
      <c r="D26" s="34">
        <v>6750</v>
      </c>
      <c r="E26" s="35">
        <v>4422</v>
      </c>
      <c r="F26" s="35">
        <v>17.3</v>
      </c>
      <c r="G26" s="35">
        <f t="shared" si="1"/>
        <v>76500.600000000006</v>
      </c>
      <c r="H26" s="37">
        <v>370</v>
      </c>
      <c r="I26" s="21">
        <v>2022</v>
      </c>
      <c r="J26" s="21">
        <v>1632</v>
      </c>
      <c r="K26" s="36">
        <f t="shared" si="2"/>
        <v>4.4108108108108111</v>
      </c>
      <c r="L26" s="62">
        <f t="shared" si="3"/>
        <v>2808</v>
      </c>
      <c r="M26" s="45">
        <f t="shared" si="0"/>
        <v>48578.400000000001</v>
      </c>
      <c r="N26" s="45">
        <f t="shared" si="4"/>
        <v>129573.16632</v>
      </c>
    </row>
    <row r="27" spans="1:14" ht="33" customHeight="1" x14ac:dyDescent="0.2">
      <c r="G27" s="6">
        <f>SUM(G11:G26)</f>
        <v>1255252.4000000001</v>
      </c>
      <c r="M27" s="46">
        <f>SUM(M11:M26)</f>
        <v>696923.99999999988</v>
      </c>
      <c r="N27" s="47">
        <f>SUM(N11:N26)</f>
        <v>1858905.3851999994</v>
      </c>
    </row>
    <row r="31" spans="1:14" ht="15" customHeight="1" x14ac:dyDescent="0.2">
      <c r="D31" s="172" t="s">
        <v>193</v>
      </c>
      <c r="E31" s="172"/>
      <c r="F31" s="172"/>
      <c r="G31" s="172"/>
      <c r="H31" s="172"/>
      <c r="I31" s="172"/>
      <c r="J31" s="50">
        <f>' 2018 მედიკამენტები'!V6+'ჰემოდიალიზი სახარჯი 2018'!X25+'პერიტ დიალზი 2018'!N27</f>
        <v>18568208.009005778</v>
      </c>
    </row>
    <row r="32" spans="1:14" x14ac:dyDescent="0.2">
      <c r="J32" s="49"/>
    </row>
  </sheetData>
  <mergeCells count="2">
    <mergeCell ref="C2:F2"/>
    <mergeCell ref="D31:I31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8"/>
  <sheetViews>
    <sheetView tabSelected="1" workbookViewId="0">
      <selection activeCell="G33" sqref="G33:G48"/>
    </sheetView>
  </sheetViews>
  <sheetFormatPr defaultRowHeight="11.25" x14ac:dyDescent="0.2"/>
  <cols>
    <col min="1" max="1" width="9.140625" style="61"/>
    <col min="2" max="2" width="16.7109375" style="61" customWidth="1"/>
    <col min="3" max="3" width="11.85546875" style="28" customWidth="1"/>
    <col min="4" max="4" width="16" style="28" customWidth="1"/>
    <col min="5" max="5" width="10.85546875" style="28" customWidth="1"/>
    <col min="6" max="6" width="13.5703125" style="28" customWidth="1"/>
    <col min="7" max="8" width="9.140625" style="28"/>
    <col min="9" max="9" width="10" style="28" bestFit="1" customWidth="1"/>
    <col min="10" max="16384" width="9.140625" style="28"/>
  </cols>
  <sheetData>
    <row r="1" spans="1:8" ht="31.5" customHeight="1" x14ac:dyDescent="0.2">
      <c r="A1" s="173" t="s">
        <v>97</v>
      </c>
      <c r="B1" s="174"/>
      <c r="C1" s="174"/>
      <c r="D1" s="174"/>
      <c r="E1" s="174"/>
      <c r="F1" s="174"/>
      <c r="G1" s="174"/>
      <c r="H1" s="175"/>
    </row>
    <row r="2" spans="1:8" ht="35.25" customHeight="1" x14ac:dyDescent="0.2">
      <c r="A2" s="176" t="s">
        <v>98</v>
      </c>
      <c r="B2" s="177"/>
      <c r="C2" s="177"/>
      <c r="D2" s="177"/>
      <c r="E2" s="177"/>
      <c r="F2" s="177"/>
      <c r="G2" s="177"/>
      <c r="H2" s="178"/>
    </row>
    <row r="3" spans="1:8" ht="33.75" x14ac:dyDescent="0.2">
      <c r="A3" s="14" t="s">
        <v>94</v>
      </c>
      <c r="B3" s="11" t="s">
        <v>95</v>
      </c>
      <c r="C3" s="11" t="s">
        <v>177</v>
      </c>
      <c r="D3" s="11" t="s">
        <v>180</v>
      </c>
      <c r="E3" s="12" t="s">
        <v>96</v>
      </c>
      <c r="F3" s="12" t="s">
        <v>186</v>
      </c>
      <c r="G3" s="13">
        <v>2018</v>
      </c>
      <c r="H3" s="13" t="s">
        <v>63</v>
      </c>
    </row>
    <row r="4" spans="1:8" ht="33.75" customHeight="1" x14ac:dyDescent="0.2">
      <c r="A4" s="39">
        <v>1</v>
      </c>
      <c r="B4" s="40" t="s">
        <v>13</v>
      </c>
      <c r="C4" s="44">
        <v>9831</v>
      </c>
      <c r="D4" s="41">
        <v>21686</v>
      </c>
      <c r="E4" s="42">
        <f>D4/C4</f>
        <v>2.2058793612043535</v>
      </c>
      <c r="F4" s="41">
        <v>111000</v>
      </c>
      <c r="G4" s="187" t="s">
        <v>183</v>
      </c>
      <c r="H4" s="193"/>
    </row>
    <row r="5" spans="1:8" ht="22.5" x14ac:dyDescent="0.2">
      <c r="A5" s="39">
        <v>2</v>
      </c>
      <c r="B5" s="40" t="s">
        <v>18</v>
      </c>
      <c r="C5" s="44">
        <v>2080</v>
      </c>
      <c r="D5" s="41">
        <v>3753</v>
      </c>
      <c r="E5" s="42">
        <f t="shared" ref="E5:E7" si="0">D5/C5</f>
        <v>1.804326923076923</v>
      </c>
      <c r="F5" s="41">
        <v>23300</v>
      </c>
      <c r="G5" s="188"/>
      <c r="H5" s="194"/>
    </row>
    <row r="6" spans="1:8" ht="22.5" x14ac:dyDescent="0.2">
      <c r="A6" s="43">
        <v>3</v>
      </c>
      <c r="B6" s="40" t="s">
        <v>14</v>
      </c>
      <c r="C6" s="44">
        <v>24503</v>
      </c>
      <c r="D6" s="41">
        <v>45729</v>
      </c>
      <c r="E6" s="42">
        <f t="shared" si="0"/>
        <v>1.8662612741296984</v>
      </c>
      <c r="F6" s="41">
        <v>292000</v>
      </c>
      <c r="G6" s="188"/>
      <c r="H6" s="194"/>
    </row>
    <row r="7" spans="1:8" ht="22.5" x14ac:dyDescent="0.2">
      <c r="A7" s="39">
        <v>4</v>
      </c>
      <c r="B7" s="40" t="s">
        <v>15</v>
      </c>
      <c r="C7" s="44">
        <v>5258.3</v>
      </c>
      <c r="D7" s="41">
        <v>17416.7</v>
      </c>
      <c r="E7" s="42">
        <f t="shared" si="0"/>
        <v>3.3122301884639525</v>
      </c>
      <c r="F7" s="41">
        <v>63500</v>
      </c>
      <c r="G7" s="189"/>
      <c r="H7" s="195"/>
    </row>
    <row r="8" spans="1:8" x14ac:dyDescent="0.2">
      <c r="A8" s="179"/>
      <c r="B8" s="180"/>
      <c r="C8" s="180"/>
      <c r="D8" s="180"/>
      <c r="E8" s="180"/>
      <c r="F8" s="180"/>
      <c r="G8" s="180"/>
      <c r="H8" s="181"/>
    </row>
    <row r="9" spans="1:8" ht="33.75" x14ac:dyDescent="0.2">
      <c r="A9" s="14" t="s">
        <v>94</v>
      </c>
      <c r="B9" s="11" t="s">
        <v>95</v>
      </c>
      <c r="C9" s="11" t="s">
        <v>181</v>
      </c>
      <c r="D9" s="11" t="s">
        <v>180</v>
      </c>
      <c r="E9" s="12" t="s">
        <v>96</v>
      </c>
      <c r="F9" s="12" t="s">
        <v>186</v>
      </c>
      <c r="G9" s="13">
        <v>2018</v>
      </c>
      <c r="H9" s="13" t="s">
        <v>63</v>
      </c>
    </row>
    <row r="10" spans="1:8" ht="36" customHeight="1" x14ac:dyDescent="0.2">
      <c r="A10" s="182" t="s">
        <v>25</v>
      </c>
      <c r="B10" s="182"/>
      <c r="C10" s="53">
        <v>1</v>
      </c>
      <c r="D10" s="54">
        <v>24</v>
      </c>
      <c r="E10" s="183" t="s">
        <v>182</v>
      </c>
      <c r="F10" s="55">
        <v>132</v>
      </c>
      <c r="G10" s="187" t="s">
        <v>184</v>
      </c>
      <c r="H10" s="190"/>
    </row>
    <row r="11" spans="1:8" ht="36" customHeight="1" x14ac:dyDescent="0.2">
      <c r="A11" s="182" t="s">
        <v>27</v>
      </c>
      <c r="B11" s="182"/>
      <c r="C11" s="53">
        <v>1</v>
      </c>
      <c r="D11" s="54">
        <v>24</v>
      </c>
      <c r="E11" s="184"/>
      <c r="F11" s="55">
        <v>132</v>
      </c>
      <c r="G11" s="188"/>
      <c r="H11" s="191"/>
    </row>
    <row r="12" spans="1:8" ht="36" customHeight="1" x14ac:dyDescent="0.2">
      <c r="A12" s="186" t="s">
        <v>29</v>
      </c>
      <c r="B12" s="186"/>
      <c r="C12" s="53">
        <v>0</v>
      </c>
      <c r="D12" s="54">
        <v>100</v>
      </c>
      <c r="E12" s="185"/>
      <c r="F12" s="55">
        <v>100</v>
      </c>
      <c r="G12" s="188"/>
      <c r="H12" s="191"/>
    </row>
    <row r="13" spans="1:8" ht="36" customHeight="1" x14ac:dyDescent="0.2">
      <c r="A13" s="186" t="s">
        <v>31</v>
      </c>
      <c r="B13" s="186" t="s">
        <v>32</v>
      </c>
      <c r="C13" s="53">
        <v>48.636363636363633</v>
      </c>
      <c r="D13" s="54">
        <v>100</v>
      </c>
      <c r="E13" s="56">
        <v>2.0560747663551404</v>
      </c>
      <c r="F13" s="56">
        <v>530.34267912772589</v>
      </c>
      <c r="G13" s="188"/>
      <c r="H13" s="191"/>
    </row>
    <row r="14" spans="1:8" ht="36" customHeight="1" x14ac:dyDescent="0.2">
      <c r="A14" s="186" t="s">
        <v>33</v>
      </c>
      <c r="B14" s="186" t="s">
        <v>34</v>
      </c>
      <c r="C14" s="53">
        <v>196.36363636363637</v>
      </c>
      <c r="D14" s="54">
        <v>218</v>
      </c>
      <c r="E14" s="56">
        <v>1.1101851851851852</v>
      </c>
      <c r="F14" s="56">
        <v>1996.4660493827159</v>
      </c>
      <c r="G14" s="188"/>
      <c r="H14" s="191"/>
    </row>
    <row r="15" spans="1:8" ht="36" customHeight="1" x14ac:dyDescent="0.2">
      <c r="A15" s="186" t="s">
        <v>35</v>
      </c>
      <c r="B15" s="186" t="s">
        <v>36</v>
      </c>
      <c r="C15" s="53">
        <v>890.36363636363637</v>
      </c>
      <c r="D15" s="54">
        <v>4137</v>
      </c>
      <c r="E15" s="56">
        <v>4.6464161731672453</v>
      </c>
      <c r="F15" s="56">
        <v>7397.7053297937509</v>
      </c>
      <c r="G15" s="188"/>
      <c r="H15" s="191"/>
    </row>
    <row r="16" spans="1:8" ht="36" customHeight="1" x14ac:dyDescent="0.2">
      <c r="A16" s="186" t="s">
        <v>37</v>
      </c>
      <c r="B16" s="186" t="s">
        <v>38</v>
      </c>
      <c r="C16" s="53">
        <v>5345.636363636364</v>
      </c>
      <c r="D16" s="54">
        <v>12068</v>
      </c>
      <c r="E16" s="56">
        <v>2.2575422604673308</v>
      </c>
      <c r="F16" s="56">
        <v>57074.564924095554</v>
      </c>
      <c r="G16" s="188"/>
      <c r="H16" s="191"/>
    </row>
    <row r="17" spans="1:8" ht="36" customHeight="1" x14ac:dyDescent="0.2">
      <c r="A17" s="186" t="s">
        <v>39</v>
      </c>
      <c r="B17" s="186" t="s">
        <v>40</v>
      </c>
      <c r="C17" s="53">
        <v>1100.5454545454545</v>
      </c>
      <c r="D17" s="54">
        <v>1894</v>
      </c>
      <c r="E17" s="56">
        <v>1.7209648108376012</v>
      </c>
      <c r="F17" s="56">
        <v>12334.842226994877</v>
      </c>
      <c r="G17" s="188"/>
      <c r="H17" s="191"/>
    </row>
    <row r="18" spans="1:8" ht="36" customHeight="1" x14ac:dyDescent="0.2">
      <c r="A18" s="186" t="s">
        <v>41</v>
      </c>
      <c r="B18" s="186" t="s">
        <v>42</v>
      </c>
      <c r="C18" s="53">
        <v>14971.727272727272</v>
      </c>
      <c r="D18" s="54">
        <v>19491</v>
      </c>
      <c r="E18" s="56">
        <v>1.3018537971570658</v>
      </c>
      <c r="F18" s="56">
        <v>174736.38797976795</v>
      </c>
      <c r="G18" s="188"/>
      <c r="H18" s="191"/>
    </row>
    <row r="19" spans="1:8" ht="36" customHeight="1" x14ac:dyDescent="0.2">
      <c r="A19" s="186" t="s">
        <v>43</v>
      </c>
      <c r="B19" s="186"/>
      <c r="C19" s="53">
        <v>463</v>
      </c>
      <c r="D19" s="54">
        <v>2045</v>
      </c>
      <c r="E19" s="56">
        <v>4.4168466522678189</v>
      </c>
      <c r="F19" s="56">
        <v>4233.9272858171344</v>
      </c>
      <c r="G19" s="188"/>
      <c r="H19" s="191"/>
    </row>
    <row r="20" spans="1:8" ht="36" customHeight="1" x14ac:dyDescent="0.2">
      <c r="A20" s="186" t="s">
        <v>44</v>
      </c>
      <c r="B20" s="186" t="s">
        <v>45</v>
      </c>
      <c r="C20" s="53">
        <v>6886.545454545455</v>
      </c>
      <c r="D20" s="54">
        <v>11295</v>
      </c>
      <c r="E20" s="56">
        <v>1.6401547153870524</v>
      </c>
      <c r="F20" s="56">
        <v>78216.831898827761</v>
      </c>
      <c r="G20" s="188"/>
      <c r="H20" s="191"/>
    </row>
    <row r="21" spans="1:8" ht="36" customHeight="1" x14ac:dyDescent="0.2">
      <c r="A21" s="186" t="s">
        <v>194</v>
      </c>
      <c r="B21" s="186"/>
      <c r="C21" s="53">
        <v>30863</v>
      </c>
      <c r="D21" s="54">
        <v>36591</v>
      </c>
      <c r="E21" s="56">
        <v>1.1855944010627613</v>
      </c>
      <c r="F21" s="56">
        <v>354420.51469397009</v>
      </c>
      <c r="G21" s="188"/>
      <c r="H21" s="191"/>
    </row>
    <row r="22" spans="1:8" ht="36" customHeight="1" x14ac:dyDescent="0.2">
      <c r="A22" s="186" t="s">
        <v>46</v>
      </c>
      <c r="B22" s="186"/>
      <c r="C22" s="53">
        <v>27199</v>
      </c>
      <c r="D22" s="54">
        <v>69934</v>
      </c>
      <c r="E22" s="56">
        <v>2.5711974704952389</v>
      </c>
      <c r="F22" s="56">
        <v>309010.14529945952</v>
      </c>
      <c r="G22" s="188"/>
      <c r="H22" s="191"/>
    </row>
    <row r="23" spans="1:8" ht="36" customHeight="1" x14ac:dyDescent="0.2">
      <c r="A23" s="186" t="s">
        <v>99</v>
      </c>
      <c r="B23" s="186"/>
      <c r="C23" s="53">
        <v>18672.727272727272</v>
      </c>
      <c r="D23" s="54">
        <v>94900</v>
      </c>
      <c r="E23" s="56">
        <v>5.0822784810126587</v>
      </c>
      <c r="F23" s="56">
        <v>149900</v>
      </c>
      <c r="G23" s="188"/>
      <c r="H23" s="191"/>
    </row>
    <row r="24" spans="1:8" ht="36" customHeight="1" x14ac:dyDescent="0.2">
      <c r="A24" s="186" t="s">
        <v>100</v>
      </c>
      <c r="B24" s="186"/>
      <c r="C24" s="53">
        <v>94690.909090909088</v>
      </c>
      <c r="D24" s="54">
        <v>148700</v>
      </c>
      <c r="E24" s="56">
        <v>1.5703725038402458</v>
      </c>
      <c r="F24" s="56">
        <v>1141300</v>
      </c>
      <c r="G24" s="188"/>
      <c r="H24" s="191"/>
    </row>
    <row r="25" spans="1:8" ht="36" customHeight="1" x14ac:dyDescent="0.2">
      <c r="A25" s="186" t="s">
        <v>101</v>
      </c>
      <c r="B25" s="186"/>
      <c r="C25" s="53">
        <v>475</v>
      </c>
      <c r="D25" s="54">
        <v>1450</v>
      </c>
      <c r="E25" s="56">
        <v>3.0526315789473686</v>
      </c>
      <c r="F25" s="56">
        <v>4475</v>
      </c>
      <c r="G25" s="188"/>
      <c r="H25" s="191"/>
    </row>
    <row r="26" spans="1:8" ht="36" customHeight="1" x14ac:dyDescent="0.2">
      <c r="A26" s="186" t="s">
        <v>102</v>
      </c>
      <c r="B26" s="186"/>
      <c r="C26" s="53">
        <v>12369.09090909091</v>
      </c>
      <c r="D26" s="54">
        <v>15799</v>
      </c>
      <c r="E26" s="56">
        <v>1.2772967808319857</v>
      </c>
      <c r="F26" s="56">
        <v>136265.89962639031</v>
      </c>
      <c r="G26" s="188"/>
      <c r="H26" s="191"/>
    </row>
    <row r="27" spans="1:8" ht="36" customHeight="1" x14ac:dyDescent="0.2">
      <c r="A27" s="186" t="s">
        <v>103</v>
      </c>
      <c r="B27" s="186"/>
      <c r="C27" s="53">
        <v>15719.545454545454</v>
      </c>
      <c r="D27" s="54">
        <v>16585</v>
      </c>
      <c r="E27" s="56">
        <v>1.0550559523465286</v>
      </c>
      <c r="F27" s="56">
        <v>178782.01270373689</v>
      </c>
      <c r="G27" s="188"/>
      <c r="H27" s="191"/>
    </row>
    <row r="28" spans="1:8" ht="36" customHeight="1" x14ac:dyDescent="0.2">
      <c r="A28" s="186" t="s">
        <v>104</v>
      </c>
      <c r="B28" s="186"/>
      <c r="C28" s="53">
        <v>606.90909090909088</v>
      </c>
      <c r="D28" s="54">
        <v>1354</v>
      </c>
      <c r="E28" s="56">
        <v>2.2309766327142002</v>
      </c>
      <c r="F28" s="56">
        <v>25585.886284202119</v>
      </c>
      <c r="G28" s="188"/>
      <c r="H28" s="191"/>
    </row>
    <row r="29" spans="1:8" ht="36" customHeight="1" x14ac:dyDescent="0.2">
      <c r="A29" s="186" t="s">
        <v>59</v>
      </c>
      <c r="B29" s="186"/>
      <c r="C29" s="53">
        <v>2289</v>
      </c>
      <c r="D29" s="54">
        <v>4450</v>
      </c>
      <c r="E29" s="56">
        <v>1.9440803844473569</v>
      </c>
      <c r="F29" s="56">
        <v>24720</v>
      </c>
      <c r="G29" s="188"/>
      <c r="H29" s="191"/>
    </row>
    <row r="30" spans="1:8" ht="36" customHeight="1" x14ac:dyDescent="0.2">
      <c r="A30" s="186" t="s">
        <v>62</v>
      </c>
      <c r="B30" s="186"/>
      <c r="C30" s="53">
        <v>7400</v>
      </c>
      <c r="D30" s="54">
        <v>9050</v>
      </c>
      <c r="E30" s="56">
        <v>1.222972972972973</v>
      </c>
      <c r="F30" s="56">
        <v>73650</v>
      </c>
      <c r="G30" s="189"/>
      <c r="H30" s="192"/>
    </row>
    <row r="31" spans="1:8" ht="14.25" customHeight="1" x14ac:dyDescent="0.2">
      <c r="A31" s="196"/>
      <c r="B31" s="197"/>
      <c r="C31" s="197"/>
      <c r="D31" s="197"/>
      <c r="E31" s="197"/>
      <c r="F31" s="197"/>
      <c r="G31" s="197"/>
      <c r="H31" s="198"/>
    </row>
    <row r="32" spans="1:8" ht="33.75" x14ac:dyDescent="0.2">
      <c r="A32" s="14" t="s">
        <v>94</v>
      </c>
      <c r="B32" s="11" t="s">
        <v>95</v>
      </c>
      <c r="C32" s="11" t="s">
        <v>177</v>
      </c>
      <c r="D32" s="11" t="s">
        <v>180</v>
      </c>
      <c r="E32" s="12" t="s">
        <v>96</v>
      </c>
      <c r="F32" s="12" t="s">
        <v>186</v>
      </c>
      <c r="G32" s="13">
        <v>2018</v>
      </c>
      <c r="H32" s="13" t="s">
        <v>63</v>
      </c>
    </row>
    <row r="33" spans="1:10" ht="45" x14ac:dyDescent="0.2">
      <c r="A33" s="19">
        <v>1</v>
      </c>
      <c r="B33" s="19" t="s">
        <v>67</v>
      </c>
      <c r="C33" s="57">
        <v>2857.5</v>
      </c>
      <c r="D33" s="58">
        <v>13470</v>
      </c>
      <c r="E33" s="58" t="s">
        <v>195</v>
      </c>
      <c r="F33" s="58">
        <v>20820</v>
      </c>
      <c r="G33" s="187" t="s">
        <v>185</v>
      </c>
      <c r="H33" s="190"/>
      <c r="I33" s="63"/>
      <c r="J33" s="59"/>
    </row>
    <row r="34" spans="1:10" ht="45" x14ac:dyDescent="0.2">
      <c r="A34" s="19">
        <v>2</v>
      </c>
      <c r="B34" s="19" t="s">
        <v>68</v>
      </c>
      <c r="C34" s="57">
        <v>3494.5</v>
      </c>
      <c r="D34" s="58">
        <v>11715</v>
      </c>
      <c r="E34" s="58" t="s">
        <v>196</v>
      </c>
      <c r="F34" s="58">
        <v>30219</v>
      </c>
      <c r="G34" s="188"/>
      <c r="H34" s="191"/>
      <c r="I34" s="63"/>
    </row>
    <row r="35" spans="1:10" ht="45" x14ac:dyDescent="0.2">
      <c r="A35" s="19">
        <v>3</v>
      </c>
      <c r="B35" s="19" t="s">
        <v>69</v>
      </c>
      <c r="C35" s="57">
        <v>422.5</v>
      </c>
      <c r="D35" s="58">
        <v>1770</v>
      </c>
      <c r="E35" s="58" t="s">
        <v>197</v>
      </c>
      <c r="F35" s="58">
        <v>3300</v>
      </c>
      <c r="G35" s="188"/>
      <c r="H35" s="191"/>
      <c r="I35" s="63"/>
    </row>
    <row r="36" spans="1:10" ht="45" x14ac:dyDescent="0.2">
      <c r="A36" s="19">
        <v>4</v>
      </c>
      <c r="B36" s="19" t="s">
        <v>70</v>
      </c>
      <c r="C36" s="57">
        <v>117.2</v>
      </c>
      <c r="D36" s="58">
        <v>1644</v>
      </c>
      <c r="E36" s="58" t="s">
        <v>198</v>
      </c>
      <c r="F36" s="58">
        <v>0</v>
      </c>
      <c r="G36" s="188"/>
      <c r="H36" s="191"/>
      <c r="I36" s="63"/>
    </row>
    <row r="37" spans="1:10" ht="45" x14ac:dyDescent="0.2">
      <c r="A37" s="19">
        <v>5</v>
      </c>
      <c r="B37" s="19" t="s">
        <v>71</v>
      </c>
      <c r="C37" s="57">
        <v>416</v>
      </c>
      <c r="D37" s="58">
        <v>1556</v>
      </c>
      <c r="E37" s="58" t="s">
        <v>199</v>
      </c>
      <c r="F37" s="58">
        <v>3436</v>
      </c>
      <c r="G37" s="188"/>
      <c r="H37" s="191"/>
      <c r="I37" s="63"/>
    </row>
    <row r="38" spans="1:10" ht="45" x14ac:dyDescent="0.2">
      <c r="A38" s="19">
        <v>6</v>
      </c>
      <c r="B38" s="19" t="s">
        <v>72</v>
      </c>
      <c r="C38" s="57">
        <v>93.2</v>
      </c>
      <c r="D38" s="58">
        <v>320</v>
      </c>
      <c r="E38" s="58" t="s">
        <v>196</v>
      </c>
      <c r="F38" s="58">
        <v>799</v>
      </c>
      <c r="G38" s="188"/>
      <c r="H38" s="191"/>
      <c r="I38" s="63"/>
    </row>
    <row r="39" spans="1:10" ht="45" x14ac:dyDescent="0.2">
      <c r="A39" s="19">
        <v>7</v>
      </c>
      <c r="B39" s="19" t="s">
        <v>79</v>
      </c>
      <c r="C39" s="57">
        <v>60</v>
      </c>
      <c r="D39" s="58">
        <v>1584</v>
      </c>
      <c r="E39" s="58" t="s">
        <v>200</v>
      </c>
      <c r="F39" s="58">
        <v>1596.0000000000002</v>
      </c>
      <c r="G39" s="188"/>
      <c r="H39" s="191"/>
      <c r="I39" s="63"/>
    </row>
    <row r="40" spans="1:10" ht="45" x14ac:dyDescent="0.2">
      <c r="A40" s="19">
        <v>8</v>
      </c>
      <c r="B40" s="19" t="s">
        <v>80</v>
      </c>
      <c r="C40" s="57">
        <v>61</v>
      </c>
      <c r="D40" s="58">
        <v>4340</v>
      </c>
      <c r="E40" s="58" t="s">
        <v>201</v>
      </c>
      <c r="F40" s="58">
        <v>2296</v>
      </c>
      <c r="G40" s="188"/>
      <c r="H40" s="191"/>
      <c r="I40" s="63"/>
    </row>
    <row r="41" spans="1:10" ht="33.75" x14ac:dyDescent="0.2">
      <c r="A41" s="19">
        <v>9</v>
      </c>
      <c r="B41" s="19" t="s">
        <v>73</v>
      </c>
      <c r="C41" s="57">
        <v>524.5</v>
      </c>
      <c r="D41" s="58">
        <v>765</v>
      </c>
      <c r="E41" s="58" t="s">
        <v>202</v>
      </c>
      <c r="F41" s="58">
        <v>5529</v>
      </c>
      <c r="G41" s="188"/>
      <c r="H41" s="191"/>
      <c r="I41" s="63"/>
    </row>
    <row r="42" spans="1:10" ht="22.5" x14ac:dyDescent="0.2">
      <c r="A42" s="19">
        <v>10</v>
      </c>
      <c r="B42" s="19" t="s">
        <v>74</v>
      </c>
      <c r="C42" s="57">
        <v>6687</v>
      </c>
      <c r="D42" s="58">
        <v>48267</v>
      </c>
      <c r="E42" s="58" t="s">
        <v>203</v>
      </c>
      <c r="F42" s="58">
        <v>31977</v>
      </c>
      <c r="G42" s="188"/>
      <c r="H42" s="191"/>
      <c r="I42" s="63"/>
    </row>
    <row r="43" spans="1:10" ht="33.75" x14ac:dyDescent="0.2">
      <c r="A43" s="19">
        <v>11</v>
      </c>
      <c r="B43" s="19" t="s">
        <v>75</v>
      </c>
      <c r="C43" s="57">
        <v>15.2</v>
      </c>
      <c r="D43" s="58">
        <v>102</v>
      </c>
      <c r="E43" s="58" t="s">
        <v>204</v>
      </c>
      <c r="F43" s="58">
        <v>81</v>
      </c>
      <c r="G43" s="188"/>
      <c r="H43" s="191"/>
      <c r="I43" s="63"/>
    </row>
    <row r="44" spans="1:10" ht="33.75" x14ac:dyDescent="0.2">
      <c r="A44" s="19">
        <v>12</v>
      </c>
      <c r="B44" s="19" t="s">
        <v>76</v>
      </c>
      <c r="C44" s="57">
        <v>1.4</v>
      </c>
      <c r="D44" s="58">
        <v>1</v>
      </c>
      <c r="E44" s="60" t="s">
        <v>205</v>
      </c>
      <c r="F44" s="60">
        <v>16</v>
      </c>
      <c r="G44" s="188"/>
      <c r="H44" s="191"/>
      <c r="I44" s="63"/>
    </row>
    <row r="45" spans="1:10" ht="33.75" x14ac:dyDescent="0.2">
      <c r="A45" s="19">
        <v>13</v>
      </c>
      <c r="B45" s="19" t="s">
        <v>77</v>
      </c>
      <c r="C45" s="57">
        <v>2</v>
      </c>
      <c r="D45" s="58">
        <v>11</v>
      </c>
      <c r="E45" s="58">
        <v>5.5</v>
      </c>
      <c r="F45" s="58">
        <v>13</v>
      </c>
      <c r="G45" s="188"/>
      <c r="H45" s="191"/>
      <c r="I45" s="63"/>
    </row>
    <row r="46" spans="1:10" ht="33.75" x14ac:dyDescent="0.2">
      <c r="A46" s="19">
        <v>14</v>
      </c>
      <c r="B46" s="19" t="s">
        <v>78</v>
      </c>
      <c r="C46" s="57">
        <v>7.8</v>
      </c>
      <c r="D46" s="58">
        <v>111</v>
      </c>
      <c r="E46" s="58" t="s">
        <v>206</v>
      </c>
      <c r="F46" s="58">
        <v>0</v>
      </c>
      <c r="G46" s="188"/>
      <c r="H46" s="191"/>
      <c r="I46" s="63"/>
    </row>
    <row r="47" spans="1:10" ht="22.5" x14ac:dyDescent="0.2">
      <c r="A47" s="19">
        <v>15</v>
      </c>
      <c r="B47" s="19" t="s">
        <v>81</v>
      </c>
      <c r="C47" s="57">
        <v>366</v>
      </c>
      <c r="D47" s="58">
        <v>1662</v>
      </c>
      <c r="E47" s="58" t="s">
        <v>207</v>
      </c>
      <c r="F47" s="58">
        <v>2730</v>
      </c>
      <c r="G47" s="188"/>
      <c r="H47" s="191"/>
      <c r="I47" s="63"/>
    </row>
    <row r="48" spans="1:10" ht="22.5" x14ac:dyDescent="0.2">
      <c r="A48" s="19">
        <v>16</v>
      </c>
      <c r="B48" s="19" t="s">
        <v>82</v>
      </c>
      <c r="C48" s="57">
        <v>370</v>
      </c>
      <c r="D48" s="58">
        <v>1632</v>
      </c>
      <c r="E48" s="58" t="s">
        <v>208</v>
      </c>
      <c r="F48" s="58">
        <v>2808</v>
      </c>
      <c r="G48" s="189"/>
      <c r="H48" s="192"/>
      <c r="I48" s="63"/>
    </row>
  </sheetData>
  <mergeCells count="32">
    <mergeCell ref="G33:G48"/>
    <mergeCell ref="H33:H48"/>
    <mergeCell ref="A30:B30"/>
    <mergeCell ref="G4:G7"/>
    <mergeCell ref="H4:H7"/>
    <mergeCell ref="G10:G30"/>
    <mergeCell ref="H10:H30"/>
    <mergeCell ref="A31:H31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:H1"/>
    <mergeCell ref="A2:H2"/>
    <mergeCell ref="A8:H8"/>
    <mergeCell ref="A10:B10"/>
    <mergeCell ref="A11:B11"/>
    <mergeCell ref="E10:E12"/>
  </mergeCells>
  <pageMargins left="0" right="0" top="0" bottom="0" header="0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მოსალოდნელი სეანსი 2018</vt:lpstr>
      <vt:lpstr> 2018 მედიკამენტები</vt:lpstr>
      <vt:lpstr>ჰემოდიალიზი სახარჯი 2018</vt:lpstr>
      <vt:lpstr>პერიტ დიალზი 2018</vt:lpstr>
      <vt:lpstr>გამოსაცხადებელი ტენტერები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2017-12-13T09:28:13Z</dcterms:modified>
</cp:coreProperties>
</file>