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4.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drawings/drawing5.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drawings/drawing6.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drawings/drawing7.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drawings/drawing8.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drawings/drawing9.xml" ContentType="application/vnd.openxmlformats-officedocument.drawing+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drawings/drawing10.xml" ContentType="application/vnd.openxmlformats-officedocument.drawing+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drawings/drawing11.xml" ContentType="application/vnd.openxmlformats-officedocument.drawing+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lika.gamgebeli\Desktop\Final products to be shared\"/>
    </mc:Choice>
  </mc:AlternateContent>
  <bookViews>
    <workbookView xWindow="0" yWindow="0" windowWidth="28800" windowHeight="12210" tabRatio="685" firstSheet="5" activeTab="10"/>
  </bookViews>
  <sheets>
    <sheet name="Intervention Impacts" sheetId="18" r:id="rId1"/>
    <sheet name="Intervention Costs" sheetId="21" r:id="rId2"/>
    <sheet name="Healthcare Expenditures" sheetId="5" r:id="rId3"/>
    <sheet name="Mortality" sheetId="22" r:id="rId4"/>
    <sheet name="Mortality Costs" sheetId="33" r:id="rId5"/>
    <sheet name="Years of Life Lost" sheetId="28" r:id="rId6"/>
    <sheet name="Years Lived with Disability" sheetId="31" r:id="rId7"/>
    <sheet name="Disability-Adjusted Life Years" sheetId="32" r:id="rId8"/>
    <sheet name="Workplace Smoking Costs" sheetId="15" r:id="rId9"/>
    <sheet name="Health Outcomes (Breakdown)" sheetId="34" r:id="rId10"/>
    <sheet name="Total Economic Costs" sheetId="10" r:id="rId11"/>
    <sheet name="Cigarette Revenue" sheetId="16" r:id="rId12"/>
  </sheets>
  <definedNames>
    <definedName name="_ftnref1" localSheetId="11">'Cigarette Revenue'!#REF!</definedName>
    <definedName name="QryModel_Outputs_RFA_Outcomes" localSheetId="7">#REF!</definedName>
    <definedName name="QryModel_Outputs_RFA_Outcomes" localSheetId="4">#REF!</definedName>
    <definedName name="QryModel_Outputs_RFA_Outcomes" localSheetId="6">#REF!</definedName>
    <definedName name="QryModel_Outputs_RFA_Outcomes" localSheetId="5">#REF!</definedName>
    <definedName name="QryModel_Outputs_RFA_Outcomes">#REF!</definedName>
    <definedName name="tblRelativeRisk" localSheetId="7">#REF!</definedName>
    <definedName name="tblRelativeRisk" localSheetId="1">#REF!</definedName>
    <definedName name="tblRelativeRisk" localSheetId="4">#REF!</definedName>
    <definedName name="tblRelativeRisk" localSheetId="6">#REF!</definedName>
    <definedName name="tblRelativeRisk" localSheetId="5">#REF!</definedName>
    <definedName name="tblRelativeRisk">#REF!</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M54" i="10" l="1"/>
  <c r="BD56" i="10"/>
  <c r="V152" i="10" l="1"/>
  <c r="U152" i="10"/>
  <c r="T152" i="10"/>
  <c r="V151" i="10"/>
  <c r="U151" i="10"/>
  <c r="T151" i="10"/>
  <c r="V150" i="10"/>
  <c r="U150" i="10"/>
  <c r="T150" i="10"/>
  <c r="T135" i="10"/>
  <c r="T136" i="10"/>
  <c r="T137" i="10"/>
  <c r="T138" i="10"/>
  <c r="T139" i="10"/>
  <c r="T140" i="10"/>
  <c r="T141" i="10"/>
  <c r="T142" i="10"/>
  <c r="T143" i="10"/>
  <c r="T144" i="10"/>
  <c r="T145" i="10"/>
  <c r="T146" i="10"/>
  <c r="T147" i="10"/>
  <c r="T148" i="10"/>
  <c r="T149" i="10"/>
  <c r="U135" i="10"/>
  <c r="U136" i="10"/>
  <c r="U137" i="10"/>
  <c r="U138" i="10"/>
  <c r="U139" i="10"/>
  <c r="U140" i="10"/>
  <c r="U141" i="10"/>
  <c r="U142" i="10"/>
  <c r="U143" i="10"/>
  <c r="U144" i="10"/>
  <c r="U145" i="10"/>
  <c r="U146" i="10"/>
  <c r="U147" i="10"/>
  <c r="U148" i="10"/>
  <c r="U149" i="10"/>
  <c r="V135" i="10"/>
  <c r="V136" i="10"/>
  <c r="V137" i="10"/>
  <c r="V138" i="10"/>
  <c r="V139" i="10"/>
  <c r="V140" i="10"/>
  <c r="V141" i="10"/>
  <c r="V142" i="10"/>
  <c r="V143" i="10"/>
  <c r="V144" i="10"/>
  <c r="V145" i="10"/>
  <c r="V146" i="10"/>
  <c r="V147" i="10"/>
  <c r="V148" i="10"/>
  <c r="V149" i="10"/>
  <c r="V128" i="10"/>
  <c r="U128" i="10"/>
  <c r="T128" i="10"/>
  <c r="V127" i="10"/>
  <c r="U127" i="10"/>
  <c r="T127" i="10"/>
  <c r="V126" i="10"/>
  <c r="U126" i="10"/>
  <c r="T126" i="10"/>
  <c r="V104" i="10"/>
  <c r="U104" i="10"/>
  <c r="T104" i="10"/>
  <c r="V103" i="10"/>
  <c r="U103" i="10"/>
  <c r="T103" i="10"/>
  <c r="V102" i="10"/>
  <c r="U102" i="10"/>
  <c r="T102" i="10"/>
  <c r="V80" i="10"/>
  <c r="V79" i="10"/>
  <c r="V78" i="10"/>
  <c r="U80" i="10"/>
  <c r="U79" i="10"/>
  <c r="U78" i="10"/>
  <c r="T80" i="10"/>
  <c r="T79" i="10"/>
  <c r="T78" i="10"/>
  <c r="T111" i="10"/>
  <c r="T112" i="10"/>
  <c r="T113" i="10"/>
  <c r="T114" i="10"/>
  <c r="T115" i="10"/>
  <c r="T116" i="10"/>
  <c r="T117" i="10"/>
  <c r="T118" i="10"/>
  <c r="T119" i="10"/>
  <c r="T120" i="10"/>
  <c r="T121" i="10"/>
  <c r="T122" i="10"/>
  <c r="T123" i="10"/>
  <c r="T124" i="10"/>
  <c r="T125" i="10"/>
  <c r="U111" i="10"/>
  <c r="U112" i="10"/>
  <c r="U113" i="10"/>
  <c r="U114" i="10"/>
  <c r="U115" i="10"/>
  <c r="U116" i="10"/>
  <c r="U117" i="10"/>
  <c r="U118" i="10"/>
  <c r="U119" i="10"/>
  <c r="U120" i="10"/>
  <c r="U121" i="10"/>
  <c r="U122" i="10"/>
  <c r="U123" i="10"/>
  <c r="U124" i="10"/>
  <c r="U125" i="10"/>
  <c r="V111" i="10"/>
  <c r="V112" i="10"/>
  <c r="V113" i="10"/>
  <c r="V114" i="10"/>
  <c r="V115" i="10"/>
  <c r="V116" i="10"/>
  <c r="V117" i="10"/>
  <c r="V118" i="10"/>
  <c r="V119" i="10"/>
  <c r="V120" i="10"/>
  <c r="V121" i="10"/>
  <c r="V122" i="10"/>
  <c r="V123" i="10"/>
  <c r="V124" i="10"/>
  <c r="V125" i="10"/>
  <c r="T87" i="10"/>
  <c r="T88" i="10"/>
  <c r="T89" i="10"/>
  <c r="T90" i="10"/>
  <c r="T91" i="10"/>
  <c r="T92" i="10"/>
  <c r="T93" i="10"/>
  <c r="T94" i="10"/>
  <c r="T95" i="10"/>
  <c r="T96" i="10"/>
  <c r="T97" i="10"/>
  <c r="T98" i="10"/>
  <c r="T99" i="10"/>
  <c r="T100" i="10"/>
  <c r="T101" i="10"/>
  <c r="U87" i="10"/>
  <c r="U88" i="10"/>
  <c r="U89" i="10"/>
  <c r="U90" i="10"/>
  <c r="U91" i="10"/>
  <c r="U92" i="10"/>
  <c r="U93" i="10"/>
  <c r="U94" i="10"/>
  <c r="U95" i="10"/>
  <c r="U96" i="10"/>
  <c r="U97" i="10"/>
  <c r="U98" i="10"/>
  <c r="U99" i="10"/>
  <c r="U100" i="10"/>
  <c r="U101" i="10"/>
  <c r="V87" i="10"/>
  <c r="V88" i="10"/>
  <c r="V89" i="10"/>
  <c r="V90" i="10"/>
  <c r="V91" i="10"/>
  <c r="V92" i="10"/>
  <c r="V93" i="10"/>
  <c r="V94" i="10"/>
  <c r="V95" i="10"/>
  <c r="V96" i="10"/>
  <c r="V97" i="10"/>
  <c r="V98" i="10"/>
  <c r="V99" i="10"/>
  <c r="V100" i="10"/>
  <c r="V101" i="10"/>
  <c r="T63" i="10"/>
  <c r="T64" i="10"/>
  <c r="T65" i="10"/>
  <c r="T66" i="10"/>
  <c r="T67" i="10"/>
  <c r="T68" i="10"/>
  <c r="T69" i="10"/>
  <c r="T70" i="10"/>
  <c r="T71" i="10"/>
  <c r="T72" i="10"/>
  <c r="T73" i="10"/>
  <c r="T74" i="10"/>
  <c r="T75" i="10"/>
  <c r="T76" i="10"/>
  <c r="T77" i="10"/>
  <c r="U63" i="10"/>
  <c r="U64" i="10"/>
  <c r="U65" i="10"/>
  <c r="U66" i="10"/>
  <c r="U67" i="10"/>
  <c r="U68" i="10"/>
  <c r="U69" i="10"/>
  <c r="U70" i="10"/>
  <c r="U71" i="10"/>
  <c r="U72" i="10"/>
  <c r="U73" i="10"/>
  <c r="U74" i="10"/>
  <c r="U75" i="10"/>
  <c r="U76" i="10"/>
  <c r="U77" i="10"/>
  <c r="V63" i="10"/>
  <c r="V64" i="10"/>
  <c r="V65" i="10"/>
  <c r="V66" i="10"/>
  <c r="V67" i="10"/>
  <c r="V68" i="10"/>
  <c r="V69" i="10"/>
  <c r="V70" i="10"/>
  <c r="V71" i="10"/>
  <c r="V72" i="10"/>
  <c r="V73" i="10"/>
  <c r="V74" i="10"/>
  <c r="V75" i="10"/>
  <c r="V76" i="10"/>
  <c r="V77" i="10"/>
  <c r="V53" i="10"/>
  <c r="U53" i="10"/>
  <c r="T53" i="10"/>
  <c r="V52" i="10"/>
  <c r="U52" i="10"/>
  <c r="T52" i="10"/>
  <c r="V51" i="10"/>
  <c r="U51" i="10"/>
  <c r="T51" i="10"/>
  <c r="V50" i="10"/>
  <c r="U50" i="10"/>
  <c r="T50" i="10"/>
  <c r="V49" i="10"/>
  <c r="U49" i="10"/>
  <c r="T49" i="10"/>
  <c r="V48" i="10"/>
  <c r="U48" i="10"/>
  <c r="T48" i="10"/>
  <c r="V47" i="10"/>
  <c r="U47" i="10"/>
  <c r="T47" i="10"/>
  <c r="V46" i="10"/>
  <c r="U46" i="10"/>
  <c r="T46" i="10"/>
  <c r="V45" i="10"/>
  <c r="U45" i="10"/>
  <c r="T45" i="10"/>
  <c r="V44" i="10"/>
  <c r="U44" i="10"/>
  <c r="T44" i="10"/>
  <c r="V43" i="10"/>
  <c r="U43" i="10"/>
  <c r="T43" i="10"/>
  <c r="V42" i="10"/>
  <c r="U42" i="10"/>
  <c r="T42" i="10"/>
  <c r="V41" i="10"/>
  <c r="U41" i="10"/>
  <c r="T41" i="10"/>
  <c r="V40" i="10"/>
  <c r="U40" i="10"/>
  <c r="T40" i="10"/>
  <c r="V39" i="10"/>
  <c r="U39" i="10"/>
  <c r="T39" i="10"/>
  <c r="S152" i="10"/>
  <c r="R152" i="10"/>
  <c r="Q152" i="10"/>
  <c r="P152" i="10"/>
  <c r="O152" i="10"/>
  <c r="N152" i="10"/>
  <c r="M152" i="10"/>
  <c r="L152" i="10"/>
  <c r="K152" i="10"/>
  <c r="J152" i="10"/>
  <c r="I152" i="10"/>
  <c r="H152" i="10"/>
  <c r="G152" i="10"/>
  <c r="F152" i="10"/>
  <c r="E152" i="10"/>
  <c r="S151" i="10"/>
  <c r="R151" i="10"/>
  <c r="Q151" i="10"/>
  <c r="P151" i="10"/>
  <c r="O151" i="10"/>
  <c r="N151" i="10"/>
  <c r="M151" i="10"/>
  <c r="L151" i="10"/>
  <c r="K151" i="10"/>
  <c r="J151" i="10"/>
  <c r="I151" i="10"/>
  <c r="H151" i="10"/>
  <c r="G151" i="10"/>
  <c r="F151" i="10"/>
  <c r="E151" i="10"/>
  <c r="S150" i="10"/>
  <c r="R150" i="10"/>
  <c r="Q150" i="10"/>
  <c r="P150" i="10"/>
  <c r="O150" i="10"/>
  <c r="N150" i="10"/>
  <c r="M150" i="10"/>
  <c r="L150" i="10"/>
  <c r="K150" i="10"/>
  <c r="J150" i="10"/>
  <c r="I150" i="10"/>
  <c r="H150" i="10"/>
  <c r="G150" i="10"/>
  <c r="F150" i="10"/>
  <c r="E150" i="10"/>
  <c r="D152" i="10"/>
  <c r="D151" i="10"/>
  <c r="D150" i="10"/>
  <c r="S128" i="10"/>
  <c r="R128" i="10"/>
  <c r="Q128" i="10"/>
  <c r="P128" i="10"/>
  <c r="O128" i="10"/>
  <c r="N128" i="10"/>
  <c r="M128" i="10"/>
  <c r="L128" i="10"/>
  <c r="K128" i="10"/>
  <c r="J128" i="10"/>
  <c r="I128" i="10"/>
  <c r="H128" i="10"/>
  <c r="G128" i="10"/>
  <c r="F128" i="10"/>
  <c r="E128" i="10"/>
  <c r="S127" i="10"/>
  <c r="R127" i="10"/>
  <c r="Q127" i="10"/>
  <c r="P127" i="10"/>
  <c r="O127" i="10"/>
  <c r="N127" i="10"/>
  <c r="M127" i="10"/>
  <c r="L127" i="10"/>
  <c r="K127" i="10"/>
  <c r="J127" i="10"/>
  <c r="I127" i="10"/>
  <c r="H127" i="10"/>
  <c r="G127" i="10"/>
  <c r="F127" i="10"/>
  <c r="E127" i="10"/>
  <c r="S126" i="10"/>
  <c r="R126" i="10"/>
  <c r="Q126" i="10"/>
  <c r="P126" i="10"/>
  <c r="O126" i="10"/>
  <c r="N126" i="10"/>
  <c r="M126" i="10"/>
  <c r="L126" i="10"/>
  <c r="K126" i="10"/>
  <c r="J126" i="10"/>
  <c r="I126" i="10"/>
  <c r="H126" i="10"/>
  <c r="G126" i="10"/>
  <c r="F126" i="10"/>
  <c r="E126" i="10"/>
  <c r="D128" i="10"/>
  <c r="D127" i="10"/>
  <c r="D126" i="10"/>
  <c r="S104" i="10"/>
  <c r="R104" i="10"/>
  <c r="Q104" i="10"/>
  <c r="P104" i="10"/>
  <c r="O104" i="10"/>
  <c r="N104" i="10"/>
  <c r="M104" i="10"/>
  <c r="L104" i="10"/>
  <c r="K104" i="10"/>
  <c r="J104" i="10"/>
  <c r="I104" i="10"/>
  <c r="H104" i="10"/>
  <c r="G104" i="10"/>
  <c r="F104" i="10"/>
  <c r="E104" i="10"/>
  <c r="S103" i="10"/>
  <c r="R103" i="10"/>
  <c r="Q103" i="10"/>
  <c r="P103" i="10"/>
  <c r="O103" i="10"/>
  <c r="N103" i="10"/>
  <c r="M103" i="10"/>
  <c r="L103" i="10"/>
  <c r="K103" i="10"/>
  <c r="J103" i="10"/>
  <c r="I103" i="10"/>
  <c r="H103" i="10"/>
  <c r="G103" i="10"/>
  <c r="F103" i="10"/>
  <c r="E103" i="10"/>
  <c r="S102" i="10"/>
  <c r="R102" i="10"/>
  <c r="Q102" i="10"/>
  <c r="P102" i="10"/>
  <c r="O102" i="10"/>
  <c r="N102" i="10"/>
  <c r="M102" i="10"/>
  <c r="L102" i="10"/>
  <c r="K102" i="10"/>
  <c r="J102" i="10"/>
  <c r="I102" i="10"/>
  <c r="H102" i="10"/>
  <c r="G102" i="10"/>
  <c r="F102" i="10"/>
  <c r="E102" i="10"/>
  <c r="D104" i="10"/>
  <c r="D103" i="10"/>
  <c r="D102" i="10"/>
  <c r="S80" i="10"/>
  <c r="R80" i="10"/>
  <c r="Q80" i="10"/>
  <c r="P80" i="10"/>
  <c r="O80" i="10"/>
  <c r="N80" i="10"/>
  <c r="M80" i="10"/>
  <c r="L80" i="10"/>
  <c r="K80" i="10"/>
  <c r="J80" i="10"/>
  <c r="I80" i="10"/>
  <c r="H80" i="10"/>
  <c r="G80" i="10"/>
  <c r="F80" i="10"/>
  <c r="E80" i="10"/>
  <c r="S79" i="10"/>
  <c r="R79" i="10"/>
  <c r="Q79" i="10"/>
  <c r="P79" i="10"/>
  <c r="O79" i="10"/>
  <c r="N79" i="10"/>
  <c r="M79" i="10"/>
  <c r="L79" i="10"/>
  <c r="K79" i="10"/>
  <c r="J79" i="10"/>
  <c r="I79" i="10"/>
  <c r="H79" i="10"/>
  <c r="G79" i="10"/>
  <c r="F79" i="10"/>
  <c r="E79" i="10"/>
  <c r="S78" i="10"/>
  <c r="R78" i="10"/>
  <c r="Q78" i="10"/>
  <c r="P78" i="10"/>
  <c r="O78" i="10"/>
  <c r="N78" i="10"/>
  <c r="M78" i="10"/>
  <c r="L78" i="10"/>
  <c r="K78" i="10"/>
  <c r="J78" i="10"/>
  <c r="I78" i="10"/>
  <c r="H78" i="10"/>
  <c r="G78" i="10"/>
  <c r="F78" i="10"/>
  <c r="E78" i="10"/>
  <c r="D80" i="10"/>
  <c r="D79" i="10"/>
  <c r="D78" i="10"/>
  <c r="D135" i="10"/>
  <c r="D136" i="10"/>
  <c r="D137" i="10"/>
  <c r="D138" i="10"/>
  <c r="D139" i="10"/>
  <c r="D140" i="10"/>
  <c r="D141" i="10"/>
  <c r="D142" i="10"/>
  <c r="D143" i="10"/>
  <c r="D144" i="10"/>
  <c r="D145" i="10"/>
  <c r="D146" i="10"/>
  <c r="D147" i="10"/>
  <c r="D148" i="10"/>
  <c r="D149" i="10"/>
  <c r="E135" i="10"/>
  <c r="E136" i="10"/>
  <c r="E137" i="10"/>
  <c r="E138" i="10"/>
  <c r="E139" i="10"/>
  <c r="E140" i="10"/>
  <c r="E141" i="10"/>
  <c r="E142" i="10"/>
  <c r="E143" i="10"/>
  <c r="E144" i="10"/>
  <c r="E145" i="10"/>
  <c r="E146" i="10"/>
  <c r="E147" i="10"/>
  <c r="E148" i="10"/>
  <c r="E149" i="10"/>
  <c r="F135" i="10"/>
  <c r="F136" i="10"/>
  <c r="F137" i="10"/>
  <c r="F138" i="10"/>
  <c r="F139" i="10"/>
  <c r="F140" i="10"/>
  <c r="F141" i="10"/>
  <c r="F142" i="10"/>
  <c r="F143" i="10"/>
  <c r="F144" i="10"/>
  <c r="F145" i="10"/>
  <c r="F146" i="10"/>
  <c r="F147" i="10"/>
  <c r="F148" i="10"/>
  <c r="F149" i="10"/>
  <c r="G135" i="10"/>
  <c r="G136" i="10"/>
  <c r="G137" i="10"/>
  <c r="G138" i="10"/>
  <c r="G139" i="10"/>
  <c r="G140" i="10"/>
  <c r="G141" i="10"/>
  <c r="G142" i="10"/>
  <c r="G143" i="10"/>
  <c r="G144" i="10"/>
  <c r="G145" i="10"/>
  <c r="G146" i="10"/>
  <c r="G147" i="10"/>
  <c r="G148" i="10"/>
  <c r="G149" i="10"/>
  <c r="H135" i="10"/>
  <c r="H136" i="10"/>
  <c r="H137" i="10"/>
  <c r="H138" i="10"/>
  <c r="H139" i="10"/>
  <c r="H140" i="10"/>
  <c r="H141" i="10"/>
  <c r="H142" i="10"/>
  <c r="H143" i="10"/>
  <c r="H144" i="10"/>
  <c r="H145" i="10"/>
  <c r="H146" i="10"/>
  <c r="H147" i="10"/>
  <c r="H148" i="10"/>
  <c r="H149" i="10"/>
  <c r="I135" i="10"/>
  <c r="I136" i="10"/>
  <c r="I137" i="10"/>
  <c r="I138" i="10"/>
  <c r="I139" i="10"/>
  <c r="I140" i="10"/>
  <c r="I141" i="10"/>
  <c r="I142" i="10"/>
  <c r="I143" i="10"/>
  <c r="I144" i="10"/>
  <c r="I145" i="10"/>
  <c r="I146" i="10"/>
  <c r="I147" i="10"/>
  <c r="I148" i="10"/>
  <c r="I149" i="10"/>
  <c r="J135" i="10"/>
  <c r="J136" i="10"/>
  <c r="J137" i="10"/>
  <c r="J138" i="10"/>
  <c r="J139" i="10"/>
  <c r="J140" i="10"/>
  <c r="J141" i="10"/>
  <c r="J142" i="10"/>
  <c r="J143" i="10"/>
  <c r="J144" i="10"/>
  <c r="J145" i="10"/>
  <c r="J146" i="10"/>
  <c r="J147" i="10"/>
  <c r="J148" i="10"/>
  <c r="J149" i="10"/>
  <c r="K135" i="10"/>
  <c r="K136" i="10"/>
  <c r="K137" i="10"/>
  <c r="K138" i="10"/>
  <c r="K139" i="10"/>
  <c r="K140" i="10"/>
  <c r="K141" i="10"/>
  <c r="K142" i="10"/>
  <c r="K143" i="10"/>
  <c r="K144" i="10"/>
  <c r="K145" i="10"/>
  <c r="K146" i="10"/>
  <c r="K147" i="10"/>
  <c r="K148" i="10"/>
  <c r="K149" i="10"/>
  <c r="L135" i="10"/>
  <c r="L136" i="10"/>
  <c r="L137" i="10"/>
  <c r="L138" i="10"/>
  <c r="L139" i="10"/>
  <c r="L140" i="10"/>
  <c r="L141" i="10"/>
  <c r="L142" i="10"/>
  <c r="L143" i="10"/>
  <c r="L144" i="10"/>
  <c r="L145" i="10"/>
  <c r="L146" i="10"/>
  <c r="L147" i="10"/>
  <c r="L148" i="10"/>
  <c r="L149" i="10"/>
  <c r="E111" i="10"/>
  <c r="E112" i="10"/>
  <c r="E113" i="10"/>
  <c r="E114" i="10"/>
  <c r="E115" i="10"/>
  <c r="E116" i="10"/>
  <c r="E117" i="10"/>
  <c r="E118" i="10"/>
  <c r="E119" i="10"/>
  <c r="E120" i="10"/>
  <c r="E121" i="10"/>
  <c r="E122" i="10"/>
  <c r="E123" i="10"/>
  <c r="E124" i="10"/>
  <c r="E125" i="10"/>
  <c r="F111" i="10"/>
  <c r="F112" i="10"/>
  <c r="F113" i="10"/>
  <c r="F114" i="10"/>
  <c r="F115" i="10"/>
  <c r="F116" i="10"/>
  <c r="F117" i="10"/>
  <c r="F118" i="10"/>
  <c r="F119" i="10"/>
  <c r="F120" i="10"/>
  <c r="F121" i="10"/>
  <c r="F122" i="10"/>
  <c r="F123" i="10"/>
  <c r="F124" i="10"/>
  <c r="F125" i="10"/>
  <c r="G111" i="10"/>
  <c r="G112" i="10"/>
  <c r="G113" i="10"/>
  <c r="G114" i="10"/>
  <c r="G115" i="10"/>
  <c r="G116" i="10"/>
  <c r="G117" i="10"/>
  <c r="G118" i="10"/>
  <c r="G119" i="10"/>
  <c r="G120" i="10"/>
  <c r="G121" i="10"/>
  <c r="G122" i="10"/>
  <c r="G123" i="10"/>
  <c r="G124" i="10"/>
  <c r="G125" i="10"/>
  <c r="H111" i="10"/>
  <c r="H112" i="10"/>
  <c r="H113" i="10"/>
  <c r="H114" i="10"/>
  <c r="H115" i="10"/>
  <c r="H116" i="10"/>
  <c r="H117" i="10"/>
  <c r="H118" i="10"/>
  <c r="H119" i="10"/>
  <c r="H120" i="10"/>
  <c r="H121" i="10"/>
  <c r="H122" i="10"/>
  <c r="H123" i="10"/>
  <c r="H124" i="10"/>
  <c r="H125" i="10"/>
  <c r="I111" i="10"/>
  <c r="I112" i="10"/>
  <c r="I113" i="10"/>
  <c r="I114" i="10"/>
  <c r="I115" i="10"/>
  <c r="I116" i="10"/>
  <c r="I117" i="10"/>
  <c r="I118" i="10"/>
  <c r="I119" i="10"/>
  <c r="I120" i="10"/>
  <c r="I121" i="10"/>
  <c r="I122" i="10"/>
  <c r="I123" i="10"/>
  <c r="I124" i="10"/>
  <c r="I125" i="10"/>
  <c r="J111" i="10"/>
  <c r="J112" i="10"/>
  <c r="J113" i="10"/>
  <c r="J114" i="10"/>
  <c r="J115" i="10"/>
  <c r="J116" i="10"/>
  <c r="J117" i="10"/>
  <c r="J118" i="10"/>
  <c r="J119" i="10"/>
  <c r="J120" i="10"/>
  <c r="J121" i="10"/>
  <c r="J122" i="10"/>
  <c r="J123" i="10"/>
  <c r="J124" i="10"/>
  <c r="J125" i="10"/>
  <c r="K111" i="10"/>
  <c r="K112" i="10"/>
  <c r="K113" i="10"/>
  <c r="K114" i="10"/>
  <c r="K115" i="10"/>
  <c r="K116" i="10"/>
  <c r="K117" i="10"/>
  <c r="K118" i="10"/>
  <c r="K119" i="10"/>
  <c r="K120" i="10"/>
  <c r="K121" i="10"/>
  <c r="K122" i="10"/>
  <c r="K123" i="10"/>
  <c r="K124" i="10"/>
  <c r="K125" i="10"/>
  <c r="L111" i="10"/>
  <c r="L112" i="10"/>
  <c r="L113" i="10"/>
  <c r="L114" i="10"/>
  <c r="L115" i="10"/>
  <c r="L116" i="10"/>
  <c r="L117" i="10"/>
  <c r="L118" i="10"/>
  <c r="L119" i="10"/>
  <c r="L120" i="10"/>
  <c r="L121" i="10"/>
  <c r="L122" i="10"/>
  <c r="L123" i="10"/>
  <c r="L124" i="10"/>
  <c r="L125" i="10"/>
  <c r="D111" i="10"/>
  <c r="D112" i="10"/>
  <c r="D113" i="10"/>
  <c r="D114" i="10"/>
  <c r="D115" i="10"/>
  <c r="D116" i="10"/>
  <c r="D117" i="10"/>
  <c r="D118" i="10"/>
  <c r="D119" i="10"/>
  <c r="D120" i="10"/>
  <c r="D121" i="10"/>
  <c r="D122" i="10"/>
  <c r="D123" i="10"/>
  <c r="D124" i="10"/>
  <c r="D125" i="10"/>
  <c r="J87" i="10"/>
  <c r="J88" i="10"/>
  <c r="J89" i="10"/>
  <c r="J90" i="10"/>
  <c r="J91" i="10"/>
  <c r="J92" i="10"/>
  <c r="J93" i="10"/>
  <c r="J94" i="10"/>
  <c r="J95" i="10"/>
  <c r="J96" i="10"/>
  <c r="J97" i="10"/>
  <c r="J98" i="10"/>
  <c r="J99" i="10"/>
  <c r="J100" i="10"/>
  <c r="J101" i="10"/>
  <c r="K87" i="10"/>
  <c r="K88" i="10"/>
  <c r="K89" i="10"/>
  <c r="K90" i="10"/>
  <c r="K91" i="10"/>
  <c r="K92" i="10"/>
  <c r="K93" i="10"/>
  <c r="K94" i="10"/>
  <c r="K95" i="10"/>
  <c r="K96" i="10"/>
  <c r="K97" i="10"/>
  <c r="K98" i="10"/>
  <c r="K99" i="10"/>
  <c r="K100" i="10"/>
  <c r="K101" i="10"/>
  <c r="L87" i="10"/>
  <c r="L88" i="10"/>
  <c r="L89" i="10"/>
  <c r="L90" i="10"/>
  <c r="L91" i="10"/>
  <c r="L92" i="10"/>
  <c r="L93" i="10"/>
  <c r="L94" i="10"/>
  <c r="L95" i="10"/>
  <c r="L96" i="10"/>
  <c r="L97" i="10"/>
  <c r="L98" i="10"/>
  <c r="L99" i="10"/>
  <c r="L100" i="10"/>
  <c r="L101" i="10"/>
  <c r="G87" i="10"/>
  <c r="G88" i="10"/>
  <c r="G89" i="10"/>
  <c r="G90" i="10"/>
  <c r="G91" i="10"/>
  <c r="G92" i="10"/>
  <c r="G93" i="10"/>
  <c r="G94" i="10"/>
  <c r="G95" i="10"/>
  <c r="G96" i="10"/>
  <c r="G97" i="10"/>
  <c r="G98" i="10"/>
  <c r="G99" i="10"/>
  <c r="G100" i="10"/>
  <c r="G101" i="10"/>
  <c r="H87" i="10"/>
  <c r="H88" i="10"/>
  <c r="H89" i="10"/>
  <c r="H90" i="10"/>
  <c r="H91" i="10"/>
  <c r="H92" i="10"/>
  <c r="H93" i="10"/>
  <c r="H94" i="10"/>
  <c r="H95" i="10"/>
  <c r="H96" i="10"/>
  <c r="H97" i="10"/>
  <c r="H98" i="10"/>
  <c r="H99" i="10"/>
  <c r="H100" i="10"/>
  <c r="H101" i="10"/>
  <c r="I87" i="10"/>
  <c r="I88" i="10"/>
  <c r="I89" i="10"/>
  <c r="I90" i="10"/>
  <c r="I91" i="10"/>
  <c r="I92" i="10"/>
  <c r="I93" i="10"/>
  <c r="I94" i="10"/>
  <c r="I95" i="10"/>
  <c r="I96" i="10"/>
  <c r="I97" i="10"/>
  <c r="I98" i="10"/>
  <c r="I99" i="10"/>
  <c r="I100" i="10"/>
  <c r="I101" i="10"/>
  <c r="E87" i="10"/>
  <c r="E88" i="10"/>
  <c r="E89" i="10"/>
  <c r="E90" i="10"/>
  <c r="E91" i="10"/>
  <c r="E92" i="10"/>
  <c r="E93" i="10"/>
  <c r="E94" i="10"/>
  <c r="E95" i="10"/>
  <c r="E96" i="10"/>
  <c r="E97" i="10"/>
  <c r="E98" i="10"/>
  <c r="E99" i="10"/>
  <c r="E100" i="10"/>
  <c r="E101" i="10"/>
  <c r="F87" i="10"/>
  <c r="F88" i="10"/>
  <c r="F89" i="10"/>
  <c r="F90" i="10"/>
  <c r="F91" i="10"/>
  <c r="F92" i="10"/>
  <c r="F93" i="10"/>
  <c r="F94" i="10"/>
  <c r="F95" i="10"/>
  <c r="F96" i="10"/>
  <c r="F97" i="10"/>
  <c r="F98" i="10"/>
  <c r="F99" i="10"/>
  <c r="F100" i="10"/>
  <c r="F101" i="10"/>
  <c r="D87" i="10"/>
  <c r="D88" i="10"/>
  <c r="D89" i="10"/>
  <c r="D90" i="10"/>
  <c r="D91" i="10"/>
  <c r="D92" i="10"/>
  <c r="D93" i="10"/>
  <c r="D94" i="10"/>
  <c r="D95" i="10"/>
  <c r="D96" i="10"/>
  <c r="D97" i="10"/>
  <c r="D98" i="10"/>
  <c r="D99" i="10"/>
  <c r="D100" i="10"/>
  <c r="D101" i="10"/>
  <c r="S135" i="10"/>
  <c r="S136" i="10"/>
  <c r="S137" i="10"/>
  <c r="S138" i="10"/>
  <c r="S139" i="10"/>
  <c r="S140" i="10"/>
  <c r="S141" i="10"/>
  <c r="S142" i="10"/>
  <c r="S143" i="10"/>
  <c r="S144" i="10"/>
  <c r="S145" i="10"/>
  <c r="S146" i="10"/>
  <c r="S147" i="10"/>
  <c r="S148" i="10"/>
  <c r="S149" i="10"/>
  <c r="S111" i="10"/>
  <c r="S112" i="10"/>
  <c r="S113" i="10"/>
  <c r="S114" i="10"/>
  <c r="S115" i="10"/>
  <c r="S116" i="10"/>
  <c r="S117" i="10"/>
  <c r="S118" i="10"/>
  <c r="S119" i="10"/>
  <c r="S120" i="10"/>
  <c r="S121" i="10"/>
  <c r="S122" i="10"/>
  <c r="S123" i="10"/>
  <c r="S124" i="10"/>
  <c r="S125" i="10"/>
  <c r="S87" i="10"/>
  <c r="S88" i="10"/>
  <c r="S89" i="10"/>
  <c r="S90" i="10"/>
  <c r="S91" i="10"/>
  <c r="S92" i="10"/>
  <c r="S93" i="10"/>
  <c r="S94" i="10"/>
  <c r="S95" i="10"/>
  <c r="S96" i="10"/>
  <c r="S97" i="10"/>
  <c r="S98" i="10"/>
  <c r="S99" i="10"/>
  <c r="S100" i="10"/>
  <c r="S101" i="10"/>
  <c r="S63" i="10"/>
  <c r="S64" i="10"/>
  <c r="S65" i="10"/>
  <c r="S66" i="10"/>
  <c r="S67" i="10"/>
  <c r="S68" i="10"/>
  <c r="S69" i="10"/>
  <c r="S70" i="10"/>
  <c r="S71" i="10"/>
  <c r="S72" i="10"/>
  <c r="S73" i="10"/>
  <c r="S74" i="10"/>
  <c r="S75" i="10"/>
  <c r="S76" i="10"/>
  <c r="S77" i="10"/>
  <c r="S53" i="10"/>
  <c r="S52" i="10"/>
  <c r="S51" i="10"/>
  <c r="S50" i="10"/>
  <c r="S49" i="10"/>
  <c r="S48" i="10"/>
  <c r="S47" i="10"/>
  <c r="S46" i="10"/>
  <c r="S45" i="10"/>
  <c r="S44" i="10"/>
  <c r="S43" i="10"/>
  <c r="S42" i="10"/>
  <c r="S41" i="10"/>
  <c r="S40" i="10"/>
  <c r="S39" i="10"/>
  <c r="R135" i="10"/>
  <c r="R136" i="10"/>
  <c r="R137" i="10"/>
  <c r="R138" i="10"/>
  <c r="R139" i="10"/>
  <c r="R140" i="10"/>
  <c r="R141" i="10"/>
  <c r="R142" i="10"/>
  <c r="R143" i="10"/>
  <c r="R144" i="10"/>
  <c r="R145" i="10"/>
  <c r="R146" i="10"/>
  <c r="R147" i="10"/>
  <c r="R148" i="10"/>
  <c r="R149" i="10"/>
  <c r="R111" i="10"/>
  <c r="R112" i="10"/>
  <c r="R113" i="10"/>
  <c r="R114" i="10"/>
  <c r="R115" i="10"/>
  <c r="R116" i="10"/>
  <c r="R117" i="10"/>
  <c r="R118" i="10"/>
  <c r="R119" i="10"/>
  <c r="R120" i="10"/>
  <c r="R121" i="10"/>
  <c r="R122" i="10"/>
  <c r="R123" i="10"/>
  <c r="R124" i="10"/>
  <c r="R125" i="10"/>
  <c r="R87" i="10"/>
  <c r="R88" i="10"/>
  <c r="R89" i="10"/>
  <c r="R90" i="10"/>
  <c r="R91" i="10"/>
  <c r="R92" i="10"/>
  <c r="R93" i="10"/>
  <c r="R94" i="10"/>
  <c r="R95" i="10"/>
  <c r="R96" i="10"/>
  <c r="R97" i="10"/>
  <c r="R98" i="10"/>
  <c r="R99" i="10"/>
  <c r="R100" i="10"/>
  <c r="R101" i="10"/>
  <c r="R63" i="10"/>
  <c r="R64" i="10"/>
  <c r="R65" i="10"/>
  <c r="R66" i="10"/>
  <c r="R67" i="10"/>
  <c r="R68" i="10"/>
  <c r="R69" i="10"/>
  <c r="R70" i="10"/>
  <c r="R71" i="10"/>
  <c r="R72" i="10"/>
  <c r="R73" i="10"/>
  <c r="R74" i="10"/>
  <c r="R75" i="10"/>
  <c r="R76" i="10"/>
  <c r="R77" i="10"/>
  <c r="Q135" i="10"/>
  <c r="Q136" i="10"/>
  <c r="Q137" i="10"/>
  <c r="Q138" i="10"/>
  <c r="Q139" i="10"/>
  <c r="Q140" i="10"/>
  <c r="Q141" i="10"/>
  <c r="Q142" i="10"/>
  <c r="Q143" i="10"/>
  <c r="Q144" i="10"/>
  <c r="Q145" i="10"/>
  <c r="Q146" i="10"/>
  <c r="Q147" i="10"/>
  <c r="Q148" i="10"/>
  <c r="Q149" i="10"/>
  <c r="Q111" i="10"/>
  <c r="Q112" i="10"/>
  <c r="Q113" i="10"/>
  <c r="Q114" i="10"/>
  <c r="Q115" i="10"/>
  <c r="Q116" i="10"/>
  <c r="Q117" i="10"/>
  <c r="Q118" i="10"/>
  <c r="Q119" i="10"/>
  <c r="Q120" i="10"/>
  <c r="Q121" i="10"/>
  <c r="Q122" i="10"/>
  <c r="Q123" i="10"/>
  <c r="Q124" i="10"/>
  <c r="Q125" i="10"/>
  <c r="Q87" i="10"/>
  <c r="Q88" i="10"/>
  <c r="Q89" i="10"/>
  <c r="Q90" i="10"/>
  <c r="Q91" i="10"/>
  <c r="Q92" i="10"/>
  <c r="Q93" i="10"/>
  <c r="Q94" i="10"/>
  <c r="Q95" i="10"/>
  <c r="Q96" i="10"/>
  <c r="Q97" i="10"/>
  <c r="Q98" i="10"/>
  <c r="Q99" i="10"/>
  <c r="Q100" i="10"/>
  <c r="Q101" i="10"/>
  <c r="Q63" i="10"/>
  <c r="Q64" i="10"/>
  <c r="Q65" i="10"/>
  <c r="Q66" i="10"/>
  <c r="Q67" i="10"/>
  <c r="Q68" i="10"/>
  <c r="Q69" i="10"/>
  <c r="Q70" i="10"/>
  <c r="Q71" i="10"/>
  <c r="Q72" i="10"/>
  <c r="Q73" i="10"/>
  <c r="Q74" i="10"/>
  <c r="Q75" i="10"/>
  <c r="Q76" i="10"/>
  <c r="Q77" i="10"/>
  <c r="P135" i="10"/>
  <c r="P136" i="10"/>
  <c r="P137" i="10"/>
  <c r="P138" i="10"/>
  <c r="P139" i="10"/>
  <c r="P140" i="10"/>
  <c r="P141" i="10"/>
  <c r="P142" i="10"/>
  <c r="P143" i="10"/>
  <c r="P144" i="10"/>
  <c r="P145" i="10"/>
  <c r="P146" i="10"/>
  <c r="P147" i="10"/>
  <c r="P148" i="10"/>
  <c r="P149" i="10"/>
  <c r="P111" i="10"/>
  <c r="P112" i="10"/>
  <c r="P113" i="10"/>
  <c r="P114" i="10"/>
  <c r="P115" i="10"/>
  <c r="P116" i="10"/>
  <c r="P117" i="10"/>
  <c r="P118" i="10"/>
  <c r="P119" i="10"/>
  <c r="P120" i="10"/>
  <c r="P121" i="10"/>
  <c r="P122" i="10"/>
  <c r="P123" i="10"/>
  <c r="P124" i="10"/>
  <c r="P125" i="10"/>
  <c r="P87" i="10"/>
  <c r="P88" i="10"/>
  <c r="P89" i="10"/>
  <c r="P90" i="10"/>
  <c r="P91" i="10"/>
  <c r="P92" i="10"/>
  <c r="P93" i="10"/>
  <c r="P94" i="10"/>
  <c r="P95" i="10"/>
  <c r="P96" i="10"/>
  <c r="P97" i="10"/>
  <c r="P98" i="10"/>
  <c r="P99" i="10"/>
  <c r="P100" i="10"/>
  <c r="P101" i="10"/>
  <c r="P63" i="10"/>
  <c r="P64" i="10"/>
  <c r="P65" i="10"/>
  <c r="P66" i="10"/>
  <c r="P67" i="10"/>
  <c r="P68" i="10"/>
  <c r="P69" i="10"/>
  <c r="P70" i="10"/>
  <c r="P71" i="10"/>
  <c r="P72" i="10"/>
  <c r="P73" i="10"/>
  <c r="P74" i="10"/>
  <c r="P75" i="10"/>
  <c r="P76" i="10"/>
  <c r="P77" i="10"/>
  <c r="O135" i="10"/>
  <c r="O136" i="10"/>
  <c r="O137" i="10"/>
  <c r="O138" i="10"/>
  <c r="O139" i="10"/>
  <c r="O140" i="10"/>
  <c r="O141" i="10"/>
  <c r="O142" i="10"/>
  <c r="O143" i="10"/>
  <c r="O144" i="10"/>
  <c r="O145" i="10"/>
  <c r="O146" i="10"/>
  <c r="O147" i="10"/>
  <c r="O148" i="10"/>
  <c r="O149" i="10"/>
  <c r="N135" i="10"/>
  <c r="N136" i="10"/>
  <c r="N137" i="10"/>
  <c r="N138" i="10"/>
  <c r="N139" i="10"/>
  <c r="N140" i="10"/>
  <c r="N141" i="10"/>
  <c r="N142" i="10"/>
  <c r="N143" i="10"/>
  <c r="N144" i="10"/>
  <c r="N145" i="10"/>
  <c r="N146" i="10"/>
  <c r="N147" i="10"/>
  <c r="N148" i="10"/>
  <c r="N149" i="10"/>
  <c r="O111" i="10"/>
  <c r="O112" i="10"/>
  <c r="O113" i="10"/>
  <c r="O114" i="10"/>
  <c r="O115" i="10"/>
  <c r="O116" i="10"/>
  <c r="O117" i="10"/>
  <c r="O118" i="10"/>
  <c r="O119" i="10"/>
  <c r="O120" i="10"/>
  <c r="O121" i="10"/>
  <c r="O122" i="10"/>
  <c r="O123" i="10"/>
  <c r="O124" i="10"/>
  <c r="O125" i="10"/>
  <c r="N111" i="10"/>
  <c r="N112" i="10"/>
  <c r="N113" i="10"/>
  <c r="N114" i="10"/>
  <c r="N115" i="10"/>
  <c r="N116" i="10"/>
  <c r="N117" i="10"/>
  <c r="N118" i="10"/>
  <c r="N119" i="10"/>
  <c r="N120" i="10"/>
  <c r="N121" i="10"/>
  <c r="N122" i="10"/>
  <c r="N123" i="10"/>
  <c r="N124" i="10"/>
  <c r="N125" i="10"/>
  <c r="O87" i="10"/>
  <c r="O88" i="10"/>
  <c r="O89" i="10"/>
  <c r="O90" i="10"/>
  <c r="O91" i="10"/>
  <c r="O92" i="10"/>
  <c r="O93" i="10"/>
  <c r="O94" i="10"/>
  <c r="O95" i="10"/>
  <c r="O96" i="10"/>
  <c r="O97" i="10"/>
  <c r="O98" i="10"/>
  <c r="O99" i="10"/>
  <c r="O100" i="10"/>
  <c r="O101" i="10"/>
  <c r="N87" i="10"/>
  <c r="N88" i="10"/>
  <c r="N89" i="10"/>
  <c r="N90" i="10"/>
  <c r="N91" i="10"/>
  <c r="N92" i="10"/>
  <c r="N93" i="10"/>
  <c r="N94" i="10"/>
  <c r="N95" i="10"/>
  <c r="N96" i="10"/>
  <c r="N97" i="10"/>
  <c r="N98" i="10"/>
  <c r="N99" i="10"/>
  <c r="N100" i="10"/>
  <c r="N101" i="10"/>
  <c r="O63" i="10"/>
  <c r="O64" i="10"/>
  <c r="O65" i="10"/>
  <c r="O66" i="10"/>
  <c r="O67" i="10"/>
  <c r="O68" i="10"/>
  <c r="O69" i="10"/>
  <c r="O70" i="10"/>
  <c r="O71" i="10"/>
  <c r="O72" i="10"/>
  <c r="O73" i="10"/>
  <c r="O74" i="10"/>
  <c r="O75" i="10"/>
  <c r="O76" i="10"/>
  <c r="O77" i="10"/>
  <c r="N63" i="10"/>
  <c r="N64" i="10"/>
  <c r="N65" i="10"/>
  <c r="N66" i="10"/>
  <c r="N67" i="10"/>
  <c r="N68" i="10"/>
  <c r="N69" i="10"/>
  <c r="N70" i="10"/>
  <c r="N71" i="10"/>
  <c r="N72" i="10"/>
  <c r="N73" i="10"/>
  <c r="N74" i="10"/>
  <c r="N75" i="10"/>
  <c r="N76" i="10"/>
  <c r="N77" i="10"/>
  <c r="M135" i="10"/>
  <c r="M136" i="10"/>
  <c r="M137" i="10"/>
  <c r="M138" i="10"/>
  <c r="M139" i="10"/>
  <c r="M140" i="10"/>
  <c r="M141" i="10"/>
  <c r="M142" i="10"/>
  <c r="M143" i="10"/>
  <c r="M144" i="10"/>
  <c r="M145" i="10"/>
  <c r="M146" i="10"/>
  <c r="M147" i="10"/>
  <c r="M148" i="10"/>
  <c r="M149" i="10"/>
  <c r="M111" i="10"/>
  <c r="M112" i="10"/>
  <c r="M113" i="10"/>
  <c r="M114" i="10"/>
  <c r="M115" i="10"/>
  <c r="M116" i="10"/>
  <c r="M117" i="10"/>
  <c r="M118" i="10"/>
  <c r="M119" i="10"/>
  <c r="M120" i="10"/>
  <c r="M121" i="10"/>
  <c r="M122" i="10"/>
  <c r="M123" i="10"/>
  <c r="M124" i="10"/>
  <c r="M125" i="10"/>
  <c r="M88" i="10"/>
  <c r="M87" i="10"/>
  <c r="M89" i="10"/>
  <c r="M90" i="10"/>
  <c r="M91" i="10"/>
  <c r="M92" i="10"/>
  <c r="M93" i="10"/>
  <c r="M94" i="10"/>
  <c r="M95" i="10"/>
  <c r="M96" i="10"/>
  <c r="M97" i="10"/>
  <c r="M98" i="10"/>
  <c r="M99" i="10"/>
  <c r="M100" i="10"/>
  <c r="M101" i="10"/>
  <c r="M63" i="10"/>
  <c r="M64" i="10"/>
  <c r="M65" i="10"/>
  <c r="M66" i="10"/>
  <c r="M67" i="10"/>
  <c r="M68" i="10"/>
  <c r="M69" i="10"/>
  <c r="M70" i="10"/>
  <c r="M71" i="10"/>
  <c r="M72" i="10"/>
  <c r="M73" i="10"/>
  <c r="M74" i="10"/>
  <c r="M75" i="10"/>
  <c r="M76" i="10"/>
  <c r="M77" i="10"/>
  <c r="L63" i="10"/>
  <c r="L64" i="10"/>
  <c r="L65" i="10"/>
  <c r="L66" i="10"/>
  <c r="L67" i="10"/>
  <c r="L68" i="10"/>
  <c r="L69" i="10"/>
  <c r="L70" i="10"/>
  <c r="L71" i="10"/>
  <c r="L72" i="10"/>
  <c r="L73" i="10"/>
  <c r="L74" i="10"/>
  <c r="L75" i="10"/>
  <c r="L76" i="10"/>
  <c r="L77" i="10"/>
  <c r="K63" i="10"/>
  <c r="K64" i="10"/>
  <c r="K65" i="10"/>
  <c r="K66" i="10"/>
  <c r="K67" i="10"/>
  <c r="K68" i="10"/>
  <c r="K69" i="10"/>
  <c r="K70" i="10"/>
  <c r="K71" i="10"/>
  <c r="K72" i="10"/>
  <c r="K73" i="10"/>
  <c r="K74" i="10"/>
  <c r="K75" i="10"/>
  <c r="K76" i="10"/>
  <c r="K77" i="10"/>
  <c r="J63" i="10"/>
  <c r="J64" i="10"/>
  <c r="J65" i="10"/>
  <c r="J66" i="10"/>
  <c r="J67" i="10"/>
  <c r="J68" i="10"/>
  <c r="J69" i="10"/>
  <c r="J70" i="10"/>
  <c r="J71" i="10"/>
  <c r="J72" i="10"/>
  <c r="J73" i="10"/>
  <c r="J74" i="10"/>
  <c r="J75" i="10"/>
  <c r="J76" i="10"/>
  <c r="J77" i="10"/>
  <c r="I63" i="10"/>
  <c r="I64" i="10"/>
  <c r="I65" i="10"/>
  <c r="I66" i="10"/>
  <c r="I67" i="10"/>
  <c r="I68" i="10"/>
  <c r="I69" i="10"/>
  <c r="I70" i="10"/>
  <c r="I71" i="10"/>
  <c r="I72" i="10"/>
  <c r="I73" i="10"/>
  <c r="I74" i="10"/>
  <c r="I75" i="10"/>
  <c r="I76" i="10"/>
  <c r="I77" i="10"/>
  <c r="H63" i="10"/>
  <c r="H64" i="10"/>
  <c r="H65" i="10"/>
  <c r="H66" i="10"/>
  <c r="H67" i="10"/>
  <c r="H68" i="10"/>
  <c r="H69" i="10"/>
  <c r="H70" i="10"/>
  <c r="H71" i="10"/>
  <c r="H72" i="10"/>
  <c r="H73" i="10"/>
  <c r="H74" i="10"/>
  <c r="H75" i="10"/>
  <c r="H76" i="10"/>
  <c r="H77" i="10"/>
  <c r="G63" i="10"/>
  <c r="G64" i="10"/>
  <c r="G65" i="10"/>
  <c r="G66" i="10"/>
  <c r="G67" i="10"/>
  <c r="G68" i="10"/>
  <c r="G69" i="10"/>
  <c r="G70" i="10"/>
  <c r="G71" i="10"/>
  <c r="G72" i="10"/>
  <c r="G73" i="10"/>
  <c r="G74" i="10"/>
  <c r="G75" i="10"/>
  <c r="G76" i="10"/>
  <c r="G77" i="10"/>
  <c r="F63" i="10"/>
  <c r="F64" i="10"/>
  <c r="F65" i="10"/>
  <c r="F66" i="10"/>
  <c r="F67" i="10"/>
  <c r="F68" i="10"/>
  <c r="F69" i="10"/>
  <c r="F70" i="10"/>
  <c r="F71" i="10"/>
  <c r="F72" i="10"/>
  <c r="F73" i="10"/>
  <c r="F74" i="10"/>
  <c r="F75" i="10"/>
  <c r="F76" i="10"/>
  <c r="F77" i="10"/>
  <c r="E63" i="10"/>
  <c r="E64" i="10"/>
  <c r="E65" i="10"/>
  <c r="E66" i="10"/>
  <c r="E67" i="10"/>
  <c r="E68" i="10"/>
  <c r="E69" i="10"/>
  <c r="E70" i="10"/>
  <c r="E71" i="10"/>
  <c r="E72" i="10"/>
  <c r="E73" i="10"/>
  <c r="E74" i="10"/>
  <c r="E75" i="10"/>
  <c r="E76" i="10"/>
  <c r="E77" i="10"/>
  <c r="D63" i="10"/>
  <c r="D64" i="10"/>
  <c r="D65" i="10"/>
  <c r="D66" i="10"/>
  <c r="D67" i="10"/>
  <c r="D68" i="10"/>
  <c r="D69" i="10"/>
  <c r="D70" i="10"/>
  <c r="D71" i="10"/>
  <c r="D72" i="10"/>
  <c r="D73" i="10"/>
  <c r="D74" i="10"/>
  <c r="D75" i="10"/>
  <c r="D76" i="10"/>
  <c r="D77" i="10"/>
  <c r="L56" i="10"/>
  <c r="L55" i="10"/>
  <c r="L54" i="10"/>
  <c r="K56" i="10"/>
  <c r="J56" i="10"/>
  <c r="I56" i="10"/>
  <c r="H56" i="10"/>
  <c r="K55" i="10"/>
  <c r="J55" i="10"/>
  <c r="I55" i="10"/>
  <c r="H55" i="10"/>
  <c r="K54" i="10"/>
  <c r="J54" i="10"/>
  <c r="I54" i="10"/>
  <c r="H54" i="10"/>
  <c r="E54" i="10"/>
  <c r="F54" i="10"/>
  <c r="G54" i="10"/>
  <c r="E55" i="10"/>
  <c r="F55" i="10"/>
  <c r="G55" i="10"/>
  <c r="E56" i="10"/>
  <c r="F56" i="10"/>
  <c r="G56" i="10"/>
  <c r="D56" i="10"/>
  <c r="D55" i="10"/>
  <c r="D54" i="10"/>
  <c r="L53" i="10" l="1"/>
  <c r="K53" i="10"/>
  <c r="J53" i="10"/>
  <c r="L52" i="10"/>
  <c r="K52" i="10"/>
  <c r="J52" i="10"/>
  <c r="L51" i="10"/>
  <c r="K51" i="10"/>
  <c r="J51" i="10"/>
  <c r="L50" i="10"/>
  <c r="K50" i="10"/>
  <c r="J50" i="10"/>
  <c r="L49" i="10"/>
  <c r="K49" i="10"/>
  <c r="J49" i="10"/>
  <c r="L48" i="10"/>
  <c r="K48" i="10"/>
  <c r="J48" i="10"/>
  <c r="L47" i="10"/>
  <c r="K47" i="10"/>
  <c r="J47" i="10"/>
  <c r="L46" i="10"/>
  <c r="K46" i="10"/>
  <c r="J46" i="10"/>
  <c r="L45" i="10"/>
  <c r="K45" i="10"/>
  <c r="J45" i="10"/>
  <c r="L44" i="10"/>
  <c r="K44" i="10"/>
  <c r="J44" i="10"/>
  <c r="L43" i="10"/>
  <c r="K43" i="10"/>
  <c r="J43" i="10"/>
  <c r="L42" i="10"/>
  <c r="K42" i="10"/>
  <c r="J42" i="10"/>
  <c r="L41" i="10"/>
  <c r="K41" i="10"/>
  <c r="J41" i="10"/>
  <c r="L40" i="10"/>
  <c r="K40" i="10"/>
  <c r="J40" i="10"/>
  <c r="L39" i="10"/>
  <c r="K39" i="10"/>
  <c r="J39" i="10"/>
  <c r="I53" i="10"/>
  <c r="H53" i="10"/>
  <c r="G53" i="10"/>
  <c r="I52" i="10"/>
  <c r="H52" i="10"/>
  <c r="G52" i="10"/>
  <c r="I51" i="10"/>
  <c r="H51" i="10"/>
  <c r="G51" i="10"/>
  <c r="I50" i="10"/>
  <c r="H50" i="10"/>
  <c r="G50" i="10"/>
  <c r="I49" i="10"/>
  <c r="H49" i="10"/>
  <c r="G49" i="10"/>
  <c r="I48" i="10"/>
  <c r="H48" i="10"/>
  <c r="G48" i="10"/>
  <c r="I47" i="10"/>
  <c r="H47" i="10"/>
  <c r="G47" i="10"/>
  <c r="I46" i="10"/>
  <c r="H46" i="10"/>
  <c r="G46" i="10"/>
  <c r="I45" i="10"/>
  <c r="H45" i="10"/>
  <c r="G45" i="10"/>
  <c r="I44" i="10"/>
  <c r="H44" i="10"/>
  <c r="G44" i="10"/>
  <c r="I43" i="10"/>
  <c r="H43" i="10"/>
  <c r="G43" i="10"/>
  <c r="I42" i="10"/>
  <c r="H42" i="10"/>
  <c r="G42" i="10"/>
  <c r="I41" i="10"/>
  <c r="H41" i="10"/>
  <c r="G41" i="10"/>
  <c r="I40" i="10"/>
  <c r="H40" i="10"/>
  <c r="G40" i="10"/>
  <c r="I39" i="10"/>
  <c r="H39" i="10"/>
  <c r="G39" i="10"/>
  <c r="R39" i="10"/>
  <c r="R40" i="10"/>
  <c r="R41" i="10"/>
  <c r="R42" i="10"/>
  <c r="R43" i="10"/>
  <c r="R44" i="10"/>
  <c r="R45" i="10"/>
  <c r="R46" i="10"/>
  <c r="R47" i="10"/>
  <c r="R48" i="10"/>
  <c r="R49" i="10"/>
  <c r="R50" i="10"/>
  <c r="R51" i="10"/>
  <c r="R52" i="10"/>
  <c r="R53" i="10"/>
  <c r="Q39" i="10"/>
  <c r="Q40" i="10"/>
  <c r="Q41" i="10"/>
  <c r="Q42" i="10"/>
  <c r="Q43" i="10"/>
  <c r="Q44" i="10"/>
  <c r="Q45" i="10"/>
  <c r="Q46" i="10"/>
  <c r="Q47" i="10"/>
  <c r="Q48" i="10"/>
  <c r="Q49" i="10"/>
  <c r="Q50" i="10"/>
  <c r="Q51" i="10"/>
  <c r="Q52" i="10"/>
  <c r="Q53" i="10"/>
  <c r="P53" i="10"/>
  <c r="P52" i="10"/>
  <c r="P51" i="10"/>
  <c r="P50" i="10"/>
  <c r="P49" i="10"/>
  <c r="P48" i="10"/>
  <c r="P47" i="10"/>
  <c r="P46" i="10"/>
  <c r="P45" i="10"/>
  <c r="P44" i="10"/>
  <c r="P43" i="10"/>
  <c r="P42" i="10"/>
  <c r="P41" i="10"/>
  <c r="P40" i="10"/>
  <c r="P39" i="10"/>
  <c r="O53" i="10"/>
  <c r="N53" i="10"/>
  <c r="M53" i="10"/>
  <c r="O52" i="10"/>
  <c r="N52" i="10"/>
  <c r="M52" i="10"/>
  <c r="O51" i="10"/>
  <c r="N51" i="10"/>
  <c r="M51" i="10"/>
  <c r="O50" i="10"/>
  <c r="N50" i="10"/>
  <c r="M50" i="10"/>
  <c r="O49" i="10"/>
  <c r="N49" i="10"/>
  <c r="M49" i="10"/>
  <c r="O48" i="10"/>
  <c r="N48" i="10"/>
  <c r="M48" i="10"/>
  <c r="O47" i="10"/>
  <c r="N47" i="10"/>
  <c r="M47" i="10"/>
  <c r="O46" i="10"/>
  <c r="N46" i="10"/>
  <c r="M46" i="10"/>
  <c r="O45" i="10"/>
  <c r="N45" i="10"/>
  <c r="M45" i="10"/>
  <c r="O44" i="10"/>
  <c r="N44" i="10"/>
  <c r="M44" i="10"/>
  <c r="O43" i="10"/>
  <c r="N43" i="10"/>
  <c r="M43" i="10"/>
  <c r="O42" i="10"/>
  <c r="N42" i="10"/>
  <c r="M42" i="10"/>
  <c r="O41" i="10"/>
  <c r="N41" i="10"/>
  <c r="M41" i="10"/>
  <c r="O40" i="10"/>
  <c r="N40" i="10"/>
  <c r="M40" i="10"/>
  <c r="O39" i="10"/>
  <c r="N39" i="10"/>
  <c r="M39" i="10"/>
  <c r="F53" i="10"/>
  <c r="E53" i="10"/>
  <c r="D53" i="10"/>
  <c r="F52" i="10"/>
  <c r="E52" i="10"/>
  <c r="D52" i="10"/>
  <c r="F51" i="10"/>
  <c r="E51" i="10"/>
  <c r="D51" i="10"/>
  <c r="F50" i="10"/>
  <c r="E50" i="10"/>
  <c r="D50" i="10"/>
  <c r="F49" i="10"/>
  <c r="E49" i="10"/>
  <c r="D49" i="10"/>
  <c r="F48" i="10"/>
  <c r="E48" i="10"/>
  <c r="D48" i="10"/>
  <c r="F47" i="10"/>
  <c r="E47" i="10"/>
  <c r="D47" i="10"/>
  <c r="F46" i="10"/>
  <c r="E46" i="10"/>
  <c r="D46" i="10"/>
  <c r="F45" i="10"/>
  <c r="E45" i="10"/>
  <c r="D45" i="10"/>
  <c r="F44" i="10"/>
  <c r="E44" i="10"/>
  <c r="D44" i="10"/>
  <c r="F43" i="10"/>
  <c r="E43" i="10"/>
  <c r="D43" i="10"/>
  <c r="F42" i="10"/>
  <c r="E42" i="10"/>
  <c r="D42" i="10"/>
  <c r="F41" i="10"/>
  <c r="E41" i="10"/>
  <c r="D41" i="10"/>
  <c r="F40" i="10"/>
  <c r="E40" i="10"/>
  <c r="D40" i="10"/>
  <c r="F39" i="10"/>
  <c r="E39" i="10"/>
  <c r="D39" i="10"/>
  <c r="AE179" i="34"/>
  <c r="AD179" i="34"/>
  <c r="AC179" i="34"/>
  <c r="AE178" i="34"/>
  <c r="AD178" i="34"/>
  <c r="AC178" i="34"/>
  <c r="AE177" i="34"/>
  <c r="AD177" i="34"/>
  <c r="AC177" i="34"/>
  <c r="AE176" i="34"/>
  <c r="AD176" i="34"/>
  <c r="AC176" i="34"/>
  <c r="AE175" i="34"/>
  <c r="AD175" i="34"/>
  <c r="AC175" i="34"/>
  <c r="AE174" i="34"/>
  <c r="AD174" i="34"/>
  <c r="AC174" i="34"/>
  <c r="AE173" i="34"/>
  <c r="AD173" i="34"/>
  <c r="AC173" i="34"/>
  <c r="AE172" i="34"/>
  <c r="AD172" i="34"/>
  <c r="AC172" i="34"/>
  <c r="AE171" i="34"/>
  <c r="AD171" i="34"/>
  <c r="AC171" i="34"/>
  <c r="AE170" i="34"/>
  <c r="AD170" i="34"/>
  <c r="AC170" i="34"/>
  <c r="AE169" i="34"/>
  <c r="AD169" i="34"/>
  <c r="AC169" i="34"/>
  <c r="AE168" i="34"/>
  <c r="AD168" i="34"/>
  <c r="AC168" i="34"/>
  <c r="AE167" i="34"/>
  <c r="AD167" i="34"/>
  <c r="AC167" i="34"/>
  <c r="AE166" i="34"/>
  <c r="AD166" i="34"/>
  <c r="AC166" i="34"/>
  <c r="AE165" i="34"/>
  <c r="AD165" i="34"/>
  <c r="AC165" i="34"/>
  <c r="AE164" i="34"/>
  <c r="AD164" i="34"/>
  <c r="AC164" i="34"/>
  <c r="AE163" i="34"/>
  <c r="AD163" i="34"/>
  <c r="AC163" i="34"/>
  <c r="AE162" i="34"/>
  <c r="AD162" i="34"/>
  <c r="AC162" i="34"/>
  <c r="AE161" i="34"/>
  <c r="AD161" i="34"/>
  <c r="AC161" i="34"/>
  <c r="AE160" i="34"/>
  <c r="AD160" i="34"/>
  <c r="AC160" i="34"/>
  <c r="AE159" i="34"/>
  <c r="AD159" i="34"/>
  <c r="AC159" i="34"/>
  <c r="AE158" i="34"/>
  <c r="AD158" i="34"/>
  <c r="AC158" i="34"/>
  <c r="AE157" i="34"/>
  <c r="AD157" i="34"/>
  <c r="AC157" i="34"/>
  <c r="AE156" i="34"/>
  <c r="AD156" i="34"/>
  <c r="AC156" i="34"/>
  <c r="AE155" i="34"/>
  <c r="AD155" i="34"/>
  <c r="AC155" i="34"/>
  <c r="AE154" i="34"/>
  <c r="AD154" i="34"/>
  <c r="AC154" i="34"/>
  <c r="AE153" i="34"/>
  <c r="AD153" i="34"/>
  <c r="AC153" i="34"/>
  <c r="AE152" i="34"/>
  <c r="AD152" i="34"/>
  <c r="AC152" i="34"/>
  <c r="AE151" i="34"/>
  <c r="AD151" i="34"/>
  <c r="AC151" i="34"/>
  <c r="AE150" i="34"/>
  <c r="AD150" i="34"/>
  <c r="AC150" i="34"/>
  <c r="AE149" i="34"/>
  <c r="AD149" i="34"/>
  <c r="AC149" i="34"/>
  <c r="AE148" i="34"/>
  <c r="AD148" i="34"/>
  <c r="AC148" i="34"/>
  <c r="AE147" i="34"/>
  <c r="AD147" i="34"/>
  <c r="AC147" i="34"/>
  <c r="AE146" i="34"/>
  <c r="AD146" i="34"/>
  <c r="AC146" i="34"/>
  <c r="AE145" i="34"/>
  <c r="AD145" i="34"/>
  <c r="AC145" i="34"/>
  <c r="AE144" i="34"/>
  <c r="AD144" i="34"/>
  <c r="AC144" i="34"/>
  <c r="AE143" i="34"/>
  <c r="AD143" i="34"/>
  <c r="AC143" i="34"/>
  <c r="AE142" i="34"/>
  <c r="AD142" i="34"/>
  <c r="AC142" i="34"/>
  <c r="AE141" i="34"/>
  <c r="AD141" i="34"/>
  <c r="AC141" i="34"/>
  <c r="AE140" i="34"/>
  <c r="AD140" i="34"/>
  <c r="AC140" i="34"/>
  <c r="AE139" i="34"/>
  <c r="AD139" i="34"/>
  <c r="AC139" i="34"/>
  <c r="AE138" i="34"/>
  <c r="AD138" i="34"/>
  <c r="AC138" i="34"/>
  <c r="AE137" i="34"/>
  <c r="AD137" i="34"/>
  <c r="AC137" i="34"/>
  <c r="AE136" i="34"/>
  <c r="AD136" i="34"/>
  <c r="AC136" i="34"/>
  <c r="AE135" i="34"/>
  <c r="AD135" i="34"/>
  <c r="AC135" i="34"/>
  <c r="Y179" i="34"/>
  <c r="X179" i="34"/>
  <c r="W179" i="34"/>
  <c r="Y178" i="34"/>
  <c r="X178" i="34"/>
  <c r="W178" i="34"/>
  <c r="Y177" i="34"/>
  <c r="X177" i="34"/>
  <c r="W177" i="34"/>
  <c r="Y176" i="34"/>
  <c r="X176" i="34"/>
  <c r="W176" i="34"/>
  <c r="Y175" i="34"/>
  <c r="X175" i="34"/>
  <c r="W175" i="34"/>
  <c r="Y174" i="34"/>
  <c r="X174" i="34"/>
  <c r="W174" i="34"/>
  <c r="Y173" i="34"/>
  <c r="X173" i="34"/>
  <c r="W173" i="34"/>
  <c r="Y172" i="34"/>
  <c r="X172" i="34"/>
  <c r="W172" i="34"/>
  <c r="Y171" i="34"/>
  <c r="X171" i="34"/>
  <c r="W171" i="34"/>
  <c r="Y170" i="34"/>
  <c r="X170" i="34"/>
  <c r="W170" i="34"/>
  <c r="Y169" i="34"/>
  <c r="X169" i="34"/>
  <c r="W169" i="34"/>
  <c r="Y168" i="34"/>
  <c r="X168" i="34"/>
  <c r="W168" i="34"/>
  <c r="Y167" i="34"/>
  <c r="X167" i="34"/>
  <c r="W167" i="34"/>
  <c r="Y166" i="34"/>
  <c r="X166" i="34"/>
  <c r="W166" i="34"/>
  <c r="Y165" i="34"/>
  <c r="X165" i="34"/>
  <c r="W165" i="34"/>
  <c r="Y164" i="34"/>
  <c r="X164" i="34"/>
  <c r="W164" i="34"/>
  <c r="Y163" i="34"/>
  <c r="X163" i="34"/>
  <c r="W163" i="34"/>
  <c r="Y162" i="34"/>
  <c r="X162" i="34"/>
  <c r="W162" i="34"/>
  <c r="Y161" i="34"/>
  <c r="X161" i="34"/>
  <c r="W161" i="34"/>
  <c r="Y160" i="34"/>
  <c r="X160" i="34"/>
  <c r="W160" i="34"/>
  <c r="Y159" i="34"/>
  <c r="X159" i="34"/>
  <c r="W159" i="34"/>
  <c r="Y158" i="34"/>
  <c r="X158" i="34"/>
  <c r="W158" i="34"/>
  <c r="Y157" i="34"/>
  <c r="X157" i="34"/>
  <c r="W157" i="34"/>
  <c r="Y156" i="34"/>
  <c r="X156" i="34"/>
  <c r="W156" i="34"/>
  <c r="Y155" i="34"/>
  <c r="X155" i="34"/>
  <c r="W155" i="34"/>
  <c r="Y154" i="34"/>
  <c r="X154" i="34"/>
  <c r="W154" i="34"/>
  <c r="Y153" i="34"/>
  <c r="X153" i="34"/>
  <c r="W153" i="34"/>
  <c r="Y152" i="34"/>
  <c r="X152" i="34"/>
  <c r="W152" i="34"/>
  <c r="Y151" i="34"/>
  <c r="X151" i="34"/>
  <c r="W151" i="34"/>
  <c r="Y150" i="34"/>
  <c r="X150" i="34"/>
  <c r="W150" i="34"/>
  <c r="Y149" i="34"/>
  <c r="X149" i="34"/>
  <c r="W149" i="34"/>
  <c r="Y148" i="34"/>
  <c r="X148" i="34"/>
  <c r="W148" i="34"/>
  <c r="Y147" i="34"/>
  <c r="X147" i="34"/>
  <c r="W147" i="34"/>
  <c r="Y146" i="34"/>
  <c r="X146" i="34"/>
  <c r="W146" i="34"/>
  <c r="Y145" i="34"/>
  <c r="X145" i="34"/>
  <c r="W145" i="34"/>
  <c r="Y144" i="34"/>
  <c r="X144" i="34"/>
  <c r="W144" i="34"/>
  <c r="Y143" i="34"/>
  <c r="X143" i="34"/>
  <c r="W143" i="34"/>
  <c r="Y142" i="34"/>
  <c r="X142" i="34"/>
  <c r="W142" i="34"/>
  <c r="Y141" i="34"/>
  <c r="X141" i="34"/>
  <c r="W141" i="34"/>
  <c r="Y140" i="34"/>
  <c r="X140" i="34"/>
  <c r="W140" i="34"/>
  <c r="Y139" i="34"/>
  <c r="X139" i="34"/>
  <c r="W139" i="34"/>
  <c r="Y138" i="34"/>
  <c r="X138" i="34"/>
  <c r="W138" i="34"/>
  <c r="Y137" i="34"/>
  <c r="X137" i="34"/>
  <c r="W137" i="34"/>
  <c r="Y136" i="34"/>
  <c r="X136" i="34"/>
  <c r="W136" i="34"/>
  <c r="Y135" i="34"/>
  <c r="X135" i="34"/>
  <c r="W135" i="34"/>
  <c r="S179" i="34"/>
  <c r="R179" i="34"/>
  <c r="Q179" i="34"/>
  <c r="S178" i="34"/>
  <c r="R178" i="34"/>
  <c r="Q178" i="34"/>
  <c r="S177" i="34"/>
  <c r="R177" i="34"/>
  <c r="Q177" i="34"/>
  <c r="S176" i="34"/>
  <c r="R176" i="34"/>
  <c r="Q176" i="34"/>
  <c r="S175" i="34"/>
  <c r="R175" i="34"/>
  <c r="Q175" i="34"/>
  <c r="S174" i="34"/>
  <c r="R174" i="34"/>
  <c r="Q174" i="34"/>
  <c r="S173" i="34"/>
  <c r="R173" i="34"/>
  <c r="Q173" i="34"/>
  <c r="S172" i="34"/>
  <c r="R172" i="34"/>
  <c r="Q172" i="34"/>
  <c r="S171" i="34"/>
  <c r="R171" i="34"/>
  <c r="Q171" i="34"/>
  <c r="S170" i="34"/>
  <c r="R170" i="34"/>
  <c r="Q170" i="34"/>
  <c r="S169" i="34"/>
  <c r="R169" i="34"/>
  <c r="Q169" i="34"/>
  <c r="S168" i="34"/>
  <c r="R168" i="34"/>
  <c r="Q168" i="34"/>
  <c r="S167" i="34"/>
  <c r="R167" i="34"/>
  <c r="Q167" i="34"/>
  <c r="S166" i="34"/>
  <c r="R166" i="34"/>
  <c r="Q166" i="34"/>
  <c r="S165" i="34"/>
  <c r="R165" i="34"/>
  <c r="Q165" i="34"/>
  <c r="S164" i="34"/>
  <c r="R164" i="34"/>
  <c r="Q164" i="34"/>
  <c r="S163" i="34"/>
  <c r="R163" i="34"/>
  <c r="Q163" i="34"/>
  <c r="S162" i="34"/>
  <c r="R162" i="34"/>
  <c r="Q162" i="34"/>
  <c r="S161" i="34"/>
  <c r="R161" i="34"/>
  <c r="Q161" i="34"/>
  <c r="S160" i="34"/>
  <c r="R160" i="34"/>
  <c r="Q160" i="34"/>
  <c r="S159" i="34"/>
  <c r="R159" i="34"/>
  <c r="Q159" i="34"/>
  <c r="S158" i="34"/>
  <c r="R158" i="34"/>
  <c r="Q158" i="34"/>
  <c r="S157" i="34"/>
  <c r="R157" i="34"/>
  <c r="Q157" i="34"/>
  <c r="S156" i="34"/>
  <c r="R156" i="34"/>
  <c r="Q156" i="34"/>
  <c r="S155" i="34"/>
  <c r="R155" i="34"/>
  <c r="Q155" i="34"/>
  <c r="S154" i="34"/>
  <c r="R154" i="34"/>
  <c r="Q154" i="34"/>
  <c r="S153" i="34"/>
  <c r="R153" i="34"/>
  <c r="Q153" i="34"/>
  <c r="S152" i="34"/>
  <c r="R152" i="34"/>
  <c r="Q152" i="34"/>
  <c r="S151" i="34"/>
  <c r="R151" i="34"/>
  <c r="Q151" i="34"/>
  <c r="S150" i="34"/>
  <c r="R150" i="34"/>
  <c r="Q150" i="34"/>
  <c r="S149" i="34"/>
  <c r="R149" i="34"/>
  <c r="Q149" i="34"/>
  <c r="S148" i="34"/>
  <c r="R148" i="34"/>
  <c r="Q148" i="34"/>
  <c r="S147" i="34"/>
  <c r="R147" i="34"/>
  <c r="Q147" i="34"/>
  <c r="S146" i="34"/>
  <c r="R146" i="34"/>
  <c r="Q146" i="34"/>
  <c r="S145" i="34"/>
  <c r="R145" i="34"/>
  <c r="Q145" i="34"/>
  <c r="S144" i="34"/>
  <c r="R144" i="34"/>
  <c r="Q144" i="34"/>
  <c r="S143" i="34"/>
  <c r="R143" i="34"/>
  <c r="Q143" i="34"/>
  <c r="S142" i="34"/>
  <c r="R142" i="34"/>
  <c r="Q142" i="34"/>
  <c r="S141" i="34"/>
  <c r="R141" i="34"/>
  <c r="Q141" i="34"/>
  <c r="S140" i="34"/>
  <c r="R140" i="34"/>
  <c r="Q140" i="34"/>
  <c r="S139" i="34"/>
  <c r="R139" i="34"/>
  <c r="Q139" i="34"/>
  <c r="S138" i="34"/>
  <c r="R138" i="34"/>
  <c r="Q138" i="34"/>
  <c r="S137" i="34"/>
  <c r="R137" i="34"/>
  <c r="Q137" i="34"/>
  <c r="S136" i="34"/>
  <c r="R136" i="34"/>
  <c r="Q136" i="34"/>
  <c r="S135" i="34"/>
  <c r="R135" i="34"/>
  <c r="Q135" i="34"/>
  <c r="L165" i="34"/>
  <c r="M165" i="34"/>
  <c r="L166" i="34"/>
  <c r="M166" i="34"/>
  <c r="L167" i="34"/>
  <c r="M167" i="34"/>
  <c r="L168" i="34"/>
  <c r="M168" i="34"/>
  <c r="L169" i="34"/>
  <c r="M169" i="34"/>
  <c r="L170" i="34"/>
  <c r="M170" i="34"/>
  <c r="L171" i="34"/>
  <c r="M171" i="34"/>
  <c r="L172" i="34"/>
  <c r="M172" i="34"/>
  <c r="L173" i="34"/>
  <c r="M173" i="34"/>
  <c r="L174" i="34"/>
  <c r="M174" i="34"/>
  <c r="L175" i="34"/>
  <c r="M175" i="34"/>
  <c r="L176" i="34"/>
  <c r="M176" i="34"/>
  <c r="L177" i="34"/>
  <c r="M177" i="34"/>
  <c r="L178" i="34"/>
  <c r="M178" i="34"/>
  <c r="L179" i="34"/>
  <c r="M179" i="34"/>
  <c r="K179" i="34"/>
  <c r="K166" i="34"/>
  <c r="K167" i="34"/>
  <c r="K168" i="34"/>
  <c r="K169" i="34"/>
  <c r="K170" i="34"/>
  <c r="K171" i="34"/>
  <c r="K172" i="34"/>
  <c r="K173" i="34"/>
  <c r="K174" i="34"/>
  <c r="K175" i="34"/>
  <c r="K176" i="34"/>
  <c r="K177" i="34"/>
  <c r="K178" i="34"/>
  <c r="K165" i="34"/>
  <c r="L150" i="34"/>
  <c r="M150" i="34"/>
  <c r="L151" i="34"/>
  <c r="M151" i="34"/>
  <c r="L152" i="34"/>
  <c r="M152" i="34"/>
  <c r="L153" i="34"/>
  <c r="M153" i="34"/>
  <c r="L154" i="34"/>
  <c r="M154" i="34"/>
  <c r="L155" i="34"/>
  <c r="M155" i="34"/>
  <c r="L156" i="34"/>
  <c r="M156" i="34"/>
  <c r="L157" i="34"/>
  <c r="M157" i="34"/>
  <c r="L158" i="34"/>
  <c r="M158" i="34"/>
  <c r="L159" i="34"/>
  <c r="M159" i="34"/>
  <c r="L160" i="34"/>
  <c r="M160" i="34"/>
  <c r="L161" i="34"/>
  <c r="M161" i="34"/>
  <c r="L162" i="34"/>
  <c r="M162" i="34"/>
  <c r="L163" i="34"/>
  <c r="M163" i="34"/>
  <c r="L164" i="34"/>
  <c r="M164" i="34"/>
  <c r="K164" i="34"/>
  <c r="K151" i="34"/>
  <c r="K152" i="34"/>
  <c r="K153" i="34"/>
  <c r="K154" i="34"/>
  <c r="K155" i="34"/>
  <c r="K156" i="34"/>
  <c r="K157" i="34"/>
  <c r="K158" i="34"/>
  <c r="K159" i="34"/>
  <c r="K160" i="34"/>
  <c r="K161" i="34"/>
  <c r="K162" i="34"/>
  <c r="K163" i="34"/>
  <c r="K150" i="34"/>
  <c r="L135" i="34"/>
  <c r="M135" i="34"/>
  <c r="L136" i="34"/>
  <c r="M136" i="34"/>
  <c r="L137" i="34"/>
  <c r="M137" i="34"/>
  <c r="L138" i="34"/>
  <c r="M138" i="34"/>
  <c r="L139" i="34"/>
  <c r="M139" i="34"/>
  <c r="L140" i="34"/>
  <c r="M140" i="34"/>
  <c r="L141" i="34"/>
  <c r="M141" i="34"/>
  <c r="L142" i="34"/>
  <c r="M142" i="34"/>
  <c r="L143" i="34"/>
  <c r="M143" i="34"/>
  <c r="L144" i="34"/>
  <c r="M144" i="34"/>
  <c r="L145" i="34"/>
  <c r="M145" i="34"/>
  <c r="L146" i="34"/>
  <c r="M146" i="34"/>
  <c r="L147" i="34"/>
  <c r="M147" i="34"/>
  <c r="L148" i="34"/>
  <c r="M148" i="34"/>
  <c r="L149" i="34"/>
  <c r="M149" i="34"/>
  <c r="K149" i="34"/>
  <c r="K136" i="34"/>
  <c r="K137" i="34"/>
  <c r="K138" i="34"/>
  <c r="K139" i="34"/>
  <c r="K140" i="34"/>
  <c r="K141" i="34"/>
  <c r="K142" i="34"/>
  <c r="K143" i="34"/>
  <c r="K144" i="34"/>
  <c r="K145" i="34"/>
  <c r="K146" i="34"/>
  <c r="K147" i="34"/>
  <c r="K148" i="34"/>
  <c r="K135" i="34"/>
  <c r="AE127" i="34"/>
  <c r="AD127" i="34"/>
  <c r="AC127" i="34"/>
  <c r="AE126" i="34"/>
  <c r="AD126" i="34"/>
  <c r="AC126" i="34"/>
  <c r="AE125" i="34"/>
  <c r="AD125" i="34"/>
  <c r="AC125" i="34"/>
  <c r="AE124" i="34"/>
  <c r="AD124" i="34"/>
  <c r="AC124" i="34"/>
  <c r="AE123" i="34"/>
  <c r="AD123" i="34"/>
  <c r="AC123" i="34"/>
  <c r="AE122" i="34"/>
  <c r="AD122" i="34"/>
  <c r="AC122" i="34"/>
  <c r="AE121" i="34"/>
  <c r="AD121" i="34"/>
  <c r="AC121" i="34"/>
  <c r="AE120" i="34"/>
  <c r="AD120" i="34"/>
  <c r="AC120" i="34"/>
  <c r="AE119" i="34"/>
  <c r="AD119" i="34"/>
  <c r="AC119" i="34"/>
  <c r="Y127" i="34"/>
  <c r="X127" i="34"/>
  <c r="W127" i="34"/>
  <c r="Y126" i="34"/>
  <c r="X126" i="34"/>
  <c r="W126" i="34"/>
  <c r="Y125" i="34"/>
  <c r="X125" i="34"/>
  <c r="W125" i="34"/>
  <c r="Y124" i="34"/>
  <c r="X124" i="34"/>
  <c r="W124" i="34"/>
  <c r="Y123" i="34"/>
  <c r="X123" i="34"/>
  <c r="W123" i="34"/>
  <c r="Y122" i="34"/>
  <c r="X122" i="34"/>
  <c r="W122" i="34"/>
  <c r="Y121" i="34"/>
  <c r="X121" i="34"/>
  <c r="W121" i="34"/>
  <c r="Y120" i="34"/>
  <c r="X120" i="34"/>
  <c r="W120" i="34"/>
  <c r="Y119" i="34"/>
  <c r="X119" i="34"/>
  <c r="W119" i="34"/>
  <c r="S127" i="34"/>
  <c r="R127" i="34"/>
  <c r="Q127" i="34"/>
  <c r="S126" i="34"/>
  <c r="R126" i="34"/>
  <c r="Q126" i="34"/>
  <c r="S125" i="34"/>
  <c r="R125" i="34"/>
  <c r="Q125" i="34"/>
  <c r="S124" i="34"/>
  <c r="R124" i="34"/>
  <c r="Q124" i="34"/>
  <c r="S123" i="34"/>
  <c r="R123" i="34"/>
  <c r="Q123" i="34"/>
  <c r="S122" i="34"/>
  <c r="R122" i="34"/>
  <c r="Q122" i="34"/>
  <c r="S121" i="34"/>
  <c r="R121" i="34"/>
  <c r="Q121" i="34"/>
  <c r="S120" i="34"/>
  <c r="R120" i="34"/>
  <c r="Q120" i="34"/>
  <c r="S119" i="34"/>
  <c r="R119" i="34"/>
  <c r="Q119" i="34"/>
  <c r="M127" i="34"/>
  <c r="L127" i="34"/>
  <c r="M126" i="34"/>
  <c r="L126" i="34"/>
  <c r="M125" i="34"/>
  <c r="L125" i="34"/>
  <c r="M124" i="34"/>
  <c r="L124" i="34"/>
  <c r="M123" i="34"/>
  <c r="L123" i="34"/>
  <c r="M122" i="34"/>
  <c r="L122" i="34"/>
  <c r="M121" i="34"/>
  <c r="L121" i="34"/>
  <c r="M120" i="34"/>
  <c r="L120" i="34"/>
  <c r="M119" i="34"/>
  <c r="L119" i="34"/>
  <c r="K127" i="34"/>
  <c r="K126" i="34"/>
  <c r="K125" i="34"/>
  <c r="K124" i="34"/>
  <c r="K123" i="34"/>
  <c r="K122" i="34"/>
  <c r="K121" i="34"/>
  <c r="K120" i="34"/>
  <c r="K119" i="34"/>
  <c r="AE107" i="34"/>
  <c r="AD107" i="34"/>
  <c r="AC107" i="34"/>
  <c r="AE106" i="34"/>
  <c r="AD106" i="34"/>
  <c r="AC106" i="34"/>
  <c r="AE105" i="34"/>
  <c r="AD105" i="34"/>
  <c r="AC105" i="34"/>
  <c r="AE104" i="34"/>
  <c r="AD104" i="34"/>
  <c r="AC104" i="34"/>
  <c r="AE103" i="34"/>
  <c r="AD103" i="34"/>
  <c r="AC103" i="34"/>
  <c r="AE102" i="34"/>
  <c r="AD102" i="34"/>
  <c r="AC102" i="34"/>
  <c r="AE101" i="34"/>
  <c r="AD101" i="34"/>
  <c r="AC101" i="34"/>
  <c r="AE100" i="34"/>
  <c r="AD100" i="34"/>
  <c r="AC100" i="34"/>
  <c r="AE99" i="34"/>
  <c r="AD99" i="34"/>
  <c r="AC99" i="34"/>
  <c r="AE98" i="34"/>
  <c r="AD98" i="34"/>
  <c r="AC98" i="34"/>
  <c r="AE97" i="34"/>
  <c r="AD97" i="34"/>
  <c r="AC97" i="34"/>
  <c r="AE96" i="34"/>
  <c r="AD96" i="34"/>
  <c r="AC96" i="34"/>
  <c r="AE95" i="34"/>
  <c r="AD95" i="34"/>
  <c r="AC95" i="34"/>
  <c r="AE94" i="34"/>
  <c r="AD94" i="34"/>
  <c r="AC94" i="34"/>
  <c r="AE93" i="34"/>
  <c r="AD93" i="34"/>
  <c r="AC93" i="34"/>
  <c r="AE92" i="34"/>
  <c r="AD92" i="34"/>
  <c r="AC92" i="34"/>
  <c r="AE91" i="34"/>
  <c r="AD91" i="34"/>
  <c r="AC91" i="34"/>
  <c r="AE90" i="34"/>
  <c r="AD90" i="34"/>
  <c r="AC90" i="34"/>
  <c r="AE89" i="34"/>
  <c r="AD89" i="34"/>
  <c r="AC89" i="34"/>
  <c r="AE88" i="34"/>
  <c r="AD88" i="34"/>
  <c r="AC88" i="34"/>
  <c r="AE87" i="34"/>
  <c r="AD87" i="34"/>
  <c r="AC87" i="34"/>
  <c r="AE86" i="34"/>
  <c r="AD86" i="34"/>
  <c r="AC86" i="34"/>
  <c r="AE85" i="34"/>
  <c r="AD85" i="34"/>
  <c r="AC85" i="34"/>
  <c r="AE84" i="34"/>
  <c r="AD84" i="34"/>
  <c r="AC84" i="34"/>
  <c r="AE83" i="34"/>
  <c r="AD83" i="34"/>
  <c r="AC83" i="34"/>
  <c r="AE82" i="34"/>
  <c r="AD82" i="34"/>
  <c r="AC82" i="34"/>
  <c r="AE81" i="34"/>
  <c r="AD81" i="34"/>
  <c r="AC81" i="34"/>
  <c r="AE80" i="34"/>
  <c r="AD80" i="34"/>
  <c r="AC80" i="34"/>
  <c r="AE79" i="34"/>
  <c r="AD79" i="34"/>
  <c r="AC79" i="34"/>
  <c r="AE78" i="34"/>
  <c r="AD78" i="34"/>
  <c r="AC78" i="34"/>
  <c r="AE77" i="34"/>
  <c r="AD77" i="34"/>
  <c r="AC77" i="34"/>
  <c r="AE76" i="34"/>
  <c r="AD76" i="34"/>
  <c r="AC76" i="34"/>
  <c r="AE75" i="34"/>
  <c r="AD75" i="34"/>
  <c r="AC75" i="34"/>
  <c r="AE74" i="34"/>
  <c r="AD74" i="34"/>
  <c r="AC74" i="34"/>
  <c r="AE73" i="34"/>
  <c r="AD73" i="34"/>
  <c r="AC73" i="34"/>
  <c r="AE72" i="34"/>
  <c r="AD72" i="34"/>
  <c r="AC72" i="34"/>
  <c r="AE71" i="34"/>
  <c r="AD71" i="34"/>
  <c r="AC71" i="34"/>
  <c r="AE70" i="34"/>
  <c r="AD70" i="34"/>
  <c r="AC70" i="34"/>
  <c r="AE69" i="34"/>
  <c r="AD69" i="34"/>
  <c r="AC69" i="34"/>
  <c r="AE68" i="34"/>
  <c r="AD68" i="34"/>
  <c r="AC68" i="34"/>
  <c r="AE67" i="34"/>
  <c r="AD67" i="34"/>
  <c r="AC67" i="34"/>
  <c r="AE66" i="34"/>
  <c r="AD66" i="34"/>
  <c r="AC66" i="34"/>
  <c r="AE65" i="34"/>
  <c r="AD65" i="34"/>
  <c r="AC65" i="34"/>
  <c r="AE64" i="34"/>
  <c r="AD64" i="34"/>
  <c r="AC64" i="34"/>
  <c r="AE63" i="34"/>
  <c r="AD63" i="34"/>
  <c r="AC63" i="34"/>
  <c r="AE62" i="34"/>
  <c r="AD62" i="34"/>
  <c r="AC62" i="34"/>
  <c r="AE61" i="34"/>
  <c r="AD61" i="34"/>
  <c r="AC61" i="34"/>
  <c r="AE60" i="34"/>
  <c r="AD60" i="34"/>
  <c r="AC60" i="34"/>
  <c r="AE59" i="34"/>
  <c r="AD59" i="34"/>
  <c r="AC59" i="34"/>
  <c r="AE58" i="34"/>
  <c r="AD58" i="34"/>
  <c r="AC58" i="34"/>
  <c r="AE57" i="34"/>
  <c r="AD57" i="34"/>
  <c r="AC57" i="34"/>
  <c r="AE56" i="34"/>
  <c r="AD56" i="34"/>
  <c r="AC56" i="34"/>
  <c r="AE55" i="34"/>
  <c r="AD55" i="34"/>
  <c r="AC55" i="34"/>
  <c r="AE54" i="34"/>
  <c r="AD54" i="34"/>
  <c r="AC54" i="34"/>
  <c r="AE53" i="34"/>
  <c r="AD53" i="34"/>
  <c r="AC53" i="34"/>
  <c r="AE52" i="34"/>
  <c r="AD52" i="34"/>
  <c r="AC52" i="34"/>
  <c r="AE51" i="34"/>
  <c r="AD51" i="34"/>
  <c r="AC51" i="34"/>
  <c r="AE50" i="34"/>
  <c r="AD50" i="34"/>
  <c r="AC50" i="34"/>
  <c r="AE49" i="34"/>
  <c r="AD49" i="34"/>
  <c r="AC49" i="34"/>
  <c r="AE48" i="34"/>
  <c r="AD48" i="34"/>
  <c r="AC48" i="34"/>
  <c r="AE47" i="34"/>
  <c r="AD47" i="34"/>
  <c r="AC47" i="34"/>
  <c r="AE46" i="34"/>
  <c r="AD46" i="34"/>
  <c r="AC46" i="34"/>
  <c r="AE45" i="34"/>
  <c r="AD45" i="34"/>
  <c r="AC45" i="34"/>
  <c r="AE44" i="34"/>
  <c r="AD44" i="34"/>
  <c r="AC44" i="34"/>
  <c r="AE43" i="34"/>
  <c r="AD43" i="34"/>
  <c r="AC43" i="34"/>
  <c r="AE42" i="34"/>
  <c r="AD42" i="34"/>
  <c r="AC42" i="34"/>
  <c r="AE41" i="34"/>
  <c r="AD41" i="34"/>
  <c r="AC41" i="34"/>
  <c r="AE40" i="34"/>
  <c r="AD40" i="34"/>
  <c r="AC40" i="34"/>
  <c r="AE39" i="34"/>
  <c r="AD39" i="34"/>
  <c r="AC39" i="34"/>
  <c r="AE38" i="34"/>
  <c r="AD38" i="34"/>
  <c r="AC38" i="34"/>
  <c r="AE37" i="34"/>
  <c r="AD37" i="34"/>
  <c r="AC37" i="34"/>
  <c r="AE36" i="34"/>
  <c r="AD36" i="34"/>
  <c r="AC36" i="34"/>
  <c r="Y67" i="34"/>
  <c r="X67" i="34"/>
  <c r="W67" i="34"/>
  <c r="Y66" i="34"/>
  <c r="X66" i="34"/>
  <c r="W66" i="34"/>
  <c r="Y65" i="34"/>
  <c r="X65" i="34"/>
  <c r="W65" i="34"/>
  <c r="Y64" i="34"/>
  <c r="X64" i="34"/>
  <c r="W64" i="34"/>
  <c r="Y63" i="34"/>
  <c r="X63" i="34"/>
  <c r="W63" i="34"/>
  <c r="Y62" i="34"/>
  <c r="X62" i="34"/>
  <c r="W62" i="34"/>
  <c r="Y61" i="34"/>
  <c r="X61" i="34"/>
  <c r="W61" i="34"/>
  <c r="Y60" i="34"/>
  <c r="X60" i="34"/>
  <c r="W60" i="34"/>
  <c r="Y59" i="34"/>
  <c r="X59" i="34"/>
  <c r="W59" i="34"/>
  <c r="Y58" i="34"/>
  <c r="X58" i="34"/>
  <c r="W58" i="34"/>
  <c r="Y57" i="34"/>
  <c r="X57" i="34"/>
  <c r="W57" i="34"/>
  <c r="Y56" i="34"/>
  <c r="X56" i="34"/>
  <c r="W56" i="34"/>
  <c r="Y55" i="34"/>
  <c r="X55" i="34"/>
  <c r="W55" i="34"/>
  <c r="Y54" i="34"/>
  <c r="X54" i="34"/>
  <c r="W54" i="34"/>
  <c r="Y53" i="34"/>
  <c r="X53" i="34"/>
  <c r="W53" i="34"/>
  <c r="Y52" i="34"/>
  <c r="X52" i="34"/>
  <c r="W52" i="34"/>
  <c r="Y51" i="34"/>
  <c r="X51" i="34"/>
  <c r="W51" i="34"/>
  <c r="Y50" i="34"/>
  <c r="X50" i="34"/>
  <c r="W50" i="34"/>
  <c r="Y49" i="34"/>
  <c r="X49" i="34"/>
  <c r="W49" i="34"/>
  <c r="Y48" i="34"/>
  <c r="X48" i="34"/>
  <c r="W48" i="34"/>
  <c r="Y47" i="34"/>
  <c r="X47" i="34"/>
  <c r="W47" i="34"/>
  <c r="Y46" i="34"/>
  <c r="X46" i="34"/>
  <c r="W46" i="34"/>
  <c r="Y45" i="34"/>
  <c r="X45" i="34"/>
  <c r="W45" i="34"/>
  <c r="Y44" i="34"/>
  <c r="X44" i="34"/>
  <c r="W44" i="34"/>
  <c r="Y43" i="34"/>
  <c r="X43" i="34"/>
  <c r="W43" i="34"/>
  <c r="Y42" i="34"/>
  <c r="X42" i="34"/>
  <c r="W42" i="34"/>
  <c r="Y41" i="34"/>
  <c r="X41" i="34"/>
  <c r="W41" i="34"/>
  <c r="Y40" i="34"/>
  <c r="X40" i="34"/>
  <c r="W40" i="34"/>
  <c r="Y39" i="34"/>
  <c r="X39" i="34"/>
  <c r="W39" i="34"/>
  <c r="Y38" i="34"/>
  <c r="X38" i="34"/>
  <c r="W38" i="34"/>
  <c r="Y37" i="34"/>
  <c r="X37" i="34"/>
  <c r="W37" i="34"/>
  <c r="Y36" i="34"/>
  <c r="X36" i="34"/>
  <c r="W36" i="34"/>
  <c r="Y107" i="34"/>
  <c r="X107" i="34"/>
  <c r="W107" i="34"/>
  <c r="Y106" i="34"/>
  <c r="X106" i="34"/>
  <c r="W106" i="34"/>
  <c r="Y105" i="34"/>
  <c r="X105" i="34"/>
  <c r="W105" i="34"/>
  <c r="Y104" i="34"/>
  <c r="X104" i="34"/>
  <c r="W104" i="34"/>
  <c r="Y103" i="34"/>
  <c r="X103" i="34"/>
  <c r="W103" i="34"/>
  <c r="Y102" i="34"/>
  <c r="X102" i="34"/>
  <c r="W102" i="34"/>
  <c r="Y101" i="34"/>
  <c r="X101" i="34"/>
  <c r="W101" i="34"/>
  <c r="Y100" i="34"/>
  <c r="X100" i="34"/>
  <c r="W100" i="34"/>
  <c r="Y99" i="34"/>
  <c r="X99" i="34"/>
  <c r="W99" i="34"/>
  <c r="W95" i="34"/>
  <c r="X95" i="34"/>
  <c r="Y95" i="34"/>
  <c r="W96" i="34"/>
  <c r="X96" i="34"/>
  <c r="Y96" i="34"/>
  <c r="W97" i="34"/>
  <c r="X97" i="34"/>
  <c r="Y97" i="34"/>
  <c r="W98" i="34"/>
  <c r="X98" i="34"/>
  <c r="Y98" i="34"/>
  <c r="Y94" i="34"/>
  <c r="X94" i="34"/>
  <c r="W94" i="34"/>
  <c r="Y93" i="34"/>
  <c r="X93" i="34"/>
  <c r="W93" i="34"/>
  <c r="Y92" i="34"/>
  <c r="X92" i="34"/>
  <c r="W92" i="34"/>
  <c r="Y91" i="34"/>
  <c r="X91" i="34"/>
  <c r="W91" i="34"/>
  <c r="Y90" i="34"/>
  <c r="X90" i="34"/>
  <c r="W90" i="34"/>
  <c r="Y89" i="34"/>
  <c r="X89" i="34"/>
  <c r="W89" i="34"/>
  <c r="Y88" i="34"/>
  <c r="X88" i="34"/>
  <c r="W88" i="34"/>
  <c r="Y87" i="34"/>
  <c r="X87" i="34"/>
  <c r="W87" i="34"/>
  <c r="Y86" i="34"/>
  <c r="X86" i="34"/>
  <c r="W86" i="34"/>
  <c r="Y85" i="34"/>
  <c r="X85" i="34"/>
  <c r="W85" i="34"/>
  <c r="Y84" i="34"/>
  <c r="X84" i="34"/>
  <c r="W84" i="34"/>
  <c r="Y83" i="34"/>
  <c r="X83" i="34"/>
  <c r="W83" i="34"/>
  <c r="Y82" i="34"/>
  <c r="X82" i="34"/>
  <c r="W82" i="34"/>
  <c r="Y81" i="34"/>
  <c r="X81" i="34"/>
  <c r="W81" i="34"/>
  <c r="Y80" i="34"/>
  <c r="X80" i="34"/>
  <c r="W80" i="34"/>
  <c r="Y79" i="34"/>
  <c r="X79" i="34"/>
  <c r="W79" i="34"/>
  <c r="Y78" i="34"/>
  <c r="X78" i="34"/>
  <c r="W78" i="34"/>
  <c r="Y77" i="34"/>
  <c r="X77" i="34"/>
  <c r="W77" i="34"/>
  <c r="Y76" i="34"/>
  <c r="X76" i="34"/>
  <c r="W76" i="34"/>
  <c r="Y75" i="34"/>
  <c r="X75" i="34"/>
  <c r="W75" i="34"/>
  <c r="Y74" i="34"/>
  <c r="X74" i="34"/>
  <c r="W74" i="34"/>
  <c r="Y73" i="34"/>
  <c r="X73" i="34"/>
  <c r="W73" i="34"/>
  <c r="Y72" i="34"/>
  <c r="X72" i="34"/>
  <c r="W72" i="34"/>
  <c r="Y71" i="34"/>
  <c r="X71" i="34"/>
  <c r="W71" i="34"/>
  <c r="Y70" i="34"/>
  <c r="X70" i="34"/>
  <c r="W70" i="34"/>
  <c r="Y69" i="34"/>
  <c r="X69" i="34"/>
  <c r="W69" i="34"/>
  <c r="Y68" i="34"/>
  <c r="X68" i="34"/>
  <c r="W68" i="34"/>
  <c r="S107" i="34"/>
  <c r="R107" i="34"/>
  <c r="Q107" i="34"/>
  <c r="S106" i="34"/>
  <c r="R106" i="34"/>
  <c r="Q106" i="34"/>
  <c r="S105" i="34"/>
  <c r="R105" i="34"/>
  <c r="Q105" i="34"/>
  <c r="S104" i="34"/>
  <c r="R104" i="34"/>
  <c r="Q104" i="34"/>
  <c r="S103" i="34"/>
  <c r="R103" i="34"/>
  <c r="Q103" i="34"/>
  <c r="S102" i="34"/>
  <c r="R102" i="34"/>
  <c r="Q102" i="34"/>
  <c r="S101" i="34"/>
  <c r="R101" i="34"/>
  <c r="Q101" i="34"/>
  <c r="S100" i="34"/>
  <c r="R100" i="34"/>
  <c r="Q100" i="34"/>
  <c r="M107" i="34"/>
  <c r="L107" i="34"/>
  <c r="K107" i="34"/>
  <c r="L100" i="34"/>
  <c r="M100" i="34"/>
  <c r="L101" i="34"/>
  <c r="M101" i="34"/>
  <c r="L102" i="34"/>
  <c r="M102" i="34"/>
  <c r="L103" i="34"/>
  <c r="M103" i="34"/>
  <c r="L104" i="34"/>
  <c r="M104" i="34"/>
  <c r="L105" i="34"/>
  <c r="M105" i="34"/>
  <c r="L106" i="34"/>
  <c r="M106" i="34"/>
  <c r="K101" i="34"/>
  <c r="K102" i="34"/>
  <c r="K103" i="34"/>
  <c r="K104" i="34"/>
  <c r="K105" i="34"/>
  <c r="K106" i="34"/>
  <c r="K100" i="34"/>
  <c r="S99" i="34"/>
  <c r="R99" i="34"/>
  <c r="Q99" i="34"/>
  <c r="S94" i="34"/>
  <c r="R94" i="34"/>
  <c r="Q94" i="34"/>
  <c r="S93" i="34"/>
  <c r="R93" i="34"/>
  <c r="Q93" i="34"/>
  <c r="S92" i="34"/>
  <c r="R92" i="34"/>
  <c r="Q92" i="34"/>
  <c r="S91" i="34"/>
  <c r="R91" i="34"/>
  <c r="Q91" i="34"/>
  <c r="S90" i="34"/>
  <c r="R90" i="34"/>
  <c r="Q90" i="34"/>
  <c r="S89" i="34"/>
  <c r="R89" i="34"/>
  <c r="Q89" i="34"/>
  <c r="S88" i="34"/>
  <c r="R88" i="34"/>
  <c r="Q88" i="34"/>
  <c r="S87" i="34"/>
  <c r="R87" i="34"/>
  <c r="Q87" i="34"/>
  <c r="S86" i="34"/>
  <c r="R86" i="34"/>
  <c r="Q86" i="34"/>
  <c r="S85" i="34"/>
  <c r="R85" i="34"/>
  <c r="Q85" i="34"/>
  <c r="S84" i="34"/>
  <c r="R84" i="34"/>
  <c r="Q84" i="34"/>
  <c r="S83" i="34"/>
  <c r="R83" i="34"/>
  <c r="Q83" i="34"/>
  <c r="S82" i="34"/>
  <c r="R82" i="34"/>
  <c r="Q82" i="34"/>
  <c r="S81" i="34"/>
  <c r="R81" i="34"/>
  <c r="Q81" i="34"/>
  <c r="S80" i="34"/>
  <c r="R80" i="34"/>
  <c r="Q80" i="34"/>
  <c r="S79" i="34"/>
  <c r="R79" i="34"/>
  <c r="Q79" i="34"/>
  <c r="S78" i="34"/>
  <c r="R78" i="34"/>
  <c r="Q78" i="34"/>
  <c r="S77" i="34"/>
  <c r="R77" i="34"/>
  <c r="Q77" i="34"/>
  <c r="S76" i="34"/>
  <c r="R76" i="34"/>
  <c r="Q76" i="34"/>
  <c r="S75" i="34"/>
  <c r="R75" i="34"/>
  <c r="Q75" i="34"/>
  <c r="S74" i="34"/>
  <c r="R74" i="34"/>
  <c r="Q74" i="34"/>
  <c r="S73" i="34"/>
  <c r="R73" i="34"/>
  <c r="Q73" i="34"/>
  <c r="S72" i="34"/>
  <c r="R72" i="34"/>
  <c r="Q72" i="34"/>
  <c r="S71" i="34"/>
  <c r="R71" i="34"/>
  <c r="Q71" i="34"/>
  <c r="S70" i="34"/>
  <c r="R70" i="34"/>
  <c r="Q70" i="34"/>
  <c r="S69" i="34"/>
  <c r="R69" i="34"/>
  <c r="Q69" i="34"/>
  <c r="S68" i="34"/>
  <c r="R68" i="34"/>
  <c r="Q68" i="34"/>
  <c r="M99" i="34"/>
  <c r="L99" i="34"/>
  <c r="K99" i="34"/>
  <c r="L68" i="34"/>
  <c r="M68" i="34"/>
  <c r="L69" i="34"/>
  <c r="M69" i="34"/>
  <c r="L70" i="34"/>
  <c r="M70" i="34"/>
  <c r="L71" i="34"/>
  <c r="M71" i="34"/>
  <c r="L72" i="34"/>
  <c r="M72" i="34"/>
  <c r="L73" i="34"/>
  <c r="M73" i="34"/>
  <c r="L74" i="34"/>
  <c r="M74" i="34"/>
  <c r="L75" i="34"/>
  <c r="M75" i="34"/>
  <c r="L76" i="34"/>
  <c r="M76" i="34"/>
  <c r="L77" i="34"/>
  <c r="M77" i="34"/>
  <c r="L78" i="34"/>
  <c r="M78" i="34"/>
  <c r="L79" i="34"/>
  <c r="M79" i="34"/>
  <c r="L80" i="34"/>
  <c r="M80" i="34"/>
  <c r="L81" i="34"/>
  <c r="M81" i="34"/>
  <c r="L82" i="34"/>
  <c r="M82" i="34"/>
  <c r="L83" i="34"/>
  <c r="M83" i="34"/>
  <c r="L84" i="34"/>
  <c r="M84" i="34"/>
  <c r="L85" i="34"/>
  <c r="M85" i="34"/>
  <c r="L86" i="34"/>
  <c r="M86" i="34"/>
  <c r="L87" i="34"/>
  <c r="M87" i="34"/>
  <c r="L88" i="34"/>
  <c r="M88" i="34"/>
  <c r="L89" i="34"/>
  <c r="M89" i="34"/>
  <c r="L90" i="34"/>
  <c r="M90" i="34"/>
  <c r="L91" i="34"/>
  <c r="M91" i="34"/>
  <c r="L92" i="34"/>
  <c r="M92" i="34"/>
  <c r="L93" i="34"/>
  <c r="M93" i="34"/>
  <c r="L94" i="34"/>
  <c r="M94" i="34"/>
  <c r="K69" i="34"/>
  <c r="K70" i="34"/>
  <c r="K71" i="34"/>
  <c r="K72" i="34"/>
  <c r="K73" i="34"/>
  <c r="K74" i="34"/>
  <c r="K75" i="34"/>
  <c r="K76" i="34"/>
  <c r="K77" i="34"/>
  <c r="K78" i="34"/>
  <c r="K79" i="34"/>
  <c r="K80" i="34"/>
  <c r="K81" i="34"/>
  <c r="K82" i="34"/>
  <c r="K83" i="34"/>
  <c r="K84" i="34"/>
  <c r="K85" i="34"/>
  <c r="K86" i="34"/>
  <c r="K87" i="34"/>
  <c r="K88" i="34"/>
  <c r="K89" i="34"/>
  <c r="K90" i="34"/>
  <c r="K91" i="34"/>
  <c r="K92" i="34"/>
  <c r="K93" i="34"/>
  <c r="K94" i="34"/>
  <c r="K68" i="34"/>
  <c r="Q63" i="34"/>
  <c r="R63" i="34"/>
  <c r="S63" i="34"/>
  <c r="Q64" i="34"/>
  <c r="R64" i="34"/>
  <c r="S64" i="34"/>
  <c r="Q65" i="34"/>
  <c r="R65" i="34"/>
  <c r="S65" i="34"/>
  <c r="Q66" i="34"/>
  <c r="R66" i="34"/>
  <c r="S66" i="34"/>
  <c r="S67" i="34"/>
  <c r="R67" i="34"/>
  <c r="Q67" i="34"/>
  <c r="S62" i="34"/>
  <c r="R62" i="34"/>
  <c r="Q62" i="34"/>
  <c r="S61" i="34"/>
  <c r="R61" i="34"/>
  <c r="Q61" i="34"/>
  <c r="S60" i="34"/>
  <c r="R60" i="34"/>
  <c r="Q60" i="34"/>
  <c r="S59" i="34"/>
  <c r="R59" i="34"/>
  <c r="Q59" i="34"/>
  <c r="S58" i="34"/>
  <c r="R58" i="34"/>
  <c r="Q58" i="34"/>
  <c r="S57" i="34"/>
  <c r="R57" i="34"/>
  <c r="Q57" i="34"/>
  <c r="S56" i="34"/>
  <c r="R56" i="34"/>
  <c r="Q56" i="34"/>
  <c r="S55" i="34"/>
  <c r="R55" i="34"/>
  <c r="Q55" i="34"/>
  <c r="S54" i="34"/>
  <c r="R54" i="34"/>
  <c r="Q54" i="34"/>
  <c r="S53" i="34"/>
  <c r="R53" i="34"/>
  <c r="Q53" i="34"/>
  <c r="S52" i="34"/>
  <c r="R52" i="34"/>
  <c r="Q52" i="34"/>
  <c r="S51" i="34"/>
  <c r="R51" i="34"/>
  <c r="Q51" i="34"/>
  <c r="S50" i="34"/>
  <c r="R50" i="34"/>
  <c r="Q50" i="34"/>
  <c r="S49" i="34"/>
  <c r="R49" i="34"/>
  <c r="Q49" i="34"/>
  <c r="S48" i="34"/>
  <c r="R48" i="34"/>
  <c r="Q48" i="34"/>
  <c r="S47" i="34"/>
  <c r="R47" i="34"/>
  <c r="Q47" i="34"/>
  <c r="S46" i="34"/>
  <c r="R46" i="34"/>
  <c r="Q46" i="34"/>
  <c r="S45" i="34"/>
  <c r="R45" i="34"/>
  <c r="Q45" i="34"/>
  <c r="S44" i="34"/>
  <c r="R44" i="34"/>
  <c r="Q44" i="34"/>
  <c r="S43" i="34"/>
  <c r="R43" i="34"/>
  <c r="Q43" i="34"/>
  <c r="S42" i="34"/>
  <c r="R42" i="34"/>
  <c r="Q42" i="34"/>
  <c r="S41" i="34"/>
  <c r="R41" i="34"/>
  <c r="Q41" i="34"/>
  <c r="S40" i="34"/>
  <c r="R40" i="34"/>
  <c r="Q40" i="34"/>
  <c r="S39" i="34"/>
  <c r="R39" i="34"/>
  <c r="Q39" i="34"/>
  <c r="S38" i="34"/>
  <c r="R38" i="34"/>
  <c r="Q38" i="34"/>
  <c r="S37" i="34"/>
  <c r="R37" i="34"/>
  <c r="Q37" i="34"/>
  <c r="S36" i="34"/>
  <c r="R36" i="34"/>
  <c r="Q36" i="34"/>
  <c r="M36" i="34"/>
  <c r="M37" i="34"/>
  <c r="M38" i="34"/>
  <c r="M39" i="34"/>
  <c r="M40" i="34"/>
  <c r="M41" i="34"/>
  <c r="M42" i="34"/>
  <c r="M43" i="34"/>
  <c r="M44" i="34"/>
  <c r="M45" i="34"/>
  <c r="M46" i="34"/>
  <c r="M47" i="34"/>
  <c r="M48" i="34"/>
  <c r="M49" i="34"/>
  <c r="M50" i="34"/>
  <c r="M51" i="34"/>
  <c r="M52" i="34"/>
  <c r="M53" i="34"/>
  <c r="M54" i="34"/>
  <c r="M55" i="34"/>
  <c r="M56" i="34"/>
  <c r="M57" i="34"/>
  <c r="M58" i="34"/>
  <c r="M59" i="34"/>
  <c r="M60" i="34"/>
  <c r="M61" i="34"/>
  <c r="M62" i="34"/>
  <c r="M67" i="34"/>
  <c r="L67" i="34"/>
  <c r="K67"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36" i="34"/>
  <c r="K37" i="34"/>
  <c r="K38" i="34"/>
  <c r="K39" i="34"/>
  <c r="K40" i="34"/>
  <c r="K41" i="34"/>
  <c r="K42" i="34"/>
  <c r="K43" i="34"/>
  <c r="K44" i="34"/>
  <c r="K45" i="34"/>
  <c r="K46" i="34"/>
  <c r="K47" i="34"/>
  <c r="K48" i="34"/>
  <c r="K49" i="34"/>
  <c r="K50" i="34"/>
  <c r="K51" i="34"/>
  <c r="K52" i="34"/>
  <c r="K53" i="34"/>
  <c r="K54" i="34"/>
  <c r="K55" i="34"/>
  <c r="K56" i="34"/>
  <c r="K57" i="34"/>
  <c r="K58" i="34"/>
  <c r="K59" i="34"/>
  <c r="K60" i="34"/>
  <c r="K61" i="34"/>
  <c r="K62" i="34"/>
  <c r="K36" i="34"/>
  <c r="BF149" i="10"/>
  <c r="BE149" i="10"/>
  <c r="BD149" i="10"/>
  <c r="BF148" i="10"/>
  <c r="BE148" i="10"/>
  <c r="BD148" i="10"/>
  <c r="BF147" i="10"/>
  <c r="BE147" i="10"/>
  <c r="BD147" i="10"/>
  <c r="BF146" i="10"/>
  <c r="BE146" i="10"/>
  <c r="BD146" i="10"/>
  <c r="BF145" i="10"/>
  <c r="BE145" i="10"/>
  <c r="BD145" i="10"/>
  <c r="BF144" i="10"/>
  <c r="BE144" i="10"/>
  <c r="BD144" i="10"/>
  <c r="BF143" i="10"/>
  <c r="BE143" i="10"/>
  <c r="BD143" i="10"/>
  <c r="BF142" i="10"/>
  <c r="BE142" i="10"/>
  <c r="BD142" i="10"/>
  <c r="BF141" i="10"/>
  <c r="BE141" i="10"/>
  <c r="BD141" i="10"/>
  <c r="BF140" i="10"/>
  <c r="BE140" i="10"/>
  <c r="BD140" i="10"/>
  <c r="BF139" i="10"/>
  <c r="BE139" i="10"/>
  <c r="BD139" i="10"/>
  <c r="BF138" i="10"/>
  <c r="BE138" i="10"/>
  <c r="BD138" i="10"/>
  <c r="BF137" i="10"/>
  <c r="BE137" i="10"/>
  <c r="BD137" i="10"/>
  <c r="BF136" i="10"/>
  <c r="BE136" i="10"/>
  <c r="BD136" i="10"/>
  <c r="BF135" i="10"/>
  <c r="BE135" i="10"/>
  <c r="BD135" i="10"/>
  <c r="BF125" i="10"/>
  <c r="BE125" i="10"/>
  <c r="BD125" i="10"/>
  <c r="BF124" i="10"/>
  <c r="BE124" i="10"/>
  <c r="BD124" i="10"/>
  <c r="BF123" i="10"/>
  <c r="BE123" i="10"/>
  <c r="BD123" i="10"/>
  <c r="BF122" i="10"/>
  <c r="BE122" i="10"/>
  <c r="BD122" i="10"/>
  <c r="BF121" i="10"/>
  <c r="BE121" i="10"/>
  <c r="BD121" i="10"/>
  <c r="BF120" i="10"/>
  <c r="BE120" i="10"/>
  <c r="BD120" i="10"/>
  <c r="BF119" i="10"/>
  <c r="BE119" i="10"/>
  <c r="BD119" i="10"/>
  <c r="BF118" i="10"/>
  <c r="BE118" i="10"/>
  <c r="BD118" i="10"/>
  <c r="BF117" i="10"/>
  <c r="BE117" i="10"/>
  <c r="BD117" i="10"/>
  <c r="BF116" i="10"/>
  <c r="BE116" i="10"/>
  <c r="BD116" i="10"/>
  <c r="BF115" i="10"/>
  <c r="BE115" i="10"/>
  <c r="BD115" i="10"/>
  <c r="BF114" i="10"/>
  <c r="BE114" i="10"/>
  <c r="BD114" i="10"/>
  <c r="BF113" i="10"/>
  <c r="BE113" i="10"/>
  <c r="BD113" i="10"/>
  <c r="BF112" i="10"/>
  <c r="BE112" i="10"/>
  <c r="BD112" i="10"/>
  <c r="BF111" i="10"/>
  <c r="BE111" i="10"/>
  <c r="BD111" i="10"/>
  <c r="BF101" i="10"/>
  <c r="BE101" i="10"/>
  <c r="BD101" i="10"/>
  <c r="BF100" i="10"/>
  <c r="BE100" i="10"/>
  <c r="BD100" i="10"/>
  <c r="BF99" i="10"/>
  <c r="BE99" i="10"/>
  <c r="BD99" i="10"/>
  <c r="BF98" i="10"/>
  <c r="BE98" i="10"/>
  <c r="BD98" i="10"/>
  <c r="BF97" i="10"/>
  <c r="BE97" i="10"/>
  <c r="BD97" i="10"/>
  <c r="BF96" i="10"/>
  <c r="BE96" i="10"/>
  <c r="BD96" i="10"/>
  <c r="BF95" i="10"/>
  <c r="BE95" i="10"/>
  <c r="BD95" i="10"/>
  <c r="BF94" i="10"/>
  <c r="BE94" i="10"/>
  <c r="BD94" i="10"/>
  <c r="BF93" i="10"/>
  <c r="BE93" i="10"/>
  <c r="BD93" i="10"/>
  <c r="BF92" i="10"/>
  <c r="BE92" i="10"/>
  <c r="BD92" i="10"/>
  <c r="BF91" i="10"/>
  <c r="BE91" i="10"/>
  <c r="BD91" i="10"/>
  <c r="BF90" i="10"/>
  <c r="BE90" i="10"/>
  <c r="BD90" i="10"/>
  <c r="BF89" i="10"/>
  <c r="BE89" i="10"/>
  <c r="BD89" i="10"/>
  <c r="BF88" i="10"/>
  <c r="BE88" i="10"/>
  <c r="BD88" i="10"/>
  <c r="BF87" i="10"/>
  <c r="BE87" i="10"/>
  <c r="BD87" i="10"/>
  <c r="BF77" i="10"/>
  <c r="BE77" i="10"/>
  <c r="BD77" i="10"/>
  <c r="BF76" i="10"/>
  <c r="BE76" i="10"/>
  <c r="BD76" i="10"/>
  <c r="BF75" i="10"/>
  <c r="BE75" i="10"/>
  <c r="BD75" i="10"/>
  <c r="BF74" i="10"/>
  <c r="BE74" i="10"/>
  <c r="BD74" i="10"/>
  <c r="BF73" i="10"/>
  <c r="BE73" i="10"/>
  <c r="BD73" i="10"/>
  <c r="BF72" i="10"/>
  <c r="BE72" i="10"/>
  <c r="BD72" i="10"/>
  <c r="BF71" i="10"/>
  <c r="BE71" i="10"/>
  <c r="BD71" i="10"/>
  <c r="BF70" i="10"/>
  <c r="BE70" i="10"/>
  <c r="BD70" i="10"/>
  <c r="BF69" i="10"/>
  <c r="BE69" i="10"/>
  <c r="BD69" i="10"/>
  <c r="BF68" i="10"/>
  <c r="BE68" i="10"/>
  <c r="BD68" i="10"/>
  <c r="BF67" i="10"/>
  <c r="BE67" i="10"/>
  <c r="BD67" i="10"/>
  <c r="BF66" i="10"/>
  <c r="BE66" i="10"/>
  <c r="BD66" i="10"/>
  <c r="BF65" i="10"/>
  <c r="BE65" i="10"/>
  <c r="BD65" i="10"/>
  <c r="BF64" i="10"/>
  <c r="BE64" i="10"/>
  <c r="BD64" i="10"/>
  <c r="BF63" i="10"/>
  <c r="BE63" i="10"/>
  <c r="BD63" i="10"/>
  <c r="BF53" i="10"/>
  <c r="BE53" i="10"/>
  <c r="BD53" i="10"/>
  <c r="BF52" i="10"/>
  <c r="BE52" i="10"/>
  <c r="BD52" i="10"/>
  <c r="BF51" i="10"/>
  <c r="BE51" i="10"/>
  <c r="BD51" i="10"/>
  <c r="BF50" i="10"/>
  <c r="BE50" i="10"/>
  <c r="BD50" i="10"/>
  <c r="BF49" i="10"/>
  <c r="BE49" i="10"/>
  <c r="BD49" i="10"/>
  <c r="BF48" i="10"/>
  <c r="BE48" i="10"/>
  <c r="BD48" i="10"/>
  <c r="BF47" i="10"/>
  <c r="BE47" i="10"/>
  <c r="BD47" i="10"/>
  <c r="BF46" i="10"/>
  <c r="BE46" i="10"/>
  <c r="BD46" i="10"/>
  <c r="BF45" i="10"/>
  <c r="BE45" i="10"/>
  <c r="BD45" i="10"/>
  <c r="BF44" i="10"/>
  <c r="BE44" i="10"/>
  <c r="BD44" i="10"/>
  <c r="BF43" i="10"/>
  <c r="BE43" i="10"/>
  <c r="BD43" i="10"/>
  <c r="BF42" i="10"/>
  <c r="BE42" i="10"/>
  <c r="BD42" i="10"/>
  <c r="BF41" i="10"/>
  <c r="BE41" i="10"/>
  <c r="BD41" i="10"/>
  <c r="BF40" i="10"/>
  <c r="BE40" i="10"/>
  <c r="BD40" i="10"/>
  <c r="BF39" i="10"/>
  <c r="BE39" i="10"/>
  <c r="BD39" i="10"/>
  <c r="AI149" i="10"/>
  <c r="AH149" i="10"/>
  <c r="AG149" i="10"/>
  <c r="AI148" i="10"/>
  <c r="AH148" i="10"/>
  <c r="AG148" i="10"/>
  <c r="AI147" i="10"/>
  <c r="AH147" i="10"/>
  <c r="AG147" i="10"/>
  <c r="AI146" i="10"/>
  <c r="AH146" i="10"/>
  <c r="AG146" i="10"/>
  <c r="AI145" i="10"/>
  <c r="AH145" i="10"/>
  <c r="AG145" i="10"/>
  <c r="AI144" i="10"/>
  <c r="AH144" i="10"/>
  <c r="AG144" i="10"/>
  <c r="AI143" i="10"/>
  <c r="AH143" i="10"/>
  <c r="AG143" i="10"/>
  <c r="AI142" i="10"/>
  <c r="AH142" i="10"/>
  <c r="AG142" i="10"/>
  <c r="AI141" i="10"/>
  <c r="AH141" i="10"/>
  <c r="AG141" i="10"/>
  <c r="AI140" i="10"/>
  <c r="AH140" i="10"/>
  <c r="AG140" i="10"/>
  <c r="AI139" i="10"/>
  <c r="AH139" i="10"/>
  <c r="AG139" i="10"/>
  <c r="AI138" i="10"/>
  <c r="AH138" i="10"/>
  <c r="AG138" i="10"/>
  <c r="AI137" i="10"/>
  <c r="AH137" i="10"/>
  <c r="AG137" i="10"/>
  <c r="AI136" i="10"/>
  <c r="AH136" i="10"/>
  <c r="AG136" i="10"/>
  <c r="AI135" i="10"/>
  <c r="AH135" i="10"/>
  <c r="AG135" i="10"/>
  <c r="AI125" i="10"/>
  <c r="AH125" i="10"/>
  <c r="AG125" i="10"/>
  <c r="AI124" i="10"/>
  <c r="AH124" i="10"/>
  <c r="AG124" i="10"/>
  <c r="AI123" i="10"/>
  <c r="AH123" i="10"/>
  <c r="AG123" i="10"/>
  <c r="AI122" i="10"/>
  <c r="AH122" i="10"/>
  <c r="AG122" i="10"/>
  <c r="AI121" i="10"/>
  <c r="AH121" i="10"/>
  <c r="AG121" i="10"/>
  <c r="AI120" i="10"/>
  <c r="AH120" i="10"/>
  <c r="AG120" i="10"/>
  <c r="AI119" i="10"/>
  <c r="AH119" i="10"/>
  <c r="AG119" i="10"/>
  <c r="AI118" i="10"/>
  <c r="AH118" i="10"/>
  <c r="AG118" i="10"/>
  <c r="AI117" i="10"/>
  <c r="AH117" i="10"/>
  <c r="AG117" i="10"/>
  <c r="AI116" i="10"/>
  <c r="AH116" i="10"/>
  <c r="AG116" i="10"/>
  <c r="AI115" i="10"/>
  <c r="AH115" i="10"/>
  <c r="AG115" i="10"/>
  <c r="AI114" i="10"/>
  <c r="AH114" i="10"/>
  <c r="AG114" i="10"/>
  <c r="AI113" i="10"/>
  <c r="AH113" i="10"/>
  <c r="AG113" i="10"/>
  <c r="AI112" i="10"/>
  <c r="AH112" i="10"/>
  <c r="AG112" i="10"/>
  <c r="AI111" i="10"/>
  <c r="AH111" i="10"/>
  <c r="AG111" i="10"/>
  <c r="AI101" i="10"/>
  <c r="AH101" i="10"/>
  <c r="AG101" i="10"/>
  <c r="AI100" i="10"/>
  <c r="AH100" i="10"/>
  <c r="AG100" i="10"/>
  <c r="AI99" i="10"/>
  <c r="AH99" i="10"/>
  <c r="AG99" i="10"/>
  <c r="AI98" i="10"/>
  <c r="AH98" i="10"/>
  <c r="AG98" i="10"/>
  <c r="AI97" i="10"/>
  <c r="AH97" i="10"/>
  <c r="AG97" i="10"/>
  <c r="AI96" i="10"/>
  <c r="AH96" i="10"/>
  <c r="AG96" i="10"/>
  <c r="AI95" i="10"/>
  <c r="AH95" i="10"/>
  <c r="AG95" i="10"/>
  <c r="AI94" i="10"/>
  <c r="AH94" i="10"/>
  <c r="AG94" i="10"/>
  <c r="AI93" i="10"/>
  <c r="AH93" i="10"/>
  <c r="AG93" i="10"/>
  <c r="AI92" i="10"/>
  <c r="AH92" i="10"/>
  <c r="AG92" i="10"/>
  <c r="AI91" i="10"/>
  <c r="AH91" i="10"/>
  <c r="AG91" i="10"/>
  <c r="AI90" i="10"/>
  <c r="AH90" i="10"/>
  <c r="AG90" i="10"/>
  <c r="AI89" i="10"/>
  <c r="AH89" i="10"/>
  <c r="AG89" i="10"/>
  <c r="AI88" i="10"/>
  <c r="AH88" i="10"/>
  <c r="AG88" i="10"/>
  <c r="AI87" i="10"/>
  <c r="AH87" i="10"/>
  <c r="AG87" i="10"/>
  <c r="AI77" i="10"/>
  <c r="AH77" i="10"/>
  <c r="AG77" i="10"/>
  <c r="AI76" i="10"/>
  <c r="AH76" i="10"/>
  <c r="AG76" i="10"/>
  <c r="AI75" i="10"/>
  <c r="AH75" i="10"/>
  <c r="AG75" i="10"/>
  <c r="AI74" i="10"/>
  <c r="AH74" i="10"/>
  <c r="AG74" i="10"/>
  <c r="AI73" i="10"/>
  <c r="AH73" i="10"/>
  <c r="AG73" i="10"/>
  <c r="AI72" i="10"/>
  <c r="AH72" i="10"/>
  <c r="AG72" i="10"/>
  <c r="AI71" i="10"/>
  <c r="AH71" i="10"/>
  <c r="AG71" i="10"/>
  <c r="AI70" i="10"/>
  <c r="AH70" i="10"/>
  <c r="AG70" i="10"/>
  <c r="AI69" i="10"/>
  <c r="AH69" i="10"/>
  <c r="AG69" i="10"/>
  <c r="AI68" i="10"/>
  <c r="AH68" i="10"/>
  <c r="AG68" i="10"/>
  <c r="AI67" i="10"/>
  <c r="AH67" i="10"/>
  <c r="AG67" i="10"/>
  <c r="AI66" i="10"/>
  <c r="AH66" i="10"/>
  <c r="AG66" i="10"/>
  <c r="AI65" i="10"/>
  <c r="AH65" i="10"/>
  <c r="AG65" i="10"/>
  <c r="AI64" i="10"/>
  <c r="AH64" i="10"/>
  <c r="AG64" i="10"/>
  <c r="AI63" i="10"/>
  <c r="AH63" i="10"/>
  <c r="AG63" i="10"/>
  <c r="AI53" i="10"/>
  <c r="AH53" i="10"/>
  <c r="AI52" i="10"/>
  <c r="AH52" i="10"/>
  <c r="AI51" i="10"/>
  <c r="AH51" i="10"/>
  <c r="AI50" i="10"/>
  <c r="AH50" i="10"/>
  <c r="AI49" i="10"/>
  <c r="AH49" i="10"/>
  <c r="AI48" i="10"/>
  <c r="AH48" i="10"/>
  <c r="AI47" i="10"/>
  <c r="AH47" i="10"/>
  <c r="AI46" i="10"/>
  <c r="AH46" i="10"/>
  <c r="AI45" i="10"/>
  <c r="AH45" i="10"/>
  <c r="AI44" i="10"/>
  <c r="AH44" i="10"/>
  <c r="AI43" i="10"/>
  <c r="AH43" i="10"/>
  <c r="AI42" i="10"/>
  <c r="AH42" i="10"/>
  <c r="AI41" i="10"/>
  <c r="AH41" i="10"/>
  <c r="AI40" i="10"/>
  <c r="AH40" i="10"/>
  <c r="AI39" i="10"/>
  <c r="AH39" i="10"/>
  <c r="AG53" i="10"/>
  <c r="AG52" i="10"/>
  <c r="AG51" i="10"/>
  <c r="AG50" i="10"/>
  <c r="AG49" i="10"/>
  <c r="AG48" i="10"/>
  <c r="AG47" i="10"/>
  <c r="AG46" i="10"/>
  <c r="AG45" i="10"/>
  <c r="AG44" i="10"/>
  <c r="AG43" i="10"/>
  <c r="AG42" i="10"/>
  <c r="AG41" i="10"/>
  <c r="AG40" i="10"/>
  <c r="AG39" i="10"/>
  <c r="P31" i="10"/>
  <c r="O31" i="10"/>
  <c r="N31" i="10"/>
  <c r="I131" i="5"/>
  <c r="Y130" i="5"/>
  <c r="Y131" i="5"/>
  <c r="C143" i="15"/>
  <c r="E143" i="15"/>
  <c r="G143" i="15"/>
  <c r="D29" i="15"/>
  <c r="I143" i="15"/>
  <c r="D143" i="15"/>
  <c r="H143" i="15" s="1"/>
  <c r="F143" i="15"/>
  <c r="E29" i="15"/>
  <c r="J143" i="15" s="1"/>
  <c r="E142" i="15"/>
  <c r="M142" i="15"/>
  <c r="M143" i="15"/>
  <c r="M144" i="15" s="1"/>
  <c r="O143" i="15"/>
  <c r="Q143" i="15" s="1"/>
  <c r="F142" i="15"/>
  <c r="N142" i="15"/>
  <c r="N143" i="15"/>
  <c r="C262" i="15"/>
  <c r="E262" i="15"/>
  <c r="G262" i="15"/>
  <c r="I262" i="15"/>
  <c r="K262" i="15" s="1"/>
  <c r="D262" i="15"/>
  <c r="F262" i="15"/>
  <c r="H262" i="15"/>
  <c r="J262" i="15" s="1"/>
  <c r="E261" i="15"/>
  <c r="M261" i="15"/>
  <c r="M262" i="15"/>
  <c r="O262" i="15"/>
  <c r="Q262" i="15"/>
  <c r="F261" i="15"/>
  <c r="N261" i="15" s="1"/>
  <c r="N262" i="15" s="1"/>
  <c r="N263" i="15" s="1"/>
  <c r="C381" i="15"/>
  <c r="G381" i="15" s="1"/>
  <c r="I381" i="15" s="1"/>
  <c r="K381" i="15" s="1"/>
  <c r="E381" i="15"/>
  <c r="C16" i="15"/>
  <c r="D381" i="15"/>
  <c r="F381" i="15"/>
  <c r="H381" i="15"/>
  <c r="J381" i="15"/>
  <c r="E380" i="15"/>
  <c r="M380" i="15"/>
  <c r="M381" i="15"/>
  <c r="F380" i="15"/>
  <c r="N380" i="15"/>
  <c r="N381" i="15" s="1"/>
  <c r="N382" i="15" s="1"/>
  <c r="C144" i="15"/>
  <c r="E144" i="15"/>
  <c r="G144" i="15"/>
  <c r="I144" i="15" s="1"/>
  <c r="K144" i="15" s="1"/>
  <c r="D144" i="15"/>
  <c r="F144" i="15"/>
  <c r="H144" i="15"/>
  <c r="J144" i="15"/>
  <c r="N144" i="15"/>
  <c r="P144" i="15"/>
  <c r="R144" i="15"/>
  <c r="C263" i="15"/>
  <c r="E263" i="15"/>
  <c r="G263" i="15"/>
  <c r="I263" i="15"/>
  <c r="K263" i="15" s="1"/>
  <c r="D263" i="15"/>
  <c r="H263" i="15" s="1"/>
  <c r="J263" i="15" s="1"/>
  <c r="F263" i="15"/>
  <c r="M263" i="15"/>
  <c r="O263" i="15"/>
  <c r="Q263" i="15"/>
  <c r="C382" i="15"/>
  <c r="E382" i="15"/>
  <c r="G382" i="15"/>
  <c r="I382" i="15"/>
  <c r="D382" i="15"/>
  <c r="F382" i="15"/>
  <c r="H382" i="15"/>
  <c r="J382" i="15" s="1"/>
  <c r="M382" i="15"/>
  <c r="O382" i="15"/>
  <c r="Q382" i="15"/>
  <c r="C145" i="15"/>
  <c r="E145" i="15"/>
  <c r="G145" i="15"/>
  <c r="I145" i="15" s="1"/>
  <c r="K145" i="15" s="1"/>
  <c r="D145" i="15"/>
  <c r="F145" i="15"/>
  <c r="H145" i="15"/>
  <c r="J145" i="15"/>
  <c r="N145" i="15"/>
  <c r="P145" i="15"/>
  <c r="R145" i="15"/>
  <c r="C264" i="15"/>
  <c r="E264" i="15"/>
  <c r="G264" i="15"/>
  <c r="I264" i="15"/>
  <c r="D264" i="15"/>
  <c r="H264" i="15" s="1"/>
  <c r="J264" i="15" s="1"/>
  <c r="F264" i="15"/>
  <c r="M264" i="15"/>
  <c r="O264" i="15"/>
  <c r="Q264" i="15"/>
  <c r="C383" i="15"/>
  <c r="E383" i="15"/>
  <c r="G383" i="15"/>
  <c r="I383" i="15"/>
  <c r="K383" i="15" s="1"/>
  <c r="D383" i="15"/>
  <c r="F383" i="15"/>
  <c r="H383" i="15"/>
  <c r="J383" i="15" s="1"/>
  <c r="M383" i="15"/>
  <c r="O383" i="15"/>
  <c r="Q383" i="15"/>
  <c r="C146" i="15"/>
  <c r="E146" i="15"/>
  <c r="G146" i="15"/>
  <c r="I146" i="15" s="1"/>
  <c r="D146" i="15"/>
  <c r="F146" i="15"/>
  <c r="H146" i="15"/>
  <c r="J146" i="15"/>
  <c r="N146" i="15"/>
  <c r="P146" i="15"/>
  <c r="R146" i="15"/>
  <c r="C265" i="15"/>
  <c r="E265" i="15"/>
  <c r="G265" i="15"/>
  <c r="I265" i="15"/>
  <c r="D265" i="15"/>
  <c r="F265" i="15"/>
  <c r="M265" i="15"/>
  <c r="O265" i="15"/>
  <c r="Q265" i="15"/>
  <c r="C384" i="15"/>
  <c r="E384" i="15"/>
  <c r="G384" i="15"/>
  <c r="I384" i="15"/>
  <c r="K384" i="15" s="1"/>
  <c r="D384" i="15"/>
  <c r="F384" i="15"/>
  <c r="H384" i="15"/>
  <c r="J384" i="15" s="1"/>
  <c r="M384" i="15"/>
  <c r="O384" i="15"/>
  <c r="Q384" i="15"/>
  <c r="C147" i="15"/>
  <c r="E147" i="15"/>
  <c r="G147" i="15"/>
  <c r="I147" i="15" s="1"/>
  <c r="D147" i="15"/>
  <c r="F147" i="15"/>
  <c r="H147" i="15"/>
  <c r="J147" i="15"/>
  <c r="N147" i="15"/>
  <c r="P147" i="15"/>
  <c r="R147" i="15"/>
  <c r="C266" i="15"/>
  <c r="G266" i="15" s="1"/>
  <c r="I266" i="15" s="1"/>
  <c r="E266" i="15"/>
  <c r="D266" i="15"/>
  <c r="F266" i="15"/>
  <c r="M266" i="15"/>
  <c r="O266" i="15"/>
  <c r="Q266" i="15"/>
  <c r="C385" i="15"/>
  <c r="E385" i="15"/>
  <c r="G385" i="15"/>
  <c r="I385" i="15"/>
  <c r="K385" i="15" s="1"/>
  <c r="D385" i="15"/>
  <c r="F385" i="15"/>
  <c r="H385" i="15"/>
  <c r="J385" i="15" s="1"/>
  <c r="M385" i="15"/>
  <c r="O385" i="15"/>
  <c r="Q385" i="15"/>
  <c r="C148" i="15"/>
  <c r="E148" i="15"/>
  <c r="G148" i="15"/>
  <c r="I148" i="15" s="1"/>
  <c r="D148" i="15"/>
  <c r="F148" i="15"/>
  <c r="H148" i="15"/>
  <c r="J148" i="15"/>
  <c r="N148" i="15"/>
  <c r="P148" i="15"/>
  <c r="R148" i="15"/>
  <c r="C267" i="15"/>
  <c r="G267" i="15" s="1"/>
  <c r="I267" i="15" s="1"/>
  <c r="E267" i="15"/>
  <c r="D267" i="15"/>
  <c r="F267" i="15"/>
  <c r="M267" i="15"/>
  <c r="C386" i="15"/>
  <c r="E386" i="15"/>
  <c r="G386" i="15"/>
  <c r="I386" i="15"/>
  <c r="D386" i="15"/>
  <c r="F386" i="15"/>
  <c r="H386" i="15"/>
  <c r="J386" i="15" s="1"/>
  <c r="M386" i="15"/>
  <c r="O386" i="15"/>
  <c r="Q386" i="15" s="1"/>
  <c r="C149" i="15"/>
  <c r="E149" i="15"/>
  <c r="G149" i="15"/>
  <c r="I149" i="15" s="1"/>
  <c r="K149" i="15" s="1"/>
  <c r="D149" i="15"/>
  <c r="F149" i="15"/>
  <c r="H149" i="15"/>
  <c r="J149" i="15"/>
  <c r="N149" i="15"/>
  <c r="P149" i="15"/>
  <c r="R149" i="15"/>
  <c r="C268" i="15"/>
  <c r="G268" i="15" s="1"/>
  <c r="I268" i="15" s="1"/>
  <c r="E268" i="15"/>
  <c r="D268" i="15"/>
  <c r="F268" i="15"/>
  <c r="M268" i="15"/>
  <c r="C387" i="15"/>
  <c r="E387" i="15"/>
  <c r="G387" i="15"/>
  <c r="I387" i="15"/>
  <c r="D387" i="15"/>
  <c r="F387" i="15"/>
  <c r="H387" i="15"/>
  <c r="J387" i="15" s="1"/>
  <c r="M387" i="15"/>
  <c r="O387" i="15"/>
  <c r="Q387" i="15" s="1"/>
  <c r="C150" i="15"/>
  <c r="E150" i="15"/>
  <c r="G150" i="15"/>
  <c r="I150" i="15" s="1"/>
  <c r="K150" i="15" s="1"/>
  <c r="D150" i="15"/>
  <c r="F150" i="15"/>
  <c r="H150" i="15"/>
  <c r="J150" i="15"/>
  <c r="N150" i="15"/>
  <c r="P150" i="15"/>
  <c r="R150" i="15"/>
  <c r="C269" i="15"/>
  <c r="G269" i="15" s="1"/>
  <c r="I269" i="15" s="1"/>
  <c r="E269" i="15"/>
  <c r="D269" i="15"/>
  <c r="F269" i="15"/>
  <c r="M269" i="15"/>
  <c r="C388" i="15"/>
  <c r="E388" i="15"/>
  <c r="G388" i="15"/>
  <c r="I388" i="15" s="1"/>
  <c r="K388" i="15" s="1"/>
  <c r="D388" i="15"/>
  <c r="F388" i="15"/>
  <c r="H388" i="15"/>
  <c r="J388" i="15" s="1"/>
  <c r="M388" i="15"/>
  <c r="O388" i="15"/>
  <c r="Q388" i="15"/>
  <c r="C151" i="15"/>
  <c r="E151" i="15"/>
  <c r="G151" i="15"/>
  <c r="I151" i="15" s="1"/>
  <c r="D151" i="15"/>
  <c r="F151" i="15"/>
  <c r="H151" i="15"/>
  <c r="J151" i="15"/>
  <c r="N151" i="15"/>
  <c r="P151" i="15"/>
  <c r="R151" i="15"/>
  <c r="C270" i="15"/>
  <c r="G270" i="15" s="1"/>
  <c r="I270" i="15" s="1"/>
  <c r="E270" i="15"/>
  <c r="D270" i="15"/>
  <c r="F270" i="15"/>
  <c r="M270" i="15"/>
  <c r="C389" i="15"/>
  <c r="E389" i="15"/>
  <c r="G389" i="15"/>
  <c r="I389" i="15"/>
  <c r="K389" i="15" s="1"/>
  <c r="D389" i="15"/>
  <c r="F389" i="15"/>
  <c r="H389" i="15"/>
  <c r="J389" i="15" s="1"/>
  <c r="M389" i="15"/>
  <c r="O389" i="15"/>
  <c r="Q389" i="15"/>
  <c r="C152" i="15"/>
  <c r="E152" i="15"/>
  <c r="G152" i="15"/>
  <c r="I152" i="15" s="1"/>
  <c r="D152" i="15"/>
  <c r="F152" i="15"/>
  <c r="H152" i="15"/>
  <c r="J152" i="15"/>
  <c r="N152" i="15"/>
  <c r="P152" i="15"/>
  <c r="R152" i="15"/>
  <c r="C271" i="15"/>
  <c r="G271" i="15" s="1"/>
  <c r="I271" i="15" s="1"/>
  <c r="E271" i="15"/>
  <c r="D271" i="15"/>
  <c r="F271" i="15"/>
  <c r="M271" i="15"/>
  <c r="C390" i="15"/>
  <c r="E390" i="15"/>
  <c r="G390" i="15"/>
  <c r="I390" i="15"/>
  <c r="D390" i="15"/>
  <c r="F390" i="15"/>
  <c r="H390" i="15"/>
  <c r="J390" i="15" s="1"/>
  <c r="M390" i="15"/>
  <c r="O390" i="15"/>
  <c r="Q390" i="15" s="1"/>
  <c r="C153" i="15"/>
  <c r="E153" i="15"/>
  <c r="G153" i="15"/>
  <c r="I153" i="15" s="1"/>
  <c r="D153" i="15"/>
  <c r="F153" i="15"/>
  <c r="H153" i="15"/>
  <c r="J153" i="15" s="1"/>
  <c r="N153" i="15"/>
  <c r="P153" i="15"/>
  <c r="R153" i="15"/>
  <c r="C272" i="15"/>
  <c r="G272" i="15" s="1"/>
  <c r="I272" i="15" s="1"/>
  <c r="E272" i="15"/>
  <c r="D272" i="15"/>
  <c r="H272" i="15" s="1"/>
  <c r="J272" i="15" s="1"/>
  <c r="F272" i="15"/>
  <c r="M272" i="15"/>
  <c r="C391" i="15"/>
  <c r="E391" i="15"/>
  <c r="G391" i="15"/>
  <c r="I391" i="15"/>
  <c r="D391" i="15"/>
  <c r="F391" i="15"/>
  <c r="H391" i="15"/>
  <c r="J391" i="15" s="1"/>
  <c r="M391" i="15"/>
  <c r="O391" i="15"/>
  <c r="Q391" i="15" s="1"/>
  <c r="C154" i="15"/>
  <c r="E154" i="15"/>
  <c r="G154" i="15"/>
  <c r="I154" i="15" s="1"/>
  <c r="K154" i="15" s="1"/>
  <c r="D154" i="15"/>
  <c r="F154" i="15"/>
  <c r="H154" i="15"/>
  <c r="J154" i="15"/>
  <c r="N154" i="15"/>
  <c r="P154" i="15"/>
  <c r="R154" i="15"/>
  <c r="C273" i="15"/>
  <c r="G273" i="15" s="1"/>
  <c r="I273" i="15" s="1"/>
  <c r="K273" i="15" s="1"/>
  <c r="E273" i="15"/>
  <c r="D273" i="15"/>
  <c r="H273" i="15" s="1"/>
  <c r="J273" i="15" s="1"/>
  <c r="F273" i="15"/>
  <c r="M273" i="15"/>
  <c r="C392" i="15"/>
  <c r="E392" i="15"/>
  <c r="G392" i="15"/>
  <c r="I392" i="15" s="1"/>
  <c r="K392" i="15" s="1"/>
  <c r="D392" i="15"/>
  <c r="F392" i="15"/>
  <c r="H392" i="15"/>
  <c r="J392" i="15" s="1"/>
  <c r="M392" i="15"/>
  <c r="O392" i="15"/>
  <c r="Q392" i="15"/>
  <c r="C155" i="15"/>
  <c r="E155" i="15"/>
  <c r="G155" i="15"/>
  <c r="I155" i="15" s="1"/>
  <c r="D155" i="15"/>
  <c r="F155" i="15"/>
  <c r="H155" i="15"/>
  <c r="J155" i="15" s="1"/>
  <c r="N155" i="15"/>
  <c r="P155" i="15"/>
  <c r="R155" i="15"/>
  <c r="C274" i="15"/>
  <c r="G274" i="15" s="1"/>
  <c r="I274" i="15" s="1"/>
  <c r="E274" i="15"/>
  <c r="D274" i="15"/>
  <c r="F274" i="15"/>
  <c r="M274" i="15"/>
  <c r="C393" i="15"/>
  <c r="E393" i="15"/>
  <c r="G393" i="15"/>
  <c r="I393" i="15"/>
  <c r="K393" i="15" s="1"/>
  <c r="D393" i="15"/>
  <c r="F393" i="15"/>
  <c r="H393" i="15"/>
  <c r="J393" i="15" s="1"/>
  <c r="M393" i="15"/>
  <c r="O393" i="15"/>
  <c r="Q393" i="15"/>
  <c r="C156" i="15"/>
  <c r="E156" i="15"/>
  <c r="G156" i="15"/>
  <c r="I156" i="15" s="1"/>
  <c r="D156" i="15"/>
  <c r="F156" i="15"/>
  <c r="H156" i="15"/>
  <c r="J156" i="15"/>
  <c r="N156" i="15"/>
  <c r="P156" i="15"/>
  <c r="R156" i="15"/>
  <c r="C275" i="15"/>
  <c r="G275" i="15" s="1"/>
  <c r="I275" i="15" s="1"/>
  <c r="E275" i="15"/>
  <c r="D275" i="15"/>
  <c r="F275" i="15"/>
  <c r="M275" i="15"/>
  <c r="C394" i="15"/>
  <c r="E394" i="15"/>
  <c r="G394" i="15"/>
  <c r="I394" i="15"/>
  <c r="D394" i="15"/>
  <c r="F394" i="15"/>
  <c r="H394" i="15"/>
  <c r="J394" i="15" s="1"/>
  <c r="M394" i="15"/>
  <c r="O394" i="15"/>
  <c r="Q394" i="15"/>
  <c r="C157" i="15"/>
  <c r="E157" i="15"/>
  <c r="G157" i="15"/>
  <c r="I157" i="15" s="1"/>
  <c r="D157" i="15"/>
  <c r="F157" i="15"/>
  <c r="H157" i="15" s="1"/>
  <c r="J157" i="15" s="1"/>
  <c r="N157" i="15"/>
  <c r="P157" i="15"/>
  <c r="R157" i="15"/>
  <c r="C276" i="15"/>
  <c r="G276" i="15" s="1"/>
  <c r="I276" i="15" s="1"/>
  <c r="E276" i="15"/>
  <c r="D276" i="15"/>
  <c r="F276" i="15"/>
  <c r="M276" i="15"/>
  <c r="C395" i="15"/>
  <c r="E395" i="15"/>
  <c r="G395" i="15"/>
  <c r="I395" i="15"/>
  <c r="K395" i="15" s="1"/>
  <c r="D395" i="15"/>
  <c r="F395" i="15"/>
  <c r="H395" i="15"/>
  <c r="J395" i="15" s="1"/>
  <c r="M395" i="15"/>
  <c r="O395" i="15" s="1"/>
  <c r="Q395" i="15" s="1"/>
  <c r="H131" i="5"/>
  <c r="X130" i="5"/>
  <c r="X131" i="5" s="1"/>
  <c r="G131" i="5"/>
  <c r="W130" i="5"/>
  <c r="W131" i="5" s="1"/>
  <c r="I132" i="5"/>
  <c r="Y132" i="5"/>
  <c r="Y133" i="5" s="1"/>
  <c r="Y134" i="5" s="1"/>
  <c r="Y135" i="5" s="1"/>
  <c r="I133" i="5"/>
  <c r="I134" i="5"/>
  <c r="I135" i="5"/>
  <c r="I136" i="5"/>
  <c r="Y136" i="5"/>
  <c r="Y137" i="5" s="1"/>
  <c r="Y138" i="5" s="1"/>
  <c r="Y139" i="5" s="1"/>
  <c r="I137" i="5"/>
  <c r="I138" i="5"/>
  <c r="I139" i="5"/>
  <c r="I140" i="5"/>
  <c r="Y140" i="5"/>
  <c r="I141" i="5"/>
  <c r="Y141" i="5"/>
  <c r="Y142" i="5" s="1"/>
  <c r="Y143" i="5" s="1"/>
  <c r="Y144" i="5" s="1"/>
  <c r="Y145" i="5" s="1"/>
  <c r="I142" i="5"/>
  <c r="I143" i="5"/>
  <c r="I144" i="5"/>
  <c r="I145" i="5"/>
  <c r="H132" i="5"/>
  <c r="X132" i="5"/>
  <c r="H133" i="5"/>
  <c r="X133" i="5"/>
  <c r="X134" i="5" s="1"/>
  <c r="X135" i="5" s="1"/>
  <c r="X136" i="5" s="1"/>
  <c r="H134" i="5"/>
  <c r="H135" i="5"/>
  <c r="H136" i="5"/>
  <c r="H137" i="5"/>
  <c r="X137" i="5"/>
  <c r="X138" i="5" s="1"/>
  <c r="X139" i="5" s="1"/>
  <c r="X140" i="5" s="1"/>
  <c r="X141" i="5" s="1"/>
  <c r="X142" i="5" s="1"/>
  <c r="X143" i="5" s="1"/>
  <c r="X144" i="5" s="1"/>
  <c r="X145" i="5" s="1"/>
  <c r="H138" i="5"/>
  <c r="H139" i="5"/>
  <c r="H140" i="5"/>
  <c r="H141" i="5"/>
  <c r="H142" i="5"/>
  <c r="H143" i="5"/>
  <c r="H144" i="5"/>
  <c r="H145" i="5"/>
  <c r="G132" i="5"/>
  <c r="W132" i="5"/>
  <c r="G133" i="5"/>
  <c r="W133" i="5"/>
  <c r="W134" i="5" s="1"/>
  <c r="W135" i="5" s="1"/>
  <c r="W136" i="5" s="1"/>
  <c r="W137" i="5" s="1"/>
  <c r="W138" i="5" s="1"/>
  <c r="W139" i="5" s="1"/>
  <c r="W140" i="5" s="1"/>
  <c r="G134" i="5"/>
  <c r="G135" i="5"/>
  <c r="G136" i="5"/>
  <c r="G137" i="5"/>
  <c r="G138" i="5"/>
  <c r="G139" i="5"/>
  <c r="G140" i="5"/>
  <c r="G141" i="5"/>
  <c r="W141" i="5"/>
  <c r="G142" i="5"/>
  <c r="W142" i="5"/>
  <c r="W143" i="5" s="1"/>
  <c r="W144" i="5" s="1"/>
  <c r="W145" i="5" s="1"/>
  <c r="G143" i="5"/>
  <c r="G144" i="5"/>
  <c r="G145" i="5"/>
  <c r="I107" i="5"/>
  <c r="Y106" i="5"/>
  <c r="Y107" i="5"/>
  <c r="C120" i="15"/>
  <c r="G120" i="15" s="1"/>
  <c r="E120" i="15"/>
  <c r="I120" i="15"/>
  <c r="D120" i="15"/>
  <c r="F120" i="15"/>
  <c r="E119" i="15"/>
  <c r="M119" i="15"/>
  <c r="M120" i="15"/>
  <c r="O120" i="15"/>
  <c r="Q120" i="15"/>
  <c r="F119" i="15"/>
  <c r="N119" i="15"/>
  <c r="N120" i="15" s="1"/>
  <c r="N121" i="15" s="1"/>
  <c r="P121" i="15" s="1"/>
  <c r="R121" i="15" s="1"/>
  <c r="C239" i="15"/>
  <c r="E239" i="15"/>
  <c r="D239" i="15"/>
  <c r="F239" i="15"/>
  <c r="H239" i="15"/>
  <c r="J239" i="15" s="1"/>
  <c r="E238" i="15"/>
  <c r="M238" i="15" s="1"/>
  <c r="M239" i="15" s="1"/>
  <c r="M240" i="15" s="1"/>
  <c r="M241" i="15" s="1"/>
  <c r="M242" i="15" s="1"/>
  <c r="M243" i="15" s="1"/>
  <c r="F238" i="15"/>
  <c r="N238" i="15"/>
  <c r="N239" i="15"/>
  <c r="N240" i="15" s="1"/>
  <c r="P240" i="15" s="1"/>
  <c r="R240" i="15" s="1"/>
  <c r="P239" i="15"/>
  <c r="R239" i="15" s="1"/>
  <c r="C358" i="15"/>
  <c r="E358" i="15"/>
  <c r="G358" i="15" s="1"/>
  <c r="I358" i="15" s="1"/>
  <c r="D358" i="15"/>
  <c r="F358" i="15"/>
  <c r="H358" i="15"/>
  <c r="J358" i="15"/>
  <c r="E357" i="15"/>
  <c r="M357" i="15" s="1"/>
  <c r="M358" i="15" s="1"/>
  <c r="M359" i="15" s="1"/>
  <c r="F357" i="15"/>
  <c r="N357" i="15"/>
  <c r="N358" i="15" s="1"/>
  <c r="C121" i="15"/>
  <c r="E121" i="15"/>
  <c r="G121" i="15"/>
  <c r="I121" i="15"/>
  <c r="D121" i="15"/>
  <c r="H121" i="15" s="1"/>
  <c r="J121" i="15" s="1"/>
  <c r="F121" i="15"/>
  <c r="M121" i="15"/>
  <c r="M122" i="15" s="1"/>
  <c r="O121" i="15"/>
  <c r="Q121" i="15"/>
  <c r="S121" i="15"/>
  <c r="C240" i="15"/>
  <c r="E240" i="15"/>
  <c r="D240" i="15"/>
  <c r="F240" i="15"/>
  <c r="H240" i="15"/>
  <c r="J240" i="15"/>
  <c r="C359" i="15"/>
  <c r="G359" i="15" s="1"/>
  <c r="I359" i="15" s="1"/>
  <c r="K359" i="15" s="1"/>
  <c r="E359" i="15"/>
  <c r="D359" i="15"/>
  <c r="F359" i="15"/>
  <c r="H359" i="15"/>
  <c r="J359" i="15"/>
  <c r="O359" i="15"/>
  <c r="Q359" i="15"/>
  <c r="C122" i="15"/>
  <c r="E122" i="15"/>
  <c r="G122" i="15" s="1"/>
  <c r="I122" i="15" s="1"/>
  <c r="D122" i="15"/>
  <c r="P122" i="15" s="1"/>
  <c r="R122" i="15" s="1"/>
  <c r="F122" i="15"/>
  <c r="H122" i="15"/>
  <c r="J122" i="15" s="1"/>
  <c r="N122" i="15"/>
  <c r="C241" i="15"/>
  <c r="E241" i="15"/>
  <c r="G241" i="15"/>
  <c r="I241" i="15" s="1"/>
  <c r="D241" i="15"/>
  <c r="F241" i="15"/>
  <c r="O241" i="15"/>
  <c r="Q241" i="15"/>
  <c r="N241" i="15"/>
  <c r="P241" i="15"/>
  <c r="R241" i="15" s="1"/>
  <c r="C360" i="15"/>
  <c r="G360" i="15" s="1"/>
  <c r="I360" i="15" s="1"/>
  <c r="K360" i="15" s="1"/>
  <c r="E360" i="15"/>
  <c r="D360" i="15"/>
  <c r="F360" i="15"/>
  <c r="H360" i="15" s="1"/>
  <c r="J360" i="15" s="1"/>
  <c r="M360" i="15"/>
  <c r="M361" i="15" s="1"/>
  <c r="C123" i="15"/>
  <c r="E123" i="15"/>
  <c r="G123" i="15" s="1"/>
  <c r="I123" i="15" s="1"/>
  <c r="D123" i="15"/>
  <c r="F123" i="15"/>
  <c r="N123" i="15"/>
  <c r="C242" i="15"/>
  <c r="E242" i="15"/>
  <c r="G242" i="15"/>
  <c r="I242" i="15" s="1"/>
  <c r="D242" i="15"/>
  <c r="F242" i="15"/>
  <c r="O242" i="15"/>
  <c r="Q242" i="15"/>
  <c r="N242" i="15"/>
  <c r="N243" i="15" s="1"/>
  <c r="N244" i="15" s="1"/>
  <c r="C361" i="15"/>
  <c r="E361" i="15"/>
  <c r="G361" i="15"/>
  <c r="I361" i="15"/>
  <c r="D361" i="15"/>
  <c r="F361" i="15"/>
  <c r="H361" i="15" s="1"/>
  <c r="J361" i="15" s="1"/>
  <c r="K361" i="15" s="1"/>
  <c r="C124" i="15"/>
  <c r="E124" i="15"/>
  <c r="G124" i="15" s="1"/>
  <c r="I124" i="15" s="1"/>
  <c r="D124" i="15"/>
  <c r="F124" i="15"/>
  <c r="H124" i="15"/>
  <c r="J124" i="15"/>
  <c r="N124" i="15"/>
  <c r="N125" i="15" s="1"/>
  <c r="N126" i="15" s="1"/>
  <c r="N127" i="15" s="1"/>
  <c r="N128" i="15" s="1"/>
  <c r="N129" i="15" s="1"/>
  <c r="N130" i="15" s="1"/>
  <c r="P124" i="15"/>
  <c r="R124" i="15"/>
  <c r="C243" i="15"/>
  <c r="E243" i="15"/>
  <c r="G243" i="15"/>
  <c r="I243" i="15"/>
  <c r="D243" i="15"/>
  <c r="F243" i="15"/>
  <c r="O243" i="15"/>
  <c r="Q243" i="15" s="1"/>
  <c r="C362" i="15"/>
  <c r="E362" i="15"/>
  <c r="G362" i="15"/>
  <c r="I362" i="15"/>
  <c r="K362" i="15" s="1"/>
  <c r="D362" i="15"/>
  <c r="F362" i="15"/>
  <c r="H362" i="15" s="1"/>
  <c r="J362" i="15" s="1"/>
  <c r="C125" i="15"/>
  <c r="E125" i="15"/>
  <c r="G125" i="15" s="1"/>
  <c r="I125" i="15" s="1"/>
  <c r="D125" i="15"/>
  <c r="P125" i="15" s="1"/>
  <c r="R125" i="15" s="1"/>
  <c r="F125" i="15"/>
  <c r="H125" i="15"/>
  <c r="J125" i="15"/>
  <c r="C244" i="15"/>
  <c r="E244" i="15"/>
  <c r="G244" i="15"/>
  <c r="I244" i="15"/>
  <c r="D244" i="15"/>
  <c r="F244" i="15"/>
  <c r="M244" i="15"/>
  <c r="O244" i="15"/>
  <c r="Q244" i="15"/>
  <c r="P244" i="15"/>
  <c r="R244" i="15" s="1"/>
  <c r="C363" i="15"/>
  <c r="E363" i="15"/>
  <c r="G363" i="15"/>
  <c r="I363" i="15"/>
  <c r="D363" i="15"/>
  <c r="F363" i="15"/>
  <c r="H363" i="15" s="1"/>
  <c r="J363" i="15"/>
  <c r="K363" i="15"/>
  <c r="C126" i="15"/>
  <c r="E126" i="15"/>
  <c r="G126" i="15" s="1"/>
  <c r="I126" i="15"/>
  <c r="D126" i="15"/>
  <c r="P126" i="15" s="1"/>
  <c r="R126" i="15" s="1"/>
  <c r="F126" i="15"/>
  <c r="H126" i="15"/>
  <c r="J126" i="15"/>
  <c r="C245" i="15"/>
  <c r="E245" i="15"/>
  <c r="G245" i="15" s="1"/>
  <c r="I245" i="15" s="1"/>
  <c r="D245" i="15"/>
  <c r="F245" i="15"/>
  <c r="M245" i="15"/>
  <c r="O245" i="15"/>
  <c r="Q245" i="15"/>
  <c r="N245" i="15"/>
  <c r="P245" i="15" s="1"/>
  <c r="R245" i="15" s="1"/>
  <c r="C364" i="15"/>
  <c r="E364" i="15"/>
  <c r="G364" i="15"/>
  <c r="I364" i="15"/>
  <c r="D364" i="15"/>
  <c r="F364" i="15"/>
  <c r="H364" i="15" s="1"/>
  <c r="J364" i="15" s="1"/>
  <c r="K364" i="15" s="1"/>
  <c r="C127" i="15"/>
  <c r="E127" i="15"/>
  <c r="G127" i="15" s="1"/>
  <c r="I127" i="15"/>
  <c r="D127" i="15"/>
  <c r="P127" i="15" s="1"/>
  <c r="R127" i="15" s="1"/>
  <c r="F127" i="15"/>
  <c r="H127" i="15"/>
  <c r="J127" i="15"/>
  <c r="C246" i="15"/>
  <c r="E246" i="15"/>
  <c r="G246" i="15"/>
  <c r="I246" i="15" s="1"/>
  <c r="D246" i="15"/>
  <c r="F246" i="15"/>
  <c r="M246" i="15"/>
  <c r="O246" i="15"/>
  <c r="Q246" i="15"/>
  <c r="C365" i="15"/>
  <c r="E365" i="15"/>
  <c r="G365" i="15"/>
  <c r="I365" i="15"/>
  <c r="D365" i="15"/>
  <c r="F365" i="15"/>
  <c r="H365" i="15" s="1"/>
  <c r="J365" i="15"/>
  <c r="K365" i="15" s="1"/>
  <c r="C128" i="15"/>
  <c r="E128" i="15"/>
  <c r="G128" i="15" s="1"/>
  <c r="I128" i="15"/>
  <c r="D128" i="15"/>
  <c r="P128" i="15" s="1"/>
  <c r="R128" i="15" s="1"/>
  <c r="F128" i="15"/>
  <c r="H128" i="15"/>
  <c r="J128" i="15"/>
  <c r="C247" i="15"/>
  <c r="E247" i="15"/>
  <c r="G247" i="15"/>
  <c r="I247" i="15"/>
  <c r="D247" i="15"/>
  <c r="F247" i="15"/>
  <c r="M247" i="15"/>
  <c r="O247" i="15"/>
  <c r="Q247" i="15"/>
  <c r="C366" i="15"/>
  <c r="E366" i="15"/>
  <c r="G366" i="15"/>
  <c r="I366" i="15"/>
  <c r="D366" i="15"/>
  <c r="F366" i="15"/>
  <c r="H366" i="15" s="1"/>
  <c r="J366" i="15"/>
  <c r="K366" i="15"/>
  <c r="C129" i="15"/>
  <c r="E129" i="15"/>
  <c r="G129" i="15" s="1"/>
  <c r="I129" i="15"/>
  <c r="D129" i="15"/>
  <c r="P129" i="15" s="1"/>
  <c r="R129" i="15" s="1"/>
  <c r="F129" i="15"/>
  <c r="H129" i="15"/>
  <c r="J129" i="15"/>
  <c r="C248" i="15"/>
  <c r="E248" i="15"/>
  <c r="G248" i="15"/>
  <c r="I248" i="15"/>
  <c r="D248" i="15"/>
  <c r="F248" i="15"/>
  <c r="M248" i="15"/>
  <c r="O248" i="15"/>
  <c r="Q248" i="15"/>
  <c r="C367" i="15"/>
  <c r="E367" i="15"/>
  <c r="G367" i="15"/>
  <c r="I367" i="15"/>
  <c r="D367" i="15"/>
  <c r="F367" i="15"/>
  <c r="H367" i="15" s="1"/>
  <c r="J367" i="15"/>
  <c r="K367" i="15"/>
  <c r="C130" i="15"/>
  <c r="E130" i="15"/>
  <c r="G130" i="15" s="1"/>
  <c r="I130" i="15"/>
  <c r="D130" i="15"/>
  <c r="P130" i="15" s="1"/>
  <c r="R130" i="15" s="1"/>
  <c r="F130" i="15"/>
  <c r="H130" i="15"/>
  <c r="J130" i="15" s="1"/>
  <c r="C249" i="15"/>
  <c r="E249" i="15"/>
  <c r="G249" i="15"/>
  <c r="I249" i="15"/>
  <c r="D249" i="15"/>
  <c r="F249" i="15"/>
  <c r="M249" i="15"/>
  <c r="M250" i="15" s="1"/>
  <c r="O249" i="15"/>
  <c r="Q249" i="15" s="1"/>
  <c r="C368" i="15"/>
  <c r="E368" i="15"/>
  <c r="G368" i="15"/>
  <c r="I368" i="15" s="1"/>
  <c r="K368" i="15" s="1"/>
  <c r="D368" i="15"/>
  <c r="F368" i="15"/>
  <c r="H368" i="15" s="1"/>
  <c r="J368" i="15"/>
  <c r="C131" i="15"/>
  <c r="E131" i="15"/>
  <c r="G131" i="15" s="1"/>
  <c r="I131" i="15" s="1"/>
  <c r="K131" i="15" s="1"/>
  <c r="D131" i="15"/>
  <c r="F131" i="15"/>
  <c r="H131" i="15"/>
  <c r="J131" i="15"/>
  <c r="N131" i="15"/>
  <c r="C250" i="15"/>
  <c r="E250" i="15"/>
  <c r="G250" i="15"/>
  <c r="I250" i="15"/>
  <c r="D250" i="15"/>
  <c r="F250" i="15"/>
  <c r="C369" i="15"/>
  <c r="E369" i="15"/>
  <c r="G369" i="15"/>
  <c r="I369" i="15"/>
  <c r="D369" i="15"/>
  <c r="F369" i="15"/>
  <c r="H369" i="15" s="1"/>
  <c r="J369" i="15" s="1"/>
  <c r="C132" i="15"/>
  <c r="E132" i="15"/>
  <c r="G132" i="15" s="1"/>
  <c r="I132" i="15"/>
  <c r="D132" i="15"/>
  <c r="F132" i="15"/>
  <c r="N132" i="15"/>
  <c r="N133" i="15" s="1"/>
  <c r="P133" i="15" s="1"/>
  <c r="R133" i="15" s="1"/>
  <c r="C251" i="15"/>
  <c r="E251" i="15"/>
  <c r="G251" i="15"/>
  <c r="I251" i="15"/>
  <c r="D251" i="15"/>
  <c r="F251" i="15"/>
  <c r="C370" i="15"/>
  <c r="E370" i="15"/>
  <c r="D370" i="15"/>
  <c r="F370" i="15"/>
  <c r="H370" i="15" s="1"/>
  <c r="J370" i="15"/>
  <c r="C133" i="15"/>
  <c r="E133" i="15"/>
  <c r="G133" i="15" s="1"/>
  <c r="I133" i="15"/>
  <c r="D133" i="15"/>
  <c r="F133" i="15"/>
  <c r="H133" i="15"/>
  <c r="J133" i="15"/>
  <c r="C252" i="15"/>
  <c r="E252" i="15"/>
  <c r="D252" i="15"/>
  <c r="F252" i="15"/>
  <c r="C371" i="15"/>
  <c r="E371" i="15"/>
  <c r="D371" i="15"/>
  <c r="F371" i="15"/>
  <c r="H371" i="15"/>
  <c r="J371" i="15"/>
  <c r="C134" i="15"/>
  <c r="E134" i="15"/>
  <c r="G134" i="15"/>
  <c r="I134" i="15"/>
  <c r="D134" i="15"/>
  <c r="F134" i="15"/>
  <c r="C253" i="15"/>
  <c r="E253" i="15"/>
  <c r="G253" i="15"/>
  <c r="I253" i="15"/>
  <c r="D253" i="15"/>
  <c r="F253" i="15"/>
  <c r="C372" i="15"/>
  <c r="E372" i="15"/>
  <c r="G372" i="15"/>
  <c r="I372" i="15"/>
  <c r="K372" i="15" s="1"/>
  <c r="D372" i="15"/>
  <c r="F372" i="15"/>
  <c r="H372" i="15" s="1"/>
  <c r="J372" i="15" s="1"/>
  <c r="H107" i="5"/>
  <c r="X106" i="5"/>
  <c r="X107" i="5"/>
  <c r="G107" i="5"/>
  <c r="W106" i="5"/>
  <c r="W107" i="5" s="1"/>
  <c r="W108" i="5" s="1"/>
  <c r="W109" i="5" s="1"/>
  <c r="W110" i="5" s="1"/>
  <c r="W111" i="5" s="1"/>
  <c r="W112" i="5" s="1"/>
  <c r="W113" i="5" s="1"/>
  <c r="W114" i="5" s="1"/>
  <c r="W115" i="5" s="1"/>
  <c r="I108" i="5"/>
  <c r="Y108" i="5"/>
  <c r="I109" i="5"/>
  <c r="Y109" i="5"/>
  <c r="Y110" i="5" s="1"/>
  <c r="Y111" i="5" s="1"/>
  <c r="Y112" i="5" s="1"/>
  <c r="Y113" i="5" s="1"/>
  <c r="Y114" i="5" s="1"/>
  <c r="Y115" i="5" s="1"/>
  <c r="Y116" i="5" s="1"/>
  <c r="Y117" i="5" s="1"/>
  <c r="Y118" i="5" s="1"/>
  <c r="Y119" i="5" s="1"/>
  <c r="Y120" i="5" s="1"/>
  <c r="Y121" i="5" s="1"/>
  <c r="I110" i="5"/>
  <c r="I111" i="5"/>
  <c r="I112" i="5"/>
  <c r="I113" i="5"/>
  <c r="I114" i="5"/>
  <c r="I115" i="5"/>
  <c r="I116" i="5"/>
  <c r="I117" i="5"/>
  <c r="I118" i="5"/>
  <c r="I119" i="5"/>
  <c r="I120" i="5"/>
  <c r="I121" i="5"/>
  <c r="H108" i="5"/>
  <c r="X108" i="5"/>
  <c r="X109" i="5" s="1"/>
  <c r="X110" i="5" s="1"/>
  <c r="X111" i="5" s="1"/>
  <c r="X112" i="5" s="1"/>
  <c r="X113" i="5" s="1"/>
  <c r="X114" i="5" s="1"/>
  <c r="X115" i="5" s="1"/>
  <c r="X116" i="5" s="1"/>
  <c r="X117" i="5" s="1"/>
  <c r="X118" i="5" s="1"/>
  <c r="X119" i="5" s="1"/>
  <c r="X120" i="5" s="1"/>
  <c r="X121" i="5" s="1"/>
  <c r="H109" i="5"/>
  <c r="H110" i="5"/>
  <c r="H111" i="5"/>
  <c r="H112" i="5"/>
  <c r="H113" i="5"/>
  <c r="H114" i="5"/>
  <c r="H115" i="5"/>
  <c r="H116" i="5"/>
  <c r="H117" i="5"/>
  <c r="H118" i="5"/>
  <c r="H119" i="5"/>
  <c r="H120" i="5"/>
  <c r="H121" i="5"/>
  <c r="G108" i="5"/>
  <c r="G109" i="5"/>
  <c r="G110" i="5"/>
  <c r="G111" i="5"/>
  <c r="G112" i="5"/>
  <c r="G113" i="5"/>
  <c r="G114" i="5"/>
  <c r="G115" i="5"/>
  <c r="G116" i="5"/>
  <c r="W116" i="5"/>
  <c r="W117" i="5" s="1"/>
  <c r="W118" i="5" s="1"/>
  <c r="W119" i="5" s="1"/>
  <c r="W120" i="5" s="1"/>
  <c r="W121" i="5" s="1"/>
  <c r="G117" i="5"/>
  <c r="G118" i="5"/>
  <c r="G119" i="5"/>
  <c r="G120" i="5"/>
  <c r="G121" i="5"/>
  <c r="AJ112" i="10"/>
  <c r="I83" i="5"/>
  <c r="Y82" i="5"/>
  <c r="Y83" i="5"/>
  <c r="C97" i="15"/>
  <c r="E97" i="15"/>
  <c r="G97" i="15"/>
  <c r="I97" i="15" s="1"/>
  <c r="D97" i="15"/>
  <c r="P97" i="15" s="1"/>
  <c r="R97" i="15" s="1"/>
  <c r="F97" i="15"/>
  <c r="E96" i="15"/>
  <c r="M96" i="15"/>
  <c r="M97" i="15" s="1"/>
  <c r="O97" i="15"/>
  <c r="Q97" i="15"/>
  <c r="F96" i="15"/>
  <c r="N96" i="15" s="1"/>
  <c r="N97" i="15" s="1"/>
  <c r="N98" i="15" s="1"/>
  <c r="C216" i="15"/>
  <c r="E216" i="15"/>
  <c r="D216" i="15"/>
  <c r="F216" i="15"/>
  <c r="H216" i="15"/>
  <c r="J216" i="15"/>
  <c r="E215" i="15"/>
  <c r="M215" i="15"/>
  <c r="M216" i="15"/>
  <c r="F215" i="15"/>
  <c r="N215" i="15"/>
  <c r="N216" i="15"/>
  <c r="N217" i="15" s="1"/>
  <c r="C335" i="15"/>
  <c r="E335" i="15"/>
  <c r="D335" i="15"/>
  <c r="F335" i="15"/>
  <c r="H335" i="15"/>
  <c r="J335" i="15" s="1"/>
  <c r="E334" i="15"/>
  <c r="M334" i="15"/>
  <c r="M335" i="15" s="1"/>
  <c r="M336" i="15" s="1"/>
  <c r="F334" i="15"/>
  <c r="N334" i="15"/>
  <c r="N335" i="15"/>
  <c r="P335" i="15"/>
  <c r="R335" i="15"/>
  <c r="C98" i="15"/>
  <c r="E98" i="15"/>
  <c r="G98" i="15"/>
  <c r="I98" i="15" s="1"/>
  <c r="K98" i="15" s="1"/>
  <c r="D98" i="15"/>
  <c r="F98" i="15"/>
  <c r="H98" i="15"/>
  <c r="J98" i="15"/>
  <c r="M98" i="15"/>
  <c r="O98" i="15"/>
  <c r="Q98" i="15" s="1"/>
  <c r="C217" i="15"/>
  <c r="E217" i="15"/>
  <c r="D217" i="15"/>
  <c r="F217" i="15"/>
  <c r="H217" i="15"/>
  <c r="J217" i="15"/>
  <c r="M217" i="15"/>
  <c r="C336" i="15"/>
  <c r="E336" i="15"/>
  <c r="G336" i="15"/>
  <c r="I336" i="15"/>
  <c r="D336" i="15"/>
  <c r="H336" i="15" s="1"/>
  <c r="J336" i="15" s="1"/>
  <c r="F336" i="15"/>
  <c r="N336" i="15"/>
  <c r="C99" i="15"/>
  <c r="E99" i="15"/>
  <c r="G99" i="15" s="1"/>
  <c r="I99" i="15" s="1"/>
  <c r="K99" i="15" s="1"/>
  <c r="D99" i="15"/>
  <c r="F99" i="15"/>
  <c r="H99" i="15"/>
  <c r="J99" i="15" s="1"/>
  <c r="M99" i="15"/>
  <c r="O99" i="15"/>
  <c r="Q99" i="15" s="1"/>
  <c r="C218" i="15"/>
  <c r="E218" i="15"/>
  <c r="D218" i="15"/>
  <c r="F218" i="15"/>
  <c r="H218" i="15"/>
  <c r="J218" i="15"/>
  <c r="M218" i="15"/>
  <c r="C337" i="15"/>
  <c r="E337" i="15"/>
  <c r="G337" i="15"/>
  <c r="I337" i="15"/>
  <c r="D337" i="15"/>
  <c r="H337" i="15" s="1"/>
  <c r="J337" i="15" s="1"/>
  <c r="F337" i="15"/>
  <c r="N337" i="15"/>
  <c r="C100" i="15"/>
  <c r="E100" i="15"/>
  <c r="G100" i="15" s="1"/>
  <c r="I100" i="15" s="1"/>
  <c r="K100" i="15" s="1"/>
  <c r="D100" i="15"/>
  <c r="F100" i="15"/>
  <c r="H100" i="15"/>
  <c r="J100" i="15"/>
  <c r="M100" i="15"/>
  <c r="O100" i="15"/>
  <c r="Q100" i="15" s="1"/>
  <c r="C219" i="15"/>
  <c r="E219" i="15"/>
  <c r="D219" i="15"/>
  <c r="F219" i="15"/>
  <c r="H219" i="15"/>
  <c r="J219" i="15"/>
  <c r="M219" i="15"/>
  <c r="C338" i="15"/>
  <c r="E338" i="15"/>
  <c r="G338" i="15"/>
  <c r="I338" i="15"/>
  <c r="K338" i="15" s="1"/>
  <c r="D338" i="15"/>
  <c r="F338" i="15"/>
  <c r="H338" i="15"/>
  <c r="J338" i="15" s="1"/>
  <c r="N338" i="15"/>
  <c r="P338" i="15"/>
  <c r="R338" i="15"/>
  <c r="C101" i="15"/>
  <c r="G101" i="15" s="1"/>
  <c r="I101" i="15" s="1"/>
  <c r="K101" i="15" s="1"/>
  <c r="E101" i="15"/>
  <c r="D101" i="15"/>
  <c r="F101" i="15"/>
  <c r="H101" i="15"/>
  <c r="J101" i="15"/>
  <c r="M101" i="15"/>
  <c r="M102" i="15" s="1"/>
  <c r="M103" i="15" s="1"/>
  <c r="C220" i="15"/>
  <c r="E220" i="15"/>
  <c r="D220" i="15"/>
  <c r="F220" i="15"/>
  <c r="H220" i="15"/>
  <c r="J220" i="15" s="1"/>
  <c r="M220" i="15"/>
  <c r="C339" i="15"/>
  <c r="E339" i="15"/>
  <c r="G339" i="15"/>
  <c r="I339" i="15"/>
  <c r="D339" i="15"/>
  <c r="F339" i="15"/>
  <c r="H339" i="15"/>
  <c r="J339" i="15" s="1"/>
  <c r="N339" i="15"/>
  <c r="N340" i="15" s="1"/>
  <c r="N341" i="15" s="1"/>
  <c r="N342" i="15" s="1"/>
  <c r="N343" i="15" s="1"/>
  <c r="N344" i="15" s="1"/>
  <c r="N345" i="15" s="1"/>
  <c r="N346" i="15" s="1"/>
  <c r="P339" i="15"/>
  <c r="R339" i="15"/>
  <c r="C102" i="15"/>
  <c r="O102" i="15" s="1"/>
  <c r="Q102" i="15" s="1"/>
  <c r="E102" i="15"/>
  <c r="D102" i="15"/>
  <c r="F102" i="15"/>
  <c r="H102" i="15"/>
  <c r="J102" i="15"/>
  <c r="C221" i="15"/>
  <c r="E221" i="15"/>
  <c r="D221" i="15"/>
  <c r="F221" i="15"/>
  <c r="H221" i="15" s="1"/>
  <c r="J221" i="15" s="1"/>
  <c r="M221" i="15"/>
  <c r="C340" i="15"/>
  <c r="E340" i="15"/>
  <c r="G340" i="15"/>
  <c r="I340" i="15"/>
  <c r="D340" i="15"/>
  <c r="P340" i="15" s="1"/>
  <c r="R340" i="15" s="1"/>
  <c r="F340" i="15"/>
  <c r="H340" i="15"/>
  <c r="J340" i="15" s="1"/>
  <c r="C103" i="15"/>
  <c r="E103" i="15"/>
  <c r="G103" i="15" s="1"/>
  <c r="I103" i="15" s="1"/>
  <c r="K103" i="15" s="1"/>
  <c r="D103" i="15"/>
  <c r="F103" i="15"/>
  <c r="H103" i="15"/>
  <c r="J103" i="15"/>
  <c r="C222" i="15"/>
  <c r="G222" i="15" s="1"/>
  <c r="I222" i="15" s="1"/>
  <c r="E222" i="15"/>
  <c r="D222" i="15"/>
  <c r="F222" i="15"/>
  <c r="H222" i="15" s="1"/>
  <c r="J222" i="15" s="1"/>
  <c r="M222" i="15"/>
  <c r="O222" i="15"/>
  <c r="Q222" i="15"/>
  <c r="C341" i="15"/>
  <c r="E341" i="15"/>
  <c r="G341" i="15"/>
  <c r="I341" i="15"/>
  <c r="D341" i="15"/>
  <c r="P341" i="15" s="1"/>
  <c r="R341" i="15" s="1"/>
  <c r="F341" i="15"/>
  <c r="C104" i="15"/>
  <c r="G104" i="15" s="1"/>
  <c r="I104" i="15" s="1"/>
  <c r="K104" i="15" s="1"/>
  <c r="E104" i="15"/>
  <c r="D104" i="15"/>
  <c r="F104" i="15"/>
  <c r="H104" i="15"/>
  <c r="J104" i="15"/>
  <c r="C223" i="15"/>
  <c r="E223" i="15"/>
  <c r="G223" i="15"/>
  <c r="I223" i="15"/>
  <c r="D223" i="15"/>
  <c r="F223" i="15"/>
  <c r="H223" i="15" s="1"/>
  <c r="J223" i="15" s="1"/>
  <c r="M223" i="15"/>
  <c r="O223" i="15"/>
  <c r="Q223" i="15"/>
  <c r="C342" i="15"/>
  <c r="E342" i="15"/>
  <c r="G342" i="15"/>
  <c r="I342" i="15"/>
  <c r="D342" i="15"/>
  <c r="P342" i="15" s="1"/>
  <c r="R342" i="15" s="1"/>
  <c r="F342" i="15"/>
  <c r="C105" i="15"/>
  <c r="G105" i="15" s="1"/>
  <c r="I105" i="15" s="1"/>
  <c r="K105" i="15" s="1"/>
  <c r="E105" i="15"/>
  <c r="D105" i="15"/>
  <c r="F105" i="15"/>
  <c r="H105" i="15"/>
  <c r="J105" i="15"/>
  <c r="C224" i="15"/>
  <c r="E224" i="15"/>
  <c r="G224" i="15"/>
  <c r="I224" i="15"/>
  <c r="K224" i="15" s="1"/>
  <c r="D224" i="15"/>
  <c r="F224" i="15"/>
  <c r="H224" i="15" s="1"/>
  <c r="J224" i="15" s="1"/>
  <c r="M224" i="15"/>
  <c r="O224" i="15"/>
  <c r="Q224" i="15"/>
  <c r="C343" i="15"/>
  <c r="E343" i="15"/>
  <c r="G343" i="15"/>
  <c r="I343" i="15"/>
  <c r="D343" i="15"/>
  <c r="P343" i="15" s="1"/>
  <c r="R343" i="15" s="1"/>
  <c r="F343" i="15"/>
  <c r="C106" i="15"/>
  <c r="G106" i="15" s="1"/>
  <c r="I106" i="15" s="1"/>
  <c r="K106" i="15" s="1"/>
  <c r="E106" i="15"/>
  <c r="D106" i="15"/>
  <c r="F106" i="15"/>
  <c r="H106" i="15"/>
  <c r="J106" i="15"/>
  <c r="C225" i="15"/>
  <c r="E225" i="15"/>
  <c r="G225" i="15"/>
  <c r="I225" i="15"/>
  <c r="D225" i="15"/>
  <c r="F225" i="15"/>
  <c r="H225" i="15" s="1"/>
  <c r="J225" i="15" s="1"/>
  <c r="M225" i="15"/>
  <c r="O225" i="15"/>
  <c r="Q225" i="15"/>
  <c r="C344" i="15"/>
  <c r="E344" i="15"/>
  <c r="G344" i="15"/>
  <c r="I344" i="15"/>
  <c r="D344" i="15"/>
  <c r="P344" i="15" s="1"/>
  <c r="R344" i="15" s="1"/>
  <c r="F344" i="15"/>
  <c r="C107" i="15"/>
  <c r="G107" i="15" s="1"/>
  <c r="I107" i="15" s="1"/>
  <c r="K107" i="15" s="1"/>
  <c r="E107" i="15"/>
  <c r="D107" i="15"/>
  <c r="F107" i="15"/>
  <c r="H107" i="15"/>
  <c r="J107" i="15"/>
  <c r="C226" i="15"/>
  <c r="E226" i="15"/>
  <c r="G226" i="15"/>
  <c r="I226" i="15"/>
  <c r="D226" i="15"/>
  <c r="F226" i="15"/>
  <c r="H226" i="15" s="1"/>
  <c r="J226" i="15" s="1"/>
  <c r="M226" i="15"/>
  <c r="O226" i="15"/>
  <c r="Q226" i="15"/>
  <c r="C345" i="15"/>
  <c r="E345" i="15"/>
  <c r="G345" i="15"/>
  <c r="I345" i="15"/>
  <c r="D345" i="15"/>
  <c r="P345" i="15" s="1"/>
  <c r="R345" i="15" s="1"/>
  <c r="F345" i="15"/>
  <c r="C108" i="15"/>
  <c r="G108" i="15" s="1"/>
  <c r="I108" i="15" s="1"/>
  <c r="E108" i="15"/>
  <c r="D108" i="15"/>
  <c r="F108" i="15"/>
  <c r="H108" i="15"/>
  <c r="J108" i="15"/>
  <c r="C227" i="15"/>
  <c r="E227" i="15"/>
  <c r="G227" i="15"/>
  <c r="I227" i="15"/>
  <c r="D227" i="15"/>
  <c r="F227" i="15"/>
  <c r="H227" i="15" s="1"/>
  <c r="J227" i="15" s="1"/>
  <c r="M227" i="15"/>
  <c r="O227" i="15"/>
  <c r="Q227" i="15"/>
  <c r="C346" i="15"/>
  <c r="E346" i="15"/>
  <c r="G346" i="15"/>
  <c r="I346" i="15"/>
  <c r="D346" i="15"/>
  <c r="P346" i="15" s="1"/>
  <c r="R346" i="15" s="1"/>
  <c r="F346" i="15"/>
  <c r="C109" i="15"/>
  <c r="E109" i="15"/>
  <c r="D109" i="15"/>
  <c r="F109" i="15"/>
  <c r="H109" i="15"/>
  <c r="J109" i="15"/>
  <c r="C228" i="15"/>
  <c r="E228" i="15"/>
  <c r="G228" i="15"/>
  <c r="I228" i="15"/>
  <c r="D228" i="15"/>
  <c r="F228" i="15"/>
  <c r="H228" i="15" s="1"/>
  <c r="J228" i="15" s="1"/>
  <c r="M228" i="15"/>
  <c r="O228" i="15"/>
  <c r="Q228" i="15"/>
  <c r="C347" i="15"/>
  <c r="E347" i="15"/>
  <c r="G347" i="15"/>
  <c r="I347" i="15"/>
  <c r="D347" i="15"/>
  <c r="F347" i="15"/>
  <c r="N347" i="15"/>
  <c r="N348" i="15" s="1"/>
  <c r="N349" i="15" s="1"/>
  <c r="C110" i="15"/>
  <c r="E110" i="15"/>
  <c r="D110" i="15"/>
  <c r="F110" i="15"/>
  <c r="H110" i="15"/>
  <c r="J110" i="15"/>
  <c r="C229" i="15"/>
  <c r="E229" i="15"/>
  <c r="G229" i="15"/>
  <c r="I229" i="15"/>
  <c r="D229" i="15"/>
  <c r="F229" i="15"/>
  <c r="H229" i="15"/>
  <c r="J229" i="15" s="1"/>
  <c r="M229" i="15"/>
  <c r="O229" i="15"/>
  <c r="Q229" i="15"/>
  <c r="C348" i="15"/>
  <c r="E348" i="15"/>
  <c r="G348" i="15"/>
  <c r="I348" i="15"/>
  <c r="D348" i="15"/>
  <c r="F348" i="15"/>
  <c r="C111" i="15"/>
  <c r="E111" i="15"/>
  <c r="D111" i="15"/>
  <c r="F111" i="15"/>
  <c r="H111" i="15"/>
  <c r="J111" i="15"/>
  <c r="C230" i="15"/>
  <c r="E230" i="15"/>
  <c r="G230" i="15"/>
  <c r="I230" i="15"/>
  <c r="D230" i="15"/>
  <c r="F230" i="15"/>
  <c r="H230" i="15"/>
  <c r="J230" i="15" s="1"/>
  <c r="M230" i="15"/>
  <c r="O230" i="15"/>
  <c r="Q230" i="15"/>
  <c r="C349" i="15"/>
  <c r="E349" i="15"/>
  <c r="G349" i="15"/>
  <c r="I349" i="15"/>
  <c r="D349" i="15"/>
  <c r="F349" i="15"/>
  <c r="H83" i="5"/>
  <c r="X82" i="5"/>
  <c r="X83" i="5"/>
  <c r="G83" i="5"/>
  <c r="W82" i="5"/>
  <c r="W83" i="5" s="1"/>
  <c r="W84" i="5" s="1"/>
  <c r="W85" i="5" s="1"/>
  <c r="W86" i="5" s="1"/>
  <c r="W87" i="5" s="1"/>
  <c r="W88" i="5" s="1"/>
  <c r="W89" i="5" s="1"/>
  <c r="W90" i="5" s="1"/>
  <c r="W91" i="5" s="1"/>
  <c r="W92" i="5" s="1"/>
  <c r="W93" i="5" s="1"/>
  <c r="W94" i="5" s="1"/>
  <c r="W95" i="5" s="1"/>
  <c r="W96" i="5" s="1"/>
  <c r="W97" i="5" s="1"/>
  <c r="I84" i="5"/>
  <c r="Y84" i="5"/>
  <c r="Y85" i="5" s="1"/>
  <c r="Y86" i="5" s="1"/>
  <c r="Y87" i="5" s="1"/>
  <c r="Y88" i="5" s="1"/>
  <c r="Y89" i="5" s="1"/>
  <c r="Y90" i="5" s="1"/>
  <c r="Y91" i="5" s="1"/>
  <c r="Y92" i="5" s="1"/>
  <c r="Y93" i="5" s="1"/>
  <c r="Y94" i="5" s="1"/>
  <c r="Y95" i="5" s="1"/>
  <c r="Y96" i="5" s="1"/>
  <c r="Y97" i="5" s="1"/>
  <c r="I85" i="5"/>
  <c r="I86" i="5"/>
  <c r="I87" i="5"/>
  <c r="I88" i="5"/>
  <c r="I89" i="5"/>
  <c r="I90" i="5"/>
  <c r="I91" i="5"/>
  <c r="I92" i="5"/>
  <c r="I93" i="5"/>
  <c r="I94" i="5"/>
  <c r="I95" i="5"/>
  <c r="I96" i="5"/>
  <c r="I97" i="5"/>
  <c r="H84" i="5"/>
  <c r="X84" i="5"/>
  <c r="X85" i="5" s="1"/>
  <c r="X86" i="5" s="1"/>
  <c r="H85" i="5"/>
  <c r="H86" i="5"/>
  <c r="H87" i="5"/>
  <c r="X87" i="5"/>
  <c r="X88" i="5" s="1"/>
  <c r="X89" i="5" s="1"/>
  <c r="X90" i="5" s="1"/>
  <c r="X91" i="5" s="1"/>
  <c r="X92" i="5" s="1"/>
  <c r="X93" i="5" s="1"/>
  <c r="X94" i="5" s="1"/>
  <c r="X95" i="5" s="1"/>
  <c r="X96" i="5" s="1"/>
  <c r="X97" i="5" s="1"/>
  <c r="H88" i="5"/>
  <c r="H89" i="5"/>
  <c r="H90" i="5"/>
  <c r="H91" i="5"/>
  <c r="H92" i="5"/>
  <c r="H93" i="5"/>
  <c r="H94" i="5"/>
  <c r="H95" i="5"/>
  <c r="H96" i="5"/>
  <c r="H97" i="5"/>
  <c r="G84" i="5"/>
  <c r="G85" i="5"/>
  <c r="G86" i="5"/>
  <c r="G87" i="5"/>
  <c r="G88" i="5"/>
  <c r="G89" i="5"/>
  <c r="G90" i="5"/>
  <c r="G91" i="5"/>
  <c r="G92" i="5"/>
  <c r="G93" i="5"/>
  <c r="G94" i="5"/>
  <c r="G95" i="5"/>
  <c r="G96" i="5"/>
  <c r="G97" i="5"/>
  <c r="H59" i="5"/>
  <c r="X58" i="5"/>
  <c r="X59" i="5"/>
  <c r="X60" i="5" s="1"/>
  <c r="X61" i="5" s="1"/>
  <c r="X62" i="5" s="1"/>
  <c r="H60" i="5"/>
  <c r="H61" i="5"/>
  <c r="H62" i="5"/>
  <c r="H63" i="5"/>
  <c r="X63" i="5"/>
  <c r="X64" i="5" s="1"/>
  <c r="X65" i="5" s="1"/>
  <c r="I59" i="5"/>
  <c r="Y58" i="5"/>
  <c r="Y59" i="5" s="1"/>
  <c r="Y60" i="5" s="1"/>
  <c r="Y61" i="5" s="1"/>
  <c r="Y62" i="5" s="1"/>
  <c r="Y63" i="5" s="1"/>
  <c r="Y64" i="5" s="1"/>
  <c r="Y65" i="5" s="1"/>
  <c r="Y66" i="5" s="1"/>
  <c r="Y67" i="5" s="1"/>
  <c r="Y68" i="5" s="1"/>
  <c r="Y69" i="5" s="1"/>
  <c r="Y70" i="5" s="1"/>
  <c r="I60" i="5"/>
  <c r="I61" i="5"/>
  <c r="I62" i="5"/>
  <c r="I63" i="5"/>
  <c r="G59" i="5"/>
  <c r="W58" i="5"/>
  <c r="W59" i="5"/>
  <c r="W60" i="5" s="1"/>
  <c r="W61" i="5" s="1"/>
  <c r="W62" i="5" s="1"/>
  <c r="G60" i="5"/>
  <c r="G61" i="5"/>
  <c r="G62" i="5"/>
  <c r="G63" i="5"/>
  <c r="W63" i="5"/>
  <c r="C74" i="15"/>
  <c r="E74" i="15"/>
  <c r="G74" i="15"/>
  <c r="I74" i="15"/>
  <c r="D74" i="15"/>
  <c r="P74" i="15" s="1"/>
  <c r="R74" i="15" s="1"/>
  <c r="F74" i="15"/>
  <c r="H74" i="15"/>
  <c r="J74" i="15" s="1"/>
  <c r="E73" i="15"/>
  <c r="M73" i="15"/>
  <c r="M74" i="15"/>
  <c r="O74" i="15"/>
  <c r="Q74" i="15"/>
  <c r="F73" i="15"/>
  <c r="N73" i="15"/>
  <c r="N74" i="15" s="1"/>
  <c r="N75" i="15" s="1"/>
  <c r="C75" i="15"/>
  <c r="E75" i="15"/>
  <c r="D75" i="15"/>
  <c r="F75" i="15"/>
  <c r="H75" i="15"/>
  <c r="J75" i="15"/>
  <c r="M75" i="15"/>
  <c r="M76" i="15" s="1"/>
  <c r="C76" i="15"/>
  <c r="E76" i="15"/>
  <c r="G76" i="15"/>
  <c r="I76" i="15"/>
  <c r="D76" i="15"/>
  <c r="F76" i="15"/>
  <c r="H76" i="15"/>
  <c r="J76" i="15"/>
  <c r="C77" i="15"/>
  <c r="E77" i="15"/>
  <c r="G77" i="15"/>
  <c r="I77" i="15"/>
  <c r="D77" i="15"/>
  <c r="F77" i="15"/>
  <c r="C78" i="15"/>
  <c r="E78" i="15"/>
  <c r="G78" i="15"/>
  <c r="I78" i="15"/>
  <c r="K78" i="15" s="1"/>
  <c r="D78" i="15"/>
  <c r="F78" i="15"/>
  <c r="H78" i="15"/>
  <c r="J78" i="15" s="1"/>
  <c r="C193" i="15"/>
  <c r="E193" i="15"/>
  <c r="D193" i="15"/>
  <c r="F193" i="15"/>
  <c r="H193" i="15"/>
  <c r="J193" i="15"/>
  <c r="E192" i="15"/>
  <c r="M192" i="15"/>
  <c r="M193" i="15" s="1"/>
  <c r="M194" i="15" s="1"/>
  <c r="F192" i="15"/>
  <c r="N192" i="15" s="1"/>
  <c r="N193" i="15" s="1"/>
  <c r="C194" i="15"/>
  <c r="E194" i="15"/>
  <c r="G194" i="15"/>
  <c r="I194" i="15" s="1"/>
  <c r="K194" i="15" s="1"/>
  <c r="D194" i="15"/>
  <c r="F194" i="15"/>
  <c r="H194" i="15"/>
  <c r="J194" i="15"/>
  <c r="C195" i="15"/>
  <c r="E195" i="15"/>
  <c r="D195" i="15"/>
  <c r="F195" i="15"/>
  <c r="H195" i="15"/>
  <c r="J195" i="15"/>
  <c r="C196" i="15"/>
  <c r="G196" i="15" s="1"/>
  <c r="I196" i="15" s="1"/>
  <c r="E196" i="15"/>
  <c r="D196" i="15"/>
  <c r="F196" i="15"/>
  <c r="H196" i="15"/>
  <c r="J196" i="15" s="1"/>
  <c r="C197" i="15"/>
  <c r="E197" i="15"/>
  <c r="G197" i="15"/>
  <c r="I197" i="15"/>
  <c r="D197" i="15"/>
  <c r="F197" i="15"/>
  <c r="C312" i="15"/>
  <c r="E312" i="15"/>
  <c r="D312" i="15"/>
  <c r="F312" i="15"/>
  <c r="H312" i="15"/>
  <c r="J312" i="15"/>
  <c r="E311" i="15"/>
  <c r="M311" i="15" s="1"/>
  <c r="M312" i="15" s="1"/>
  <c r="F311" i="15"/>
  <c r="N311" i="15"/>
  <c r="N312" i="15"/>
  <c r="N313" i="15" s="1"/>
  <c r="P312" i="15"/>
  <c r="R312" i="15" s="1"/>
  <c r="C313" i="15"/>
  <c r="E313" i="15"/>
  <c r="G313" i="15" s="1"/>
  <c r="I313" i="15" s="1"/>
  <c r="K313" i="15" s="1"/>
  <c r="D313" i="15"/>
  <c r="H313" i="15" s="1"/>
  <c r="J313" i="15" s="1"/>
  <c r="F313" i="15"/>
  <c r="M313" i="15"/>
  <c r="O313" i="15"/>
  <c r="Q313" i="15"/>
  <c r="C314" i="15"/>
  <c r="E314" i="15"/>
  <c r="D314" i="15"/>
  <c r="F314" i="15"/>
  <c r="H314" i="15"/>
  <c r="J314" i="15"/>
  <c r="M314" i="15"/>
  <c r="M315" i="15" s="1"/>
  <c r="C315" i="15"/>
  <c r="G315" i="15" s="1"/>
  <c r="I315" i="15" s="1"/>
  <c r="E315" i="15"/>
  <c r="D315" i="15"/>
  <c r="F315" i="15"/>
  <c r="H315" i="15" s="1"/>
  <c r="J315" i="15" s="1"/>
  <c r="C316" i="15"/>
  <c r="E316" i="15"/>
  <c r="G316" i="15"/>
  <c r="I316" i="15"/>
  <c r="D316" i="15"/>
  <c r="F316" i="15"/>
  <c r="H64" i="5"/>
  <c r="H65" i="5"/>
  <c r="H66" i="5"/>
  <c r="X66" i="5"/>
  <c r="X67" i="5" s="1"/>
  <c r="X68" i="5" s="1"/>
  <c r="X69" i="5" s="1"/>
  <c r="H67" i="5"/>
  <c r="H68" i="5"/>
  <c r="H69" i="5"/>
  <c r="I64" i="5"/>
  <c r="I65" i="5"/>
  <c r="I66" i="5"/>
  <c r="I67" i="5"/>
  <c r="I68" i="5"/>
  <c r="I69" i="5"/>
  <c r="G64" i="5"/>
  <c r="W64" i="5"/>
  <c r="W65" i="5" s="1"/>
  <c r="W66" i="5" s="1"/>
  <c r="W67" i="5" s="1"/>
  <c r="W68" i="5" s="1"/>
  <c r="G65" i="5"/>
  <c r="G66" i="5"/>
  <c r="G67" i="5"/>
  <c r="G68" i="5"/>
  <c r="G69" i="5"/>
  <c r="W69" i="5"/>
  <c r="C79" i="15"/>
  <c r="E79" i="15"/>
  <c r="G79" i="15"/>
  <c r="I79" i="15" s="1"/>
  <c r="K79" i="15" s="1"/>
  <c r="D79" i="15"/>
  <c r="F79" i="15"/>
  <c r="H79" i="15"/>
  <c r="J79" i="15"/>
  <c r="C80" i="15"/>
  <c r="E80" i="15"/>
  <c r="D80" i="15"/>
  <c r="F80" i="15"/>
  <c r="H80" i="15"/>
  <c r="J80" i="15"/>
  <c r="C81" i="15"/>
  <c r="E81" i="15"/>
  <c r="G81" i="15" s="1"/>
  <c r="I81" i="15" s="1"/>
  <c r="D81" i="15"/>
  <c r="F81" i="15"/>
  <c r="H81" i="15"/>
  <c r="J81" i="15"/>
  <c r="C82" i="15"/>
  <c r="E82" i="15"/>
  <c r="G82" i="15"/>
  <c r="I82" i="15"/>
  <c r="D82" i="15"/>
  <c r="F82" i="15"/>
  <c r="C83" i="15"/>
  <c r="E83" i="15"/>
  <c r="G83" i="15"/>
  <c r="I83" i="15"/>
  <c r="K83" i="15" s="1"/>
  <c r="D83" i="15"/>
  <c r="F83" i="15"/>
  <c r="H83" i="15"/>
  <c r="J83" i="15"/>
  <c r="C84" i="15"/>
  <c r="E84" i="15"/>
  <c r="D84" i="15"/>
  <c r="F84" i="15"/>
  <c r="H84" i="15"/>
  <c r="J84" i="15"/>
  <c r="C198" i="15"/>
  <c r="E198" i="15"/>
  <c r="G198" i="15"/>
  <c r="I198" i="15"/>
  <c r="D198" i="15"/>
  <c r="F198" i="15"/>
  <c r="H198" i="15"/>
  <c r="J198" i="15" s="1"/>
  <c r="C199" i="15"/>
  <c r="E199" i="15"/>
  <c r="G199" i="15"/>
  <c r="I199" i="15"/>
  <c r="D199" i="15"/>
  <c r="F199" i="15"/>
  <c r="C200" i="15"/>
  <c r="E200" i="15"/>
  <c r="G200" i="15" s="1"/>
  <c r="I200" i="15" s="1"/>
  <c r="K200" i="15" s="1"/>
  <c r="D200" i="15"/>
  <c r="F200" i="15"/>
  <c r="H200" i="15"/>
  <c r="J200" i="15"/>
  <c r="C201" i="15"/>
  <c r="E201" i="15"/>
  <c r="D201" i="15"/>
  <c r="F201" i="15"/>
  <c r="H201" i="15"/>
  <c r="J201" i="15"/>
  <c r="C202" i="15"/>
  <c r="E202" i="15"/>
  <c r="G202" i="15"/>
  <c r="I202" i="15"/>
  <c r="D202" i="15"/>
  <c r="F202" i="15"/>
  <c r="H202" i="15" s="1"/>
  <c r="J202" i="15" s="1"/>
  <c r="C203" i="15"/>
  <c r="E203" i="15"/>
  <c r="G203" i="15"/>
  <c r="I203" i="15"/>
  <c r="D203" i="15"/>
  <c r="F203" i="15"/>
  <c r="C317" i="15"/>
  <c r="E317" i="15"/>
  <c r="D317" i="15"/>
  <c r="F317" i="15"/>
  <c r="H317" i="15"/>
  <c r="J317" i="15"/>
  <c r="C318" i="15"/>
  <c r="E318" i="15"/>
  <c r="G318" i="15"/>
  <c r="I318" i="15"/>
  <c r="D318" i="15"/>
  <c r="F318" i="15"/>
  <c r="H318" i="15" s="1"/>
  <c r="J318" i="15" s="1"/>
  <c r="C319" i="15"/>
  <c r="E319" i="15"/>
  <c r="G319" i="15"/>
  <c r="I319" i="15"/>
  <c r="D319" i="15"/>
  <c r="F319" i="15"/>
  <c r="C320" i="15"/>
  <c r="E320" i="15"/>
  <c r="G320" i="15" s="1"/>
  <c r="I320" i="15" s="1"/>
  <c r="K320" i="15" s="1"/>
  <c r="D320" i="15"/>
  <c r="F320" i="15"/>
  <c r="H320" i="15"/>
  <c r="J320" i="15"/>
  <c r="C321" i="15"/>
  <c r="E321" i="15"/>
  <c r="D321" i="15"/>
  <c r="F321" i="15"/>
  <c r="H321" i="15"/>
  <c r="J321" i="15"/>
  <c r="C322" i="15"/>
  <c r="E322" i="15"/>
  <c r="G322" i="15" s="1"/>
  <c r="I322" i="15" s="1"/>
  <c r="D322" i="15"/>
  <c r="F322" i="15"/>
  <c r="H322" i="15"/>
  <c r="J322" i="15"/>
  <c r="H70" i="5"/>
  <c r="X70" i="5"/>
  <c r="X71" i="5" s="1"/>
  <c r="X72" i="5" s="1"/>
  <c r="H71" i="5"/>
  <c r="H72" i="5"/>
  <c r="H73" i="5"/>
  <c r="X73" i="5"/>
  <c r="I70" i="5"/>
  <c r="I71" i="5"/>
  <c r="Y71" i="5"/>
  <c r="Y72" i="5" s="1"/>
  <c r="Y73" i="5" s="1"/>
  <c r="I72" i="5"/>
  <c r="I73" i="5"/>
  <c r="G70" i="5"/>
  <c r="W70" i="5"/>
  <c r="G71" i="5"/>
  <c r="W71" i="5"/>
  <c r="W72" i="5" s="1"/>
  <c r="W73" i="5" s="1"/>
  <c r="G72" i="5"/>
  <c r="G73" i="5"/>
  <c r="C85" i="15"/>
  <c r="E85" i="15"/>
  <c r="D85" i="15"/>
  <c r="F85" i="15"/>
  <c r="H85" i="15"/>
  <c r="J85" i="15" s="1"/>
  <c r="C86" i="15"/>
  <c r="E86" i="15"/>
  <c r="G86" i="15"/>
  <c r="I86" i="15"/>
  <c r="D86" i="15"/>
  <c r="F86" i="15"/>
  <c r="H86" i="15"/>
  <c r="J86" i="15" s="1"/>
  <c r="C87" i="15"/>
  <c r="E87" i="15"/>
  <c r="G87" i="15"/>
  <c r="I87" i="15"/>
  <c r="D87" i="15"/>
  <c r="F87" i="15"/>
  <c r="C88" i="15"/>
  <c r="E88" i="15"/>
  <c r="G88" i="15"/>
  <c r="I88" i="15" s="1"/>
  <c r="D88" i="15"/>
  <c r="F88" i="15"/>
  <c r="H88" i="15"/>
  <c r="J88" i="15"/>
  <c r="K88" i="15"/>
  <c r="C204" i="15"/>
  <c r="E204" i="15"/>
  <c r="D204" i="15"/>
  <c r="F204" i="15"/>
  <c r="H204" i="15" s="1"/>
  <c r="J204" i="15" s="1"/>
  <c r="C205" i="15"/>
  <c r="E205" i="15"/>
  <c r="G205" i="15"/>
  <c r="I205" i="15"/>
  <c r="D205" i="15"/>
  <c r="F205" i="15"/>
  <c r="H205" i="15"/>
  <c r="J205" i="15" s="1"/>
  <c r="C206" i="15"/>
  <c r="E206" i="15"/>
  <c r="G206" i="15"/>
  <c r="I206" i="15"/>
  <c r="D206" i="15"/>
  <c r="F206" i="15"/>
  <c r="C207" i="15"/>
  <c r="G207" i="15" s="1"/>
  <c r="I207" i="15" s="1"/>
  <c r="K207" i="15" s="1"/>
  <c r="E207" i="15"/>
  <c r="D207" i="15"/>
  <c r="F207" i="15"/>
  <c r="H207" i="15"/>
  <c r="J207" i="15"/>
  <c r="C323" i="15"/>
  <c r="E323" i="15"/>
  <c r="G323" i="15"/>
  <c r="I323" i="15"/>
  <c r="D323" i="15"/>
  <c r="F323" i="15"/>
  <c r="C324" i="15"/>
  <c r="E324" i="15"/>
  <c r="G324" i="15"/>
  <c r="I324" i="15" s="1"/>
  <c r="D324" i="15"/>
  <c r="F324" i="15"/>
  <c r="C325" i="15"/>
  <c r="E325" i="15"/>
  <c r="G325" i="15"/>
  <c r="I325" i="15"/>
  <c r="K325" i="15" s="1"/>
  <c r="D325" i="15"/>
  <c r="F325" i="15"/>
  <c r="H325" i="15"/>
  <c r="J325" i="15"/>
  <c r="C326" i="15"/>
  <c r="E326" i="15"/>
  <c r="D326" i="15"/>
  <c r="F326" i="15"/>
  <c r="H326" i="15"/>
  <c r="J326" i="15"/>
  <c r="I35" i="5"/>
  <c r="Y34" i="5"/>
  <c r="Y35" i="5"/>
  <c r="Y36" i="5" s="1"/>
  <c r="I36" i="5"/>
  <c r="I37" i="5"/>
  <c r="Y37" i="5"/>
  <c r="Y38" i="5" s="1"/>
  <c r="Y39" i="5" s="1"/>
  <c r="Y40" i="5" s="1"/>
  <c r="Y41" i="5" s="1"/>
  <c r="Y42" i="5" s="1"/>
  <c r="Y43" i="5" s="1"/>
  <c r="Y44" i="5" s="1"/>
  <c r="Y45" i="5" s="1"/>
  <c r="I38" i="5"/>
  <c r="I39" i="5"/>
  <c r="C51" i="15"/>
  <c r="E51" i="15"/>
  <c r="G51" i="15"/>
  <c r="I51" i="15"/>
  <c r="D51" i="15"/>
  <c r="F51" i="15"/>
  <c r="E50" i="15"/>
  <c r="M50" i="15"/>
  <c r="M51" i="15"/>
  <c r="O51" i="15"/>
  <c r="Q51" i="15"/>
  <c r="F50" i="15"/>
  <c r="N50" i="15"/>
  <c r="N51" i="15" s="1"/>
  <c r="N52" i="15" s="1"/>
  <c r="N53" i="15" s="1"/>
  <c r="C170" i="15"/>
  <c r="E170" i="15"/>
  <c r="G170" i="15" s="1"/>
  <c r="I170" i="15" s="1"/>
  <c r="D170" i="15"/>
  <c r="P170" i="15" s="1"/>
  <c r="R170" i="15" s="1"/>
  <c r="F170" i="15"/>
  <c r="H170" i="15"/>
  <c r="J170" i="15" s="1"/>
  <c r="E169" i="15"/>
  <c r="M169" i="15" s="1"/>
  <c r="M170" i="15" s="1"/>
  <c r="F169" i="15"/>
  <c r="N169" i="15"/>
  <c r="N170" i="15" s="1"/>
  <c r="N171" i="15" s="1"/>
  <c r="C289" i="15"/>
  <c r="E289" i="15"/>
  <c r="D289" i="15"/>
  <c r="F289" i="15"/>
  <c r="H289" i="15"/>
  <c r="J289" i="15"/>
  <c r="E288" i="15"/>
  <c r="M288" i="15" s="1"/>
  <c r="M289" i="15" s="1"/>
  <c r="M290" i="15" s="1"/>
  <c r="F288" i="15"/>
  <c r="N288" i="15"/>
  <c r="N289" i="15" s="1"/>
  <c r="P289" i="15" s="1"/>
  <c r="R289" i="15" s="1"/>
  <c r="C52" i="15"/>
  <c r="E52" i="15"/>
  <c r="G52" i="15"/>
  <c r="I52" i="15" s="1"/>
  <c r="K52" i="15" s="1"/>
  <c r="D52" i="15"/>
  <c r="F52" i="15"/>
  <c r="H52" i="15"/>
  <c r="J52" i="15"/>
  <c r="M52" i="15"/>
  <c r="M53" i="15" s="1"/>
  <c r="C171" i="15"/>
  <c r="E171" i="15"/>
  <c r="D171" i="15"/>
  <c r="F171" i="15"/>
  <c r="H171" i="15"/>
  <c r="J171" i="15" s="1"/>
  <c r="C290" i="15"/>
  <c r="E290" i="15"/>
  <c r="G290" i="15"/>
  <c r="I290" i="15"/>
  <c r="D290" i="15"/>
  <c r="F290" i="15"/>
  <c r="H290" i="15"/>
  <c r="J290" i="15" s="1"/>
  <c r="C53" i="15"/>
  <c r="E53" i="15"/>
  <c r="G53" i="15"/>
  <c r="I53" i="15"/>
  <c r="D53" i="15"/>
  <c r="F53" i="15"/>
  <c r="H53" i="15" s="1"/>
  <c r="J53" i="15" s="1"/>
  <c r="C172" i="15"/>
  <c r="E172" i="15"/>
  <c r="D172" i="15"/>
  <c r="F172" i="15"/>
  <c r="H172" i="15"/>
  <c r="J172" i="15"/>
  <c r="C291" i="15"/>
  <c r="E291" i="15"/>
  <c r="G291" i="15" s="1"/>
  <c r="I291" i="15" s="1"/>
  <c r="D291" i="15"/>
  <c r="F291" i="15"/>
  <c r="H291" i="15"/>
  <c r="J291" i="15"/>
  <c r="C54" i="15"/>
  <c r="E54" i="15"/>
  <c r="G54" i="15"/>
  <c r="I54" i="15"/>
  <c r="D54" i="15"/>
  <c r="F54" i="15"/>
  <c r="C173" i="15"/>
  <c r="E173" i="15"/>
  <c r="G173" i="15"/>
  <c r="I173" i="15" s="1"/>
  <c r="D173" i="15"/>
  <c r="F173" i="15"/>
  <c r="H173" i="15"/>
  <c r="J173" i="15" s="1"/>
  <c r="K173" i="15"/>
  <c r="C292" i="15"/>
  <c r="E292" i="15"/>
  <c r="D292" i="15"/>
  <c r="F292" i="15"/>
  <c r="H292" i="15"/>
  <c r="J292" i="15"/>
  <c r="C55" i="15"/>
  <c r="E55" i="15"/>
  <c r="G55" i="15"/>
  <c r="I55" i="15"/>
  <c r="D55" i="15"/>
  <c r="F55" i="15"/>
  <c r="C174" i="15"/>
  <c r="E174" i="15"/>
  <c r="G174" i="15"/>
  <c r="I174" i="15"/>
  <c r="D174" i="15"/>
  <c r="F174" i="15"/>
  <c r="H174" i="15" s="1"/>
  <c r="J174" i="15" s="1"/>
  <c r="C293" i="15"/>
  <c r="E293" i="15"/>
  <c r="D293" i="15"/>
  <c r="F293" i="15"/>
  <c r="H293" i="15"/>
  <c r="J293" i="15"/>
  <c r="I40" i="5"/>
  <c r="I41" i="5"/>
  <c r="I42" i="5"/>
  <c r="I43" i="5"/>
  <c r="I44" i="5"/>
  <c r="I45" i="5"/>
  <c r="I46" i="5"/>
  <c r="I47" i="5"/>
  <c r="I48" i="5"/>
  <c r="I49" i="5"/>
  <c r="C56" i="15"/>
  <c r="E56" i="15"/>
  <c r="D56" i="15"/>
  <c r="F56" i="15"/>
  <c r="H56" i="15"/>
  <c r="J56" i="15"/>
  <c r="C175" i="15"/>
  <c r="E175" i="15"/>
  <c r="G175" i="15"/>
  <c r="I175" i="15"/>
  <c r="D175" i="15"/>
  <c r="F175" i="15"/>
  <c r="C294" i="15"/>
  <c r="E294" i="15"/>
  <c r="G294" i="15"/>
  <c r="I294" i="15" s="1"/>
  <c r="D294" i="15"/>
  <c r="F294" i="15"/>
  <c r="C57" i="15"/>
  <c r="E57" i="15"/>
  <c r="D57" i="15"/>
  <c r="F57" i="15"/>
  <c r="H57" i="15"/>
  <c r="J57" i="15"/>
  <c r="C176" i="15"/>
  <c r="E176" i="15"/>
  <c r="G176" i="15" s="1"/>
  <c r="I176" i="15" s="1"/>
  <c r="D176" i="15"/>
  <c r="F176" i="15"/>
  <c r="H176" i="15"/>
  <c r="J176" i="15"/>
  <c r="C295" i="15"/>
  <c r="E295" i="15"/>
  <c r="G295" i="15"/>
  <c r="I295" i="15"/>
  <c r="D295" i="15"/>
  <c r="F295" i="15"/>
  <c r="C58" i="15"/>
  <c r="E58" i="15"/>
  <c r="G58" i="15"/>
  <c r="I58" i="15" s="1"/>
  <c r="K58" i="15" s="1"/>
  <c r="D58" i="15"/>
  <c r="F58" i="15"/>
  <c r="H58" i="15"/>
  <c r="J58" i="15"/>
  <c r="C177" i="15"/>
  <c r="E177" i="15"/>
  <c r="D177" i="15"/>
  <c r="F177" i="15"/>
  <c r="H177" i="15"/>
  <c r="J177" i="15"/>
  <c r="C296" i="15"/>
  <c r="E296" i="15"/>
  <c r="G296" i="15"/>
  <c r="I296" i="15"/>
  <c r="D296" i="15"/>
  <c r="F296" i="15"/>
  <c r="C59" i="15"/>
  <c r="E59" i="15"/>
  <c r="G59" i="15"/>
  <c r="I59" i="15"/>
  <c r="K59" i="15" s="1"/>
  <c r="D59" i="15"/>
  <c r="H59" i="15" s="1"/>
  <c r="J59" i="15" s="1"/>
  <c r="F59" i="15"/>
  <c r="C178" i="15"/>
  <c r="E178" i="15"/>
  <c r="D178" i="15"/>
  <c r="F178" i="15"/>
  <c r="H178" i="15"/>
  <c r="J178" i="15"/>
  <c r="C297" i="15"/>
  <c r="G297" i="15" s="1"/>
  <c r="I297" i="15" s="1"/>
  <c r="E297" i="15"/>
  <c r="D297" i="15"/>
  <c r="F297" i="15"/>
  <c r="H297" i="15"/>
  <c r="J297" i="15"/>
  <c r="C60" i="15"/>
  <c r="E60" i="15"/>
  <c r="G60" i="15"/>
  <c r="I60" i="15"/>
  <c r="D60" i="15"/>
  <c r="F60" i="15"/>
  <c r="C179" i="15"/>
  <c r="E179" i="15"/>
  <c r="G179" i="15"/>
  <c r="I179" i="15" s="1"/>
  <c r="D179" i="15"/>
  <c r="F179" i="15"/>
  <c r="H179" i="15"/>
  <c r="J179" i="15"/>
  <c r="K179" i="15"/>
  <c r="C298" i="15"/>
  <c r="E298" i="15"/>
  <c r="D298" i="15"/>
  <c r="F298" i="15"/>
  <c r="H298" i="15"/>
  <c r="J298" i="15"/>
  <c r="C61" i="15"/>
  <c r="E61" i="15"/>
  <c r="G61" i="15"/>
  <c r="I61" i="15"/>
  <c r="D61" i="15"/>
  <c r="F61" i="15"/>
  <c r="C180" i="15"/>
  <c r="G180" i="15" s="1"/>
  <c r="I180" i="15" s="1"/>
  <c r="K180" i="15" s="1"/>
  <c r="E180" i="15"/>
  <c r="D180" i="15"/>
  <c r="F180" i="15"/>
  <c r="H180" i="15" s="1"/>
  <c r="J180" i="15"/>
  <c r="C299" i="15"/>
  <c r="E299" i="15"/>
  <c r="D299" i="15"/>
  <c r="F299" i="15"/>
  <c r="H299" i="15" s="1"/>
  <c r="J299" i="15" s="1"/>
  <c r="C62" i="15"/>
  <c r="E62" i="15"/>
  <c r="G62" i="15"/>
  <c r="I62" i="15"/>
  <c r="D62" i="15"/>
  <c r="F62" i="15"/>
  <c r="H62" i="15"/>
  <c r="J62" i="15" s="1"/>
  <c r="C181" i="15"/>
  <c r="E181" i="15"/>
  <c r="G181" i="15"/>
  <c r="I181" i="15" s="1"/>
  <c r="D181" i="15"/>
  <c r="F181" i="15"/>
  <c r="C300" i="15"/>
  <c r="E300" i="15"/>
  <c r="G300" i="15"/>
  <c r="I300" i="15" s="1"/>
  <c r="K300" i="15" s="1"/>
  <c r="D300" i="15"/>
  <c r="F300" i="15"/>
  <c r="H300" i="15"/>
  <c r="J300" i="15" s="1"/>
  <c r="C63" i="15"/>
  <c r="E63" i="15"/>
  <c r="G63" i="15" s="1"/>
  <c r="I63" i="15"/>
  <c r="D63" i="15"/>
  <c r="F63" i="15"/>
  <c r="H63" i="15"/>
  <c r="J63" i="15"/>
  <c r="C182" i="15"/>
  <c r="E182" i="15"/>
  <c r="G182" i="15"/>
  <c r="I182" i="15" s="1"/>
  <c r="D182" i="15"/>
  <c r="F182" i="15"/>
  <c r="C301" i="15"/>
  <c r="E301" i="15"/>
  <c r="G301" i="15"/>
  <c r="I301" i="15"/>
  <c r="D301" i="15"/>
  <c r="F301" i="15"/>
  <c r="H301" i="15" s="1"/>
  <c r="J301" i="15"/>
  <c r="C64" i="15"/>
  <c r="E64" i="15"/>
  <c r="D64" i="15"/>
  <c r="F64" i="15"/>
  <c r="H64" i="15"/>
  <c r="J64" i="15"/>
  <c r="C183" i="15"/>
  <c r="E183" i="15"/>
  <c r="G183" i="15"/>
  <c r="I183" i="15"/>
  <c r="K183" i="15" s="1"/>
  <c r="D183" i="15"/>
  <c r="F183" i="15"/>
  <c r="H183" i="15"/>
  <c r="J183" i="15" s="1"/>
  <c r="C302" i="15"/>
  <c r="E302" i="15"/>
  <c r="G302" i="15"/>
  <c r="I302" i="15"/>
  <c r="D302" i="15"/>
  <c r="F302" i="15"/>
  <c r="C65" i="15"/>
  <c r="E65" i="15"/>
  <c r="D65" i="15"/>
  <c r="F65" i="15"/>
  <c r="H65" i="15"/>
  <c r="J65" i="15"/>
  <c r="C184" i="15"/>
  <c r="E184" i="15"/>
  <c r="D184" i="15"/>
  <c r="F184" i="15"/>
  <c r="C303" i="15"/>
  <c r="E303" i="15"/>
  <c r="G303" i="15"/>
  <c r="I303" i="15"/>
  <c r="D303" i="15"/>
  <c r="H303" i="15" s="1"/>
  <c r="J303" i="15" s="1"/>
  <c r="F303" i="15"/>
  <c r="BN39" i="10"/>
  <c r="BN40" i="10"/>
  <c r="BN41" i="10"/>
  <c r="BN42" i="10"/>
  <c r="BN43" i="10"/>
  <c r="BN44" i="10"/>
  <c r="BN45" i="10"/>
  <c r="BN46" i="10"/>
  <c r="BN47" i="10"/>
  <c r="BN48" i="10"/>
  <c r="BN49" i="10"/>
  <c r="BN50" i="10"/>
  <c r="BN51" i="10"/>
  <c r="BN52" i="10"/>
  <c r="BN53" i="10"/>
  <c r="H35" i="5"/>
  <c r="X34" i="5"/>
  <c r="X35" i="5" s="1"/>
  <c r="H36" i="5"/>
  <c r="X36" i="5"/>
  <c r="H37" i="5"/>
  <c r="X37" i="5"/>
  <c r="X38" i="5" s="1"/>
  <c r="X39" i="5" s="1"/>
  <c r="X40" i="5" s="1"/>
  <c r="X41" i="5" s="1"/>
  <c r="X42" i="5" s="1"/>
  <c r="X43" i="5" s="1"/>
  <c r="X44" i="5" s="1"/>
  <c r="X45" i="5" s="1"/>
  <c r="X46" i="5" s="1"/>
  <c r="X47" i="5" s="1"/>
  <c r="X48" i="5" s="1"/>
  <c r="X49" i="5" s="1"/>
  <c r="H38" i="5"/>
  <c r="H39" i="5"/>
  <c r="H40" i="5"/>
  <c r="H41" i="5"/>
  <c r="H42" i="5"/>
  <c r="H43" i="5"/>
  <c r="H44" i="5"/>
  <c r="H45" i="5"/>
  <c r="H46" i="5"/>
  <c r="H47" i="5"/>
  <c r="H48" i="5"/>
  <c r="H49" i="5"/>
  <c r="G35" i="5"/>
  <c r="W34" i="5"/>
  <c r="W35" i="5"/>
  <c r="W36" i="5" s="1"/>
  <c r="W37" i="5" s="1"/>
  <c r="W38" i="5" s="1"/>
  <c r="W39" i="5" s="1"/>
  <c r="W40" i="5" s="1"/>
  <c r="W41" i="5" s="1"/>
  <c r="W42" i="5" s="1"/>
  <c r="G36" i="5"/>
  <c r="G37" i="5"/>
  <c r="G38" i="5"/>
  <c r="G39" i="5"/>
  <c r="G40" i="5"/>
  <c r="G41" i="5"/>
  <c r="G42" i="5"/>
  <c r="G43" i="5"/>
  <c r="G44" i="5"/>
  <c r="G45" i="5"/>
  <c r="G46" i="5"/>
  <c r="G47" i="5"/>
  <c r="G48" i="5"/>
  <c r="G49" i="5"/>
  <c r="AQ39" i="10"/>
  <c r="AQ40" i="10"/>
  <c r="AQ41" i="10"/>
  <c r="AQ42" i="10"/>
  <c r="AQ43" i="10"/>
  <c r="AQ44" i="10"/>
  <c r="AQ45" i="10"/>
  <c r="AQ46" i="10"/>
  <c r="AQ47" i="10"/>
  <c r="AQ48" i="10"/>
  <c r="AQ49" i="10"/>
  <c r="AQ50" i="10"/>
  <c r="AQ51" i="10"/>
  <c r="AQ52" i="10"/>
  <c r="AQ53" i="10"/>
  <c r="R44" i="5"/>
  <c r="AG35" i="5"/>
  <c r="AE39" i="10" s="1"/>
  <c r="AG43" i="5"/>
  <c r="AE47" i="10" s="1"/>
  <c r="AF36" i="5"/>
  <c r="AD40" i="10" s="1"/>
  <c r="P42" i="5"/>
  <c r="O37" i="5"/>
  <c r="AE37" i="5"/>
  <c r="AC41" i="10" s="1"/>
  <c r="AQ37" i="5"/>
  <c r="AZ41" i="10" s="1"/>
  <c r="AE39" i="5"/>
  <c r="AC43" i="10" s="1"/>
  <c r="AE41" i="5"/>
  <c r="AC45" i="10" s="1"/>
  <c r="O45" i="5"/>
  <c r="N38" i="5"/>
  <c r="AD38" i="5"/>
  <c r="AB42" i="10" s="1"/>
  <c r="AP38" i="5"/>
  <c r="AY42" i="10" s="1"/>
  <c r="AD40" i="5"/>
  <c r="AD44" i="5"/>
  <c r="AB48" i="10" s="1"/>
  <c r="N46" i="5"/>
  <c r="AD46" i="5"/>
  <c r="AB50" i="10" s="1"/>
  <c r="AP46" i="5"/>
  <c r="AY50" i="10" s="1"/>
  <c r="AD48" i="5"/>
  <c r="AB52" i="10" s="1"/>
  <c r="AC35" i="5"/>
  <c r="M37" i="5"/>
  <c r="AC37" i="5"/>
  <c r="AO37" i="5" s="1"/>
  <c r="AX41" i="10" s="1"/>
  <c r="M39" i="5"/>
  <c r="M45" i="5"/>
  <c r="M47" i="5"/>
  <c r="AA41" i="10"/>
  <c r="BN149" i="10"/>
  <c r="AQ149" i="10"/>
  <c r="BN148" i="10"/>
  <c r="AQ148" i="10"/>
  <c r="BN147" i="10"/>
  <c r="AQ147" i="10"/>
  <c r="BN146" i="10"/>
  <c r="AQ146" i="10"/>
  <c r="BN145" i="10"/>
  <c r="AQ145" i="10"/>
  <c r="BN144" i="10"/>
  <c r="AQ144" i="10"/>
  <c r="BN143" i="10"/>
  <c r="AQ143" i="10"/>
  <c r="BN142" i="10"/>
  <c r="AQ142" i="10"/>
  <c r="BN141" i="10"/>
  <c r="AQ141" i="10"/>
  <c r="BN140" i="10"/>
  <c r="AQ140" i="10"/>
  <c r="BN139" i="10"/>
  <c r="AQ139" i="10"/>
  <c r="BN138" i="10"/>
  <c r="AQ138" i="10"/>
  <c r="BN137" i="10"/>
  <c r="AQ137" i="10"/>
  <c r="BN136" i="10"/>
  <c r="AQ136" i="10"/>
  <c r="BN135" i="10"/>
  <c r="AQ135" i="10"/>
  <c r="BN125" i="10"/>
  <c r="AQ125" i="10"/>
  <c r="BN124" i="10"/>
  <c r="AQ124" i="10"/>
  <c r="BN123" i="10"/>
  <c r="AQ123" i="10"/>
  <c r="BN122" i="10"/>
  <c r="AQ122" i="10"/>
  <c r="BN121" i="10"/>
  <c r="AQ121" i="10"/>
  <c r="BN120" i="10"/>
  <c r="AQ120" i="10"/>
  <c r="BN119" i="10"/>
  <c r="AQ119" i="10"/>
  <c r="BN118" i="10"/>
  <c r="AQ118" i="10"/>
  <c r="BN117" i="10"/>
  <c r="AQ117" i="10"/>
  <c r="BN116" i="10"/>
  <c r="AQ116" i="10"/>
  <c r="BN115" i="10"/>
  <c r="AQ115" i="10"/>
  <c r="BN114" i="10"/>
  <c r="AQ114" i="10"/>
  <c r="BN113" i="10"/>
  <c r="AQ113" i="10"/>
  <c r="BN112" i="10"/>
  <c r="AQ112" i="10"/>
  <c r="BN111" i="10"/>
  <c r="AQ111" i="10"/>
  <c r="BN101" i="10"/>
  <c r="AQ101" i="10"/>
  <c r="BN100" i="10"/>
  <c r="AQ100" i="10"/>
  <c r="BN99" i="10"/>
  <c r="AQ99" i="10"/>
  <c r="BN98" i="10"/>
  <c r="AQ98" i="10"/>
  <c r="BN97" i="10"/>
  <c r="AQ97" i="10"/>
  <c r="BN96" i="10"/>
  <c r="AQ96" i="10"/>
  <c r="BN95" i="10"/>
  <c r="AQ95" i="10"/>
  <c r="BN94" i="10"/>
  <c r="AQ94" i="10"/>
  <c r="BN93" i="10"/>
  <c r="AQ93" i="10"/>
  <c r="BN92" i="10"/>
  <c r="AQ92" i="10"/>
  <c r="BN91" i="10"/>
  <c r="AQ91" i="10"/>
  <c r="BN90" i="10"/>
  <c r="AQ90" i="10"/>
  <c r="BN89" i="10"/>
  <c r="AQ89" i="10"/>
  <c r="BN88" i="10"/>
  <c r="AQ88" i="10"/>
  <c r="BN87" i="10"/>
  <c r="AQ87" i="10"/>
  <c r="BN77" i="10"/>
  <c r="AQ77" i="10"/>
  <c r="BN76" i="10"/>
  <c r="AQ76" i="10"/>
  <c r="BN75" i="10"/>
  <c r="AQ75" i="10"/>
  <c r="BN74" i="10"/>
  <c r="AQ74" i="10"/>
  <c r="BN73" i="10"/>
  <c r="AQ73" i="10"/>
  <c r="BN72" i="10"/>
  <c r="AQ72" i="10"/>
  <c r="BN71" i="10"/>
  <c r="AQ71" i="10"/>
  <c r="BN70" i="10"/>
  <c r="AQ70" i="10"/>
  <c r="BN69" i="10"/>
  <c r="AQ69" i="10"/>
  <c r="BN68" i="10"/>
  <c r="AQ68" i="10"/>
  <c r="BN67" i="10"/>
  <c r="AQ67" i="10"/>
  <c r="BN66" i="10"/>
  <c r="AQ66" i="10"/>
  <c r="BN65" i="10"/>
  <c r="AQ65" i="10"/>
  <c r="BN64" i="10"/>
  <c r="AQ64" i="10"/>
  <c r="BN63" i="10"/>
  <c r="AQ63" i="10"/>
  <c r="G24" i="5"/>
  <c r="J24" i="5"/>
  <c r="M31" i="10"/>
  <c r="E24" i="5"/>
  <c r="H24" i="5"/>
  <c r="K31" i="10" s="1"/>
  <c r="G22" i="5"/>
  <c r="J22" i="5" s="1"/>
  <c r="G31" i="10" s="1"/>
  <c r="D26" i="15"/>
  <c r="C36" i="15" s="1"/>
  <c r="C35" i="15"/>
  <c r="E26" i="15"/>
  <c r="D36" i="15" s="1"/>
  <c r="D35" i="15"/>
  <c r="E35" i="15"/>
  <c r="Q31" i="10" s="1"/>
  <c r="C37" i="15"/>
  <c r="D37" i="15"/>
  <c r="E37" i="15"/>
  <c r="S31" i="10" s="1"/>
  <c r="F22" i="5"/>
  <c r="I22" i="5" s="1"/>
  <c r="F31" i="10"/>
  <c r="G23" i="5"/>
  <c r="J23" i="5"/>
  <c r="J31" i="10"/>
  <c r="F23" i="5"/>
  <c r="I23" i="5" s="1"/>
  <c r="I31" i="10"/>
  <c r="E23" i="5"/>
  <c r="H23" i="5"/>
  <c r="H31" i="10" s="1"/>
  <c r="E22" i="5"/>
  <c r="H22" i="5"/>
  <c r="E31" i="10"/>
  <c r="D35" i="5"/>
  <c r="D36" i="5"/>
  <c r="D37" i="5"/>
  <c r="N37" i="5" s="1"/>
  <c r="D38" i="5"/>
  <c r="O38" i="5" s="1"/>
  <c r="D39" i="5"/>
  <c r="N39" i="5" s="1"/>
  <c r="D40" i="5"/>
  <c r="O40" i="5" s="1"/>
  <c r="D41" i="5"/>
  <c r="N41" i="5" s="1"/>
  <c r="D42" i="5"/>
  <c r="AD42" i="5" s="1"/>
  <c r="AB46" i="10" s="1"/>
  <c r="D43" i="5"/>
  <c r="D44" i="5"/>
  <c r="D45" i="5"/>
  <c r="N45" i="5" s="1"/>
  <c r="D46" i="5"/>
  <c r="O46" i="5" s="1"/>
  <c r="D47" i="5"/>
  <c r="N47" i="5" s="1"/>
  <c r="D48" i="5"/>
  <c r="O48" i="5" s="1"/>
  <c r="D49" i="5"/>
  <c r="N49" i="5" s="1"/>
  <c r="N205" i="5"/>
  <c r="D59" i="5"/>
  <c r="D60" i="5"/>
  <c r="D61" i="5"/>
  <c r="D62" i="5"/>
  <c r="D63" i="5"/>
  <c r="D64" i="5"/>
  <c r="D65" i="5"/>
  <c r="D66" i="5"/>
  <c r="D67" i="5"/>
  <c r="D68" i="5"/>
  <c r="D69" i="5"/>
  <c r="D70" i="5"/>
  <c r="D71" i="5"/>
  <c r="D72" i="5"/>
  <c r="D73" i="5"/>
  <c r="D83" i="5"/>
  <c r="D84" i="5"/>
  <c r="D85" i="5"/>
  <c r="D86" i="5"/>
  <c r="D87" i="5"/>
  <c r="D88" i="5"/>
  <c r="D89" i="5"/>
  <c r="D90" i="5"/>
  <c r="D91" i="5"/>
  <c r="D92" i="5"/>
  <c r="D93" i="5"/>
  <c r="D94" i="5"/>
  <c r="D95" i="5"/>
  <c r="D96" i="5"/>
  <c r="D97" i="5"/>
  <c r="D107" i="5"/>
  <c r="D108" i="5"/>
  <c r="D109" i="5"/>
  <c r="D110" i="5"/>
  <c r="D111" i="5"/>
  <c r="D112" i="5"/>
  <c r="D113" i="5"/>
  <c r="D114" i="5"/>
  <c r="D115" i="5"/>
  <c r="D116" i="5"/>
  <c r="D117" i="5"/>
  <c r="D118" i="5"/>
  <c r="D119" i="5"/>
  <c r="D120" i="5"/>
  <c r="D121" i="5"/>
  <c r="D131" i="5"/>
  <c r="D132" i="5"/>
  <c r="D133" i="5"/>
  <c r="D134" i="5"/>
  <c r="D135" i="5"/>
  <c r="D136" i="5"/>
  <c r="D137" i="5"/>
  <c r="D138" i="5"/>
  <c r="D139" i="5"/>
  <c r="D140" i="5"/>
  <c r="D141" i="5"/>
  <c r="D142" i="5"/>
  <c r="D143" i="5"/>
  <c r="D144" i="5"/>
  <c r="D145" i="5"/>
  <c r="E35" i="5"/>
  <c r="AH35" i="5" s="1"/>
  <c r="AF39" i="10" s="1"/>
  <c r="E36" i="5"/>
  <c r="R36" i="5" s="1"/>
  <c r="E37" i="5"/>
  <c r="E38" i="5"/>
  <c r="Q38" i="5" s="1"/>
  <c r="E39" i="5"/>
  <c r="E40" i="5"/>
  <c r="E41" i="5"/>
  <c r="E42" i="5"/>
  <c r="R42" i="5" s="1"/>
  <c r="E43" i="5"/>
  <c r="E44" i="5"/>
  <c r="AH44" i="5" s="1"/>
  <c r="AF48" i="10" s="1"/>
  <c r="E45" i="5"/>
  <c r="E46" i="5"/>
  <c r="Q46" i="5" s="1"/>
  <c r="E47" i="5"/>
  <c r="E48" i="5"/>
  <c r="E49" i="5"/>
  <c r="F35" i="5"/>
  <c r="F36" i="5"/>
  <c r="F37" i="5"/>
  <c r="F38" i="5"/>
  <c r="F39" i="5"/>
  <c r="F40" i="5"/>
  <c r="F41" i="5"/>
  <c r="F42" i="5"/>
  <c r="F43" i="5"/>
  <c r="F44" i="5"/>
  <c r="F45" i="5"/>
  <c r="F46" i="5"/>
  <c r="F47" i="5"/>
  <c r="F48" i="5"/>
  <c r="F49" i="5"/>
  <c r="E59" i="5"/>
  <c r="E60" i="5"/>
  <c r="E61" i="5"/>
  <c r="E62" i="5"/>
  <c r="E63" i="5"/>
  <c r="E64" i="5"/>
  <c r="E65" i="5"/>
  <c r="E66" i="5"/>
  <c r="E67" i="5"/>
  <c r="E68" i="5"/>
  <c r="E69" i="5"/>
  <c r="E70" i="5"/>
  <c r="E71" i="5"/>
  <c r="E72" i="5"/>
  <c r="E73" i="5"/>
  <c r="F59" i="5"/>
  <c r="F60" i="5"/>
  <c r="F61" i="5"/>
  <c r="F62" i="5"/>
  <c r="F63" i="5"/>
  <c r="F64" i="5"/>
  <c r="F65" i="5"/>
  <c r="F66" i="5"/>
  <c r="F67" i="5"/>
  <c r="F68" i="5"/>
  <c r="F69" i="5"/>
  <c r="F70" i="5"/>
  <c r="F71" i="5"/>
  <c r="F72" i="5"/>
  <c r="F73" i="5"/>
  <c r="E83" i="5"/>
  <c r="E84" i="5"/>
  <c r="E85" i="5"/>
  <c r="E86" i="5"/>
  <c r="E87" i="5"/>
  <c r="E88" i="5"/>
  <c r="E89" i="5"/>
  <c r="E90" i="5"/>
  <c r="E91" i="5"/>
  <c r="E92" i="5"/>
  <c r="E93" i="5"/>
  <c r="E94" i="5"/>
  <c r="E95" i="5"/>
  <c r="E96" i="5"/>
  <c r="E97" i="5"/>
  <c r="F83" i="5"/>
  <c r="F84" i="5"/>
  <c r="F85" i="5"/>
  <c r="F86" i="5"/>
  <c r="AI86" i="5" s="1"/>
  <c r="F87" i="5"/>
  <c r="F88" i="5"/>
  <c r="F89" i="5"/>
  <c r="F90" i="5"/>
  <c r="F91" i="5"/>
  <c r="F92" i="5"/>
  <c r="F93" i="5"/>
  <c r="F94" i="5"/>
  <c r="S94" i="5" s="1"/>
  <c r="F95" i="5"/>
  <c r="F96" i="5"/>
  <c r="F97" i="5"/>
  <c r="E107" i="5"/>
  <c r="E108" i="5"/>
  <c r="E109" i="5"/>
  <c r="E110" i="5"/>
  <c r="E111" i="5"/>
  <c r="E112" i="5"/>
  <c r="E113" i="5"/>
  <c r="E114" i="5"/>
  <c r="E115" i="5"/>
  <c r="E116" i="5"/>
  <c r="E117" i="5"/>
  <c r="E118" i="5"/>
  <c r="E119" i="5"/>
  <c r="E120" i="5"/>
  <c r="E121" i="5"/>
  <c r="F107" i="5"/>
  <c r="F108" i="5"/>
  <c r="F109" i="5"/>
  <c r="F110" i="5"/>
  <c r="F111" i="5"/>
  <c r="U111" i="5" s="1"/>
  <c r="F112" i="5"/>
  <c r="AK112" i="5" s="1"/>
  <c r="F113" i="5"/>
  <c r="F114" i="5"/>
  <c r="F115" i="5"/>
  <c r="F116" i="5"/>
  <c r="F117" i="5"/>
  <c r="F118" i="5"/>
  <c r="F119" i="5"/>
  <c r="U119" i="5" s="1"/>
  <c r="F120" i="5"/>
  <c r="AK120" i="5" s="1"/>
  <c r="F121" i="5"/>
  <c r="E131" i="5"/>
  <c r="E132" i="5"/>
  <c r="E133" i="5"/>
  <c r="E134" i="5"/>
  <c r="E135" i="5"/>
  <c r="E136" i="5"/>
  <c r="E137" i="5"/>
  <c r="E138" i="5"/>
  <c r="E139" i="5"/>
  <c r="E140" i="5"/>
  <c r="E141" i="5"/>
  <c r="E142" i="5"/>
  <c r="E143" i="5"/>
  <c r="E144" i="5"/>
  <c r="E145" i="5"/>
  <c r="F131" i="5"/>
  <c r="F132" i="5"/>
  <c r="F133" i="5"/>
  <c r="F134" i="5"/>
  <c r="F135" i="5"/>
  <c r="F136" i="5"/>
  <c r="AJ136" i="5" s="1"/>
  <c r="AV136" i="5" s="1"/>
  <c r="F137" i="5"/>
  <c r="AJ137" i="5" s="1"/>
  <c r="F138" i="5"/>
  <c r="S138" i="5" s="1"/>
  <c r="F139" i="5"/>
  <c r="F140" i="5"/>
  <c r="F141" i="5"/>
  <c r="F142" i="5"/>
  <c r="F143" i="5"/>
  <c r="F144" i="5"/>
  <c r="T144" i="5" s="1"/>
  <c r="F145" i="5"/>
  <c r="AJ145" i="5" s="1"/>
  <c r="C35" i="5"/>
  <c r="C36" i="5"/>
  <c r="C37" i="5"/>
  <c r="AA37" i="5" s="1"/>
  <c r="Y41" i="10" s="1"/>
  <c r="C38" i="5"/>
  <c r="C39" i="5"/>
  <c r="K39" i="5" s="1"/>
  <c r="C40" i="5"/>
  <c r="C41" i="5"/>
  <c r="C42" i="5"/>
  <c r="C43" i="5"/>
  <c r="C44" i="5"/>
  <c r="C45" i="5"/>
  <c r="J45" i="5" s="1"/>
  <c r="C46" i="5"/>
  <c r="J46" i="5" s="1"/>
  <c r="C47" i="5"/>
  <c r="K47" i="5" s="1"/>
  <c r="C48" i="5"/>
  <c r="C49" i="5"/>
  <c r="C59" i="5"/>
  <c r="C60" i="5"/>
  <c r="C61" i="5"/>
  <c r="C62" i="5"/>
  <c r="C63" i="5"/>
  <c r="C64" i="5"/>
  <c r="C65" i="5"/>
  <c r="C66" i="5"/>
  <c r="C67" i="5"/>
  <c r="C68" i="5"/>
  <c r="C69" i="5"/>
  <c r="C70" i="5"/>
  <c r="C71" i="5"/>
  <c r="C72" i="5"/>
  <c r="C73" i="5"/>
  <c r="C83" i="5"/>
  <c r="C84" i="5"/>
  <c r="C85" i="5"/>
  <c r="C86" i="5"/>
  <c r="C87" i="5"/>
  <c r="C88" i="5"/>
  <c r="C89" i="5"/>
  <c r="C90" i="5"/>
  <c r="C91" i="5"/>
  <c r="C92" i="5"/>
  <c r="C93" i="5"/>
  <c r="C94" i="5"/>
  <c r="C95" i="5"/>
  <c r="C96" i="5"/>
  <c r="C97" i="5"/>
  <c r="C107" i="5"/>
  <c r="C108" i="5"/>
  <c r="C109" i="5"/>
  <c r="C110" i="5"/>
  <c r="C111" i="5"/>
  <c r="C112" i="5"/>
  <c r="C113" i="5"/>
  <c r="C114" i="5"/>
  <c r="C115" i="5"/>
  <c r="C116" i="5"/>
  <c r="C117" i="5"/>
  <c r="C118" i="5"/>
  <c r="C119" i="5"/>
  <c r="C120" i="5"/>
  <c r="C121" i="5"/>
  <c r="C131" i="5"/>
  <c r="C132" i="5"/>
  <c r="C133" i="5"/>
  <c r="C134" i="5"/>
  <c r="C135" i="5"/>
  <c r="C136" i="5"/>
  <c r="C137" i="5"/>
  <c r="C138" i="5"/>
  <c r="C139" i="5"/>
  <c r="C140" i="5"/>
  <c r="C141" i="5"/>
  <c r="C142" i="5"/>
  <c r="C143" i="5"/>
  <c r="C144" i="5"/>
  <c r="C145" i="5"/>
  <c r="AK145" i="5"/>
  <c r="T145" i="5"/>
  <c r="U144" i="5"/>
  <c r="AK144" i="5"/>
  <c r="AW144" i="5"/>
  <c r="S144" i="5"/>
  <c r="AI144" i="5"/>
  <c r="AU144" i="5"/>
  <c r="U143" i="5"/>
  <c r="AW143" i="5" s="1"/>
  <c r="AK143" i="5"/>
  <c r="T143" i="5"/>
  <c r="AJ143" i="5"/>
  <c r="AV143" i="5"/>
  <c r="S143" i="5"/>
  <c r="AI143" i="5"/>
  <c r="AU143" i="5"/>
  <c r="U142" i="5"/>
  <c r="AW142" i="5" s="1"/>
  <c r="AK142" i="5"/>
  <c r="T142" i="5"/>
  <c r="AJ142" i="5"/>
  <c r="AV142" i="5"/>
  <c r="S142" i="5"/>
  <c r="AI142" i="5"/>
  <c r="AU142" i="5"/>
  <c r="U141" i="5"/>
  <c r="AK141" i="5"/>
  <c r="AW141" i="5"/>
  <c r="T141" i="5"/>
  <c r="AJ141" i="5"/>
  <c r="AV141" i="5"/>
  <c r="S141" i="5"/>
  <c r="AU141" i="5" s="1"/>
  <c r="AI141" i="5"/>
  <c r="U140" i="5"/>
  <c r="AK140" i="5"/>
  <c r="AW140" i="5"/>
  <c r="T140" i="5"/>
  <c r="AJ140" i="5"/>
  <c r="AV140" i="5"/>
  <c r="S140" i="5"/>
  <c r="AU140" i="5" s="1"/>
  <c r="AI140" i="5"/>
  <c r="U139" i="5"/>
  <c r="AK139" i="5"/>
  <c r="AW139" i="5"/>
  <c r="T139" i="5"/>
  <c r="AJ139" i="5"/>
  <c r="AV139" i="5"/>
  <c r="S139" i="5"/>
  <c r="AI139" i="5"/>
  <c r="AU139" i="5"/>
  <c r="T138" i="5"/>
  <c r="AV138" i="5" s="1"/>
  <c r="AJ138" i="5"/>
  <c r="AK137" i="5"/>
  <c r="T137" i="5"/>
  <c r="AV137" i="5" s="1"/>
  <c r="U136" i="5"/>
  <c r="AK136" i="5"/>
  <c r="AW136" i="5"/>
  <c r="T136" i="5"/>
  <c r="S136" i="5"/>
  <c r="AI136" i="5"/>
  <c r="AU136" i="5"/>
  <c r="U135" i="5"/>
  <c r="AW135" i="5" s="1"/>
  <c r="AK135" i="5"/>
  <c r="T135" i="5"/>
  <c r="AJ135" i="5"/>
  <c r="AV135" i="5"/>
  <c r="S135" i="5"/>
  <c r="AI135" i="5"/>
  <c r="AU135" i="5"/>
  <c r="U134" i="5"/>
  <c r="AW134" i="5" s="1"/>
  <c r="AK134" i="5"/>
  <c r="T134" i="5"/>
  <c r="AJ134" i="5"/>
  <c r="AV134" i="5"/>
  <c r="S134" i="5"/>
  <c r="AI134" i="5"/>
  <c r="AU134" i="5"/>
  <c r="U133" i="5"/>
  <c r="AK133" i="5"/>
  <c r="AW133" i="5"/>
  <c r="T133" i="5"/>
  <c r="AJ133" i="5"/>
  <c r="AV133" i="5"/>
  <c r="S133" i="5"/>
  <c r="AU133" i="5" s="1"/>
  <c r="AI133" i="5"/>
  <c r="U132" i="5"/>
  <c r="AK132" i="5"/>
  <c r="AW132" i="5"/>
  <c r="T132" i="5"/>
  <c r="AJ132" i="5"/>
  <c r="AV132" i="5"/>
  <c r="S132" i="5"/>
  <c r="AU132" i="5" s="1"/>
  <c r="AI132" i="5"/>
  <c r="U131" i="5"/>
  <c r="AK131" i="5"/>
  <c r="AW131" i="5" s="1"/>
  <c r="T131" i="5"/>
  <c r="AJ131" i="5"/>
  <c r="AV131" i="5"/>
  <c r="S131" i="5"/>
  <c r="AI131" i="5"/>
  <c r="AU131" i="5"/>
  <c r="F130" i="5"/>
  <c r="T130" i="5" s="1"/>
  <c r="I130" i="5"/>
  <c r="U130" i="5"/>
  <c r="AK130" i="5"/>
  <c r="AW130" i="5"/>
  <c r="H130" i="5"/>
  <c r="G130" i="5"/>
  <c r="S130" i="5"/>
  <c r="AI130" i="5"/>
  <c r="AU130" i="5"/>
  <c r="E130" i="5"/>
  <c r="R130" i="5" s="1"/>
  <c r="AT130" i="5" s="1"/>
  <c r="AH130" i="5"/>
  <c r="Q130" i="5"/>
  <c r="AG130" i="5"/>
  <c r="AS130" i="5"/>
  <c r="P130" i="5"/>
  <c r="AR130" i="5" s="1"/>
  <c r="AF130" i="5"/>
  <c r="D130" i="5"/>
  <c r="M130" i="5" s="1"/>
  <c r="AO130" i="5" s="1"/>
  <c r="O130" i="5"/>
  <c r="AE130" i="5"/>
  <c r="AQ130" i="5"/>
  <c r="N130" i="5"/>
  <c r="AP130" i="5" s="1"/>
  <c r="AD130" i="5"/>
  <c r="AC130" i="5"/>
  <c r="C130" i="5"/>
  <c r="K130" i="5" s="1"/>
  <c r="L130" i="5"/>
  <c r="AB130" i="5"/>
  <c r="AN130" i="5"/>
  <c r="J130" i="5"/>
  <c r="Z130" i="5"/>
  <c r="AL130" i="5"/>
  <c r="U121" i="5"/>
  <c r="AW121" i="5" s="1"/>
  <c r="AK121" i="5"/>
  <c r="T121" i="5"/>
  <c r="AJ121" i="5"/>
  <c r="AV121" i="5"/>
  <c r="S121" i="5"/>
  <c r="AI121" i="5"/>
  <c r="AU121" i="5"/>
  <c r="U120" i="5"/>
  <c r="S120" i="5"/>
  <c r="AI120" i="5"/>
  <c r="AU120" i="5"/>
  <c r="T119" i="5"/>
  <c r="AJ119" i="5"/>
  <c r="AV119" i="5"/>
  <c r="S119" i="5"/>
  <c r="AU119" i="5" s="1"/>
  <c r="AI119" i="5"/>
  <c r="U118" i="5"/>
  <c r="AK118" i="5"/>
  <c r="AW118" i="5"/>
  <c r="T118" i="5"/>
  <c r="AJ118" i="5"/>
  <c r="AV118" i="5"/>
  <c r="S118" i="5"/>
  <c r="AU118" i="5" s="1"/>
  <c r="AI118" i="5"/>
  <c r="U117" i="5"/>
  <c r="AK117" i="5"/>
  <c r="AW117" i="5"/>
  <c r="T117" i="5"/>
  <c r="AJ117" i="5"/>
  <c r="AV117" i="5"/>
  <c r="S117" i="5"/>
  <c r="AU117" i="5" s="1"/>
  <c r="AI117" i="5"/>
  <c r="U116" i="5"/>
  <c r="AK116" i="5"/>
  <c r="AW116" i="5"/>
  <c r="T116" i="5"/>
  <c r="AV116" i="5" s="1"/>
  <c r="AJ116" i="5"/>
  <c r="S116" i="5"/>
  <c r="AI116" i="5"/>
  <c r="AU116" i="5"/>
  <c r="U115" i="5"/>
  <c r="AK115" i="5"/>
  <c r="AW115" i="5"/>
  <c r="T115" i="5"/>
  <c r="AV115" i="5" s="1"/>
  <c r="AJ115" i="5"/>
  <c r="S115" i="5"/>
  <c r="AI115" i="5"/>
  <c r="AU115" i="5" s="1"/>
  <c r="U114" i="5"/>
  <c r="AK114" i="5"/>
  <c r="AW114" i="5"/>
  <c r="T114" i="5"/>
  <c r="AV114" i="5" s="1"/>
  <c r="AJ114" i="5"/>
  <c r="S114" i="5"/>
  <c r="AI114" i="5"/>
  <c r="AU114" i="5"/>
  <c r="U113" i="5"/>
  <c r="AW113" i="5" s="1"/>
  <c r="AK113" i="5"/>
  <c r="T113" i="5"/>
  <c r="AJ113" i="5"/>
  <c r="AV113" i="5"/>
  <c r="S113" i="5"/>
  <c r="AI113" i="5"/>
  <c r="AU113" i="5"/>
  <c r="U112" i="5"/>
  <c r="S112" i="5"/>
  <c r="AI112" i="5"/>
  <c r="AU112" i="5"/>
  <c r="T111" i="5"/>
  <c r="AJ111" i="5"/>
  <c r="AV111" i="5"/>
  <c r="S111" i="5"/>
  <c r="AU111" i="5" s="1"/>
  <c r="AI111" i="5"/>
  <c r="U110" i="5"/>
  <c r="AK110" i="5"/>
  <c r="AW110" i="5"/>
  <c r="T110" i="5"/>
  <c r="AJ110" i="5"/>
  <c r="AV110" i="5"/>
  <c r="S110" i="5"/>
  <c r="AU110" i="5" s="1"/>
  <c r="AI110" i="5"/>
  <c r="U109" i="5"/>
  <c r="AK109" i="5"/>
  <c r="AW109" i="5" s="1"/>
  <c r="T109" i="5"/>
  <c r="AJ109" i="5"/>
  <c r="AV109" i="5"/>
  <c r="S109" i="5"/>
  <c r="AU109" i="5" s="1"/>
  <c r="AI109" i="5"/>
  <c r="U108" i="5"/>
  <c r="AK108" i="5"/>
  <c r="AW108" i="5"/>
  <c r="T108" i="5"/>
  <c r="AV108" i="5" s="1"/>
  <c r="AJ108" i="5"/>
  <c r="S108" i="5"/>
  <c r="AI108" i="5"/>
  <c r="AU108" i="5"/>
  <c r="U107" i="5"/>
  <c r="AK107" i="5"/>
  <c r="AW107" i="5"/>
  <c r="T107" i="5"/>
  <c r="AV107" i="5" s="1"/>
  <c r="AJ107" i="5"/>
  <c r="S107" i="5"/>
  <c r="AI107" i="5"/>
  <c r="AU107" i="5"/>
  <c r="F106" i="5"/>
  <c r="AK106" i="5" s="1"/>
  <c r="I106" i="5"/>
  <c r="R106" i="5" s="1"/>
  <c r="AT106" i="5" s="1"/>
  <c r="U106" i="5"/>
  <c r="AW106" i="5" s="1"/>
  <c r="H106" i="5"/>
  <c r="G106" i="5"/>
  <c r="M106" i="5" s="1"/>
  <c r="AO106" i="5" s="1"/>
  <c r="S106" i="5"/>
  <c r="E106" i="5"/>
  <c r="P106" i="5" s="1"/>
  <c r="AR106" i="5" s="1"/>
  <c r="AH106" i="5"/>
  <c r="Q106" i="5"/>
  <c r="AS106" i="5" s="1"/>
  <c r="AG106" i="5"/>
  <c r="AF106" i="5"/>
  <c r="D106" i="5"/>
  <c r="N106" i="5" s="1"/>
  <c r="AE106" i="5"/>
  <c r="AC106" i="5"/>
  <c r="C106" i="5"/>
  <c r="AB106" i="5" s="1"/>
  <c r="L106" i="5"/>
  <c r="AN106" i="5" s="1"/>
  <c r="Z106" i="5"/>
  <c r="U97" i="5"/>
  <c r="AW97" i="5" s="1"/>
  <c r="AK97" i="5"/>
  <c r="T97" i="5"/>
  <c r="AJ97" i="5"/>
  <c r="AV97" i="5"/>
  <c r="S97" i="5"/>
  <c r="AU97" i="5" s="1"/>
  <c r="AI97" i="5"/>
  <c r="U96" i="5"/>
  <c r="AK96" i="5"/>
  <c r="AW96" i="5"/>
  <c r="T96" i="5"/>
  <c r="AJ96" i="5"/>
  <c r="AV96" i="5"/>
  <c r="S96" i="5"/>
  <c r="AU96" i="5" s="1"/>
  <c r="AI96" i="5"/>
  <c r="U95" i="5"/>
  <c r="AK95" i="5"/>
  <c r="AW95" i="5"/>
  <c r="T95" i="5"/>
  <c r="AJ95" i="5"/>
  <c r="AV95" i="5"/>
  <c r="S95" i="5"/>
  <c r="AU95" i="5" s="1"/>
  <c r="AI95" i="5"/>
  <c r="U94" i="5"/>
  <c r="AK94" i="5"/>
  <c r="AW94" i="5"/>
  <c r="T94" i="5"/>
  <c r="AV94" i="5" s="1"/>
  <c r="AJ94" i="5"/>
  <c r="U93" i="5"/>
  <c r="AK93" i="5"/>
  <c r="AW93" i="5"/>
  <c r="T93" i="5"/>
  <c r="AV93" i="5" s="1"/>
  <c r="AJ93" i="5"/>
  <c r="S93" i="5"/>
  <c r="AI93" i="5"/>
  <c r="AU93" i="5" s="1"/>
  <c r="U92" i="5"/>
  <c r="AK92" i="5"/>
  <c r="AW92" i="5"/>
  <c r="T92" i="5"/>
  <c r="AV92" i="5" s="1"/>
  <c r="AJ92" i="5"/>
  <c r="S92" i="5"/>
  <c r="AI92" i="5"/>
  <c r="AU92" i="5"/>
  <c r="U91" i="5"/>
  <c r="AW91" i="5" s="1"/>
  <c r="AK91" i="5"/>
  <c r="T91" i="5"/>
  <c r="AJ91" i="5"/>
  <c r="AV91" i="5"/>
  <c r="S91" i="5"/>
  <c r="AI91" i="5"/>
  <c r="AU91" i="5"/>
  <c r="U90" i="5"/>
  <c r="AW90" i="5" s="1"/>
  <c r="AK90" i="5"/>
  <c r="T90" i="5"/>
  <c r="AJ90" i="5"/>
  <c r="AV90" i="5" s="1"/>
  <c r="S90" i="5"/>
  <c r="AI90" i="5"/>
  <c r="AU90" i="5"/>
  <c r="U89" i="5"/>
  <c r="AW89" i="5" s="1"/>
  <c r="AK89" i="5"/>
  <c r="T89" i="5"/>
  <c r="AJ89" i="5"/>
  <c r="AV89" i="5"/>
  <c r="S89" i="5"/>
  <c r="AU89" i="5" s="1"/>
  <c r="AI89" i="5"/>
  <c r="U88" i="5"/>
  <c r="AK88" i="5"/>
  <c r="AW88" i="5"/>
  <c r="T88" i="5"/>
  <c r="AJ88" i="5"/>
  <c r="AV88" i="5"/>
  <c r="S88" i="5"/>
  <c r="AU88" i="5" s="1"/>
  <c r="AI88" i="5"/>
  <c r="U87" i="5"/>
  <c r="AK87" i="5"/>
  <c r="AW87" i="5" s="1"/>
  <c r="T87" i="5"/>
  <c r="AJ87" i="5"/>
  <c r="AV87" i="5"/>
  <c r="S87" i="5"/>
  <c r="AU87" i="5" s="1"/>
  <c r="AI87" i="5"/>
  <c r="U86" i="5"/>
  <c r="AK86" i="5"/>
  <c r="AW86" i="5"/>
  <c r="T86" i="5"/>
  <c r="AV86" i="5" s="1"/>
  <c r="AJ86" i="5"/>
  <c r="S86" i="5"/>
  <c r="U85" i="5"/>
  <c r="AK85" i="5"/>
  <c r="AW85" i="5" s="1"/>
  <c r="T85" i="5"/>
  <c r="AJ85" i="5"/>
  <c r="AV85" i="5"/>
  <c r="S85" i="5"/>
  <c r="AI85" i="5"/>
  <c r="AU85" i="5"/>
  <c r="U84" i="5"/>
  <c r="AK84" i="5"/>
  <c r="AW84" i="5"/>
  <c r="T84" i="5"/>
  <c r="AV84" i="5" s="1"/>
  <c r="AJ84" i="5"/>
  <c r="S84" i="5"/>
  <c r="AI84" i="5"/>
  <c r="AU84" i="5"/>
  <c r="U83" i="5"/>
  <c r="AW83" i="5" s="1"/>
  <c r="AK83" i="5"/>
  <c r="T83" i="5"/>
  <c r="AV83" i="5" s="1"/>
  <c r="AJ83" i="5"/>
  <c r="S83" i="5"/>
  <c r="AI83" i="5"/>
  <c r="AU83" i="5"/>
  <c r="F82" i="5"/>
  <c r="AK82" i="5" s="1"/>
  <c r="I82" i="5"/>
  <c r="U82" i="5"/>
  <c r="AW82" i="5" s="1"/>
  <c r="H82" i="5"/>
  <c r="G82" i="5"/>
  <c r="S82" i="5"/>
  <c r="E82" i="5"/>
  <c r="Q82" i="5" s="1"/>
  <c r="R82" i="5"/>
  <c r="AH82" i="5"/>
  <c r="AT82" i="5"/>
  <c r="AG82" i="5"/>
  <c r="P82" i="5"/>
  <c r="AF82" i="5"/>
  <c r="AR82" i="5"/>
  <c r="D82" i="5"/>
  <c r="AE82" i="5" s="1"/>
  <c r="O82" i="5"/>
  <c r="AQ82" i="5"/>
  <c r="M82" i="5"/>
  <c r="AC82" i="5"/>
  <c r="AO82" i="5"/>
  <c r="C82" i="5"/>
  <c r="L82" i="5"/>
  <c r="AN82" i="5" s="1"/>
  <c r="AB82" i="5"/>
  <c r="K82" i="5"/>
  <c r="AA82" i="5"/>
  <c r="AM82" i="5" s="1"/>
  <c r="J82" i="5"/>
  <c r="Z82" i="5"/>
  <c r="AL82" i="5"/>
  <c r="U73" i="5"/>
  <c r="AK73" i="5"/>
  <c r="AW73" i="5"/>
  <c r="T73" i="5"/>
  <c r="AJ73" i="5"/>
  <c r="AV73" i="5"/>
  <c r="S73" i="5"/>
  <c r="AI73" i="5"/>
  <c r="AU73" i="5" s="1"/>
  <c r="U72" i="5"/>
  <c r="AK72" i="5"/>
  <c r="AW72" i="5"/>
  <c r="T72" i="5"/>
  <c r="AV72" i="5" s="1"/>
  <c r="AJ72" i="5"/>
  <c r="S72" i="5"/>
  <c r="AU72" i="5" s="1"/>
  <c r="AI72" i="5"/>
  <c r="U71" i="5"/>
  <c r="AK71" i="5"/>
  <c r="AW71" i="5" s="1"/>
  <c r="T71" i="5"/>
  <c r="AJ71" i="5"/>
  <c r="AV71" i="5"/>
  <c r="S71" i="5"/>
  <c r="AI71" i="5"/>
  <c r="AU71" i="5"/>
  <c r="U70" i="5"/>
  <c r="AK70" i="5"/>
  <c r="AW70" i="5"/>
  <c r="T70" i="5"/>
  <c r="AJ70" i="5"/>
  <c r="AV70" i="5" s="1"/>
  <c r="S70" i="5"/>
  <c r="AI70" i="5"/>
  <c r="AU70" i="5"/>
  <c r="U69" i="5"/>
  <c r="AW69" i="5" s="1"/>
  <c r="AK69" i="5"/>
  <c r="T69" i="5"/>
  <c r="AV69" i="5" s="1"/>
  <c r="AJ69" i="5"/>
  <c r="S69" i="5"/>
  <c r="AI69" i="5"/>
  <c r="AU69" i="5" s="1"/>
  <c r="U68" i="5"/>
  <c r="AK68" i="5"/>
  <c r="AW68" i="5"/>
  <c r="T68" i="5"/>
  <c r="AJ68" i="5"/>
  <c r="AV68" i="5"/>
  <c r="S68" i="5"/>
  <c r="AI68" i="5"/>
  <c r="AU68" i="5"/>
  <c r="U67" i="5"/>
  <c r="AK67" i="5"/>
  <c r="AW67" i="5" s="1"/>
  <c r="T67" i="5"/>
  <c r="AJ67" i="5"/>
  <c r="AV67" i="5"/>
  <c r="S67" i="5"/>
  <c r="AU67" i="5" s="1"/>
  <c r="AI67" i="5"/>
  <c r="U66" i="5"/>
  <c r="AW66" i="5" s="1"/>
  <c r="AK66" i="5"/>
  <c r="T66" i="5"/>
  <c r="AJ66" i="5"/>
  <c r="AV66" i="5" s="1"/>
  <c r="S66" i="5"/>
  <c r="AI66" i="5"/>
  <c r="AU66" i="5"/>
  <c r="U65" i="5"/>
  <c r="AK65" i="5"/>
  <c r="AW65" i="5"/>
  <c r="T65" i="5"/>
  <c r="AJ65" i="5"/>
  <c r="AV65" i="5"/>
  <c r="S65" i="5"/>
  <c r="AI65" i="5"/>
  <c r="AU65" i="5" s="1"/>
  <c r="U64" i="5"/>
  <c r="AK64" i="5"/>
  <c r="AW64" i="5"/>
  <c r="T64" i="5"/>
  <c r="AV64" i="5" s="1"/>
  <c r="AJ64" i="5"/>
  <c r="S64" i="5"/>
  <c r="AU64" i="5" s="1"/>
  <c r="AI64" i="5"/>
  <c r="U63" i="5"/>
  <c r="AK63" i="5"/>
  <c r="AW63" i="5"/>
  <c r="T63" i="5"/>
  <c r="AJ63" i="5"/>
  <c r="AV63" i="5"/>
  <c r="S63" i="5"/>
  <c r="AI63" i="5"/>
  <c r="AU63" i="5"/>
  <c r="U62" i="5"/>
  <c r="AK62" i="5"/>
  <c r="AW62" i="5"/>
  <c r="T62" i="5"/>
  <c r="AJ62" i="5"/>
  <c r="AV62" i="5" s="1"/>
  <c r="S62" i="5"/>
  <c r="AI62" i="5"/>
  <c r="AU62" i="5"/>
  <c r="U61" i="5"/>
  <c r="AW61" i="5" s="1"/>
  <c r="AK61" i="5"/>
  <c r="T61" i="5"/>
  <c r="AV61" i="5" s="1"/>
  <c r="AJ61" i="5"/>
  <c r="S61" i="5"/>
  <c r="AI61" i="5"/>
  <c r="AU61" i="5" s="1"/>
  <c r="U60" i="5"/>
  <c r="AK60" i="5"/>
  <c r="AW60" i="5"/>
  <c r="T60" i="5"/>
  <c r="AJ60" i="5"/>
  <c r="AV60" i="5" s="1"/>
  <c r="S60" i="5"/>
  <c r="AI60" i="5"/>
  <c r="AU60" i="5"/>
  <c r="U59" i="5"/>
  <c r="AK59" i="5"/>
  <c r="AW59" i="5" s="1"/>
  <c r="T59" i="5"/>
  <c r="AJ59" i="5"/>
  <c r="AV59" i="5"/>
  <c r="S59" i="5"/>
  <c r="AU59" i="5" s="1"/>
  <c r="AI59" i="5"/>
  <c r="F58" i="5"/>
  <c r="I58" i="5"/>
  <c r="H58" i="5"/>
  <c r="N58" i="5" s="1"/>
  <c r="AP58" i="5" s="1"/>
  <c r="G58" i="5"/>
  <c r="E58" i="5"/>
  <c r="AH58" i="5" s="1"/>
  <c r="R58" i="5"/>
  <c r="AT58" i="5"/>
  <c r="P58" i="5"/>
  <c r="AF58" i="5"/>
  <c r="AR58" i="5"/>
  <c r="D58" i="5"/>
  <c r="O58" i="5"/>
  <c r="AQ58" i="5" s="1"/>
  <c r="AE58" i="5"/>
  <c r="AD58" i="5"/>
  <c r="M58" i="5"/>
  <c r="AC58" i="5"/>
  <c r="AO58" i="5"/>
  <c r="C58" i="5"/>
  <c r="L58" i="5"/>
  <c r="AB58" i="5"/>
  <c r="AN58" i="5"/>
  <c r="K58" i="5"/>
  <c r="AM58" i="5" s="1"/>
  <c r="AA58" i="5"/>
  <c r="J58" i="5"/>
  <c r="AL58" i="5" s="1"/>
  <c r="Z58" i="5"/>
  <c r="F34" i="5"/>
  <c r="AJ34" i="5" s="1"/>
  <c r="AV34" i="5" s="1"/>
  <c r="I34" i="5"/>
  <c r="R34" i="5" s="1"/>
  <c r="AT34" i="5" s="1"/>
  <c r="U34" i="5"/>
  <c r="AW34" i="5" s="1"/>
  <c r="AK34" i="5"/>
  <c r="U35" i="5"/>
  <c r="AW35" i="5" s="1"/>
  <c r="AK35" i="5"/>
  <c r="U36" i="5"/>
  <c r="AK36" i="5"/>
  <c r="AW36" i="5"/>
  <c r="U37" i="5"/>
  <c r="AK37" i="5"/>
  <c r="AW37" i="5"/>
  <c r="U38" i="5"/>
  <c r="AK38" i="5"/>
  <c r="AW38" i="5" s="1"/>
  <c r="U39" i="5"/>
  <c r="AK39" i="5"/>
  <c r="AW39" i="5"/>
  <c r="U40" i="5"/>
  <c r="AK40" i="5"/>
  <c r="U41" i="5"/>
  <c r="AK41" i="5"/>
  <c r="AW41" i="5"/>
  <c r="U42" i="5"/>
  <c r="AW42" i="5" s="1"/>
  <c r="AK42" i="5"/>
  <c r="U43" i="5"/>
  <c r="AW43" i="5" s="1"/>
  <c r="AK43" i="5"/>
  <c r="U44" i="5"/>
  <c r="AK44" i="5"/>
  <c r="AW44" i="5"/>
  <c r="U45" i="5"/>
  <c r="AK45" i="5"/>
  <c r="AW45" i="5"/>
  <c r="U46" i="5"/>
  <c r="U47" i="5"/>
  <c r="U48" i="5"/>
  <c r="U49" i="5"/>
  <c r="H34" i="5"/>
  <c r="T34" i="5"/>
  <c r="T35" i="5"/>
  <c r="AJ35" i="5"/>
  <c r="AV35" i="5"/>
  <c r="T36" i="5"/>
  <c r="AJ36" i="5"/>
  <c r="AV36" i="5"/>
  <c r="T37" i="5"/>
  <c r="AJ37" i="5"/>
  <c r="T38" i="5"/>
  <c r="AJ38" i="5"/>
  <c r="AV38" i="5"/>
  <c r="T39" i="5"/>
  <c r="AV39" i="5" s="1"/>
  <c r="AJ39" i="5"/>
  <c r="T40" i="5"/>
  <c r="AV40" i="5" s="1"/>
  <c r="AJ40" i="5"/>
  <c r="T41" i="5"/>
  <c r="AJ41" i="5"/>
  <c r="AV41" i="5" s="1"/>
  <c r="T42" i="5"/>
  <c r="AJ42" i="5"/>
  <c r="AV42" i="5"/>
  <c r="T43" i="5"/>
  <c r="AJ43" i="5"/>
  <c r="AV43" i="5" s="1"/>
  <c r="T44" i="5"/>
  <c r="AJ44" i="5"/>
  <c r="AV44" i="5"/>
  <c r="T45" i="5"/>
  <c r="AJ45" i="5"/>
  <c r="AV45" i="5" s="1"/>
  <c r="T46" i="5"/>
  <c r="AJ46" i="5"/>
  <c r="AV46" i="5"/>
  <c r="T47" i="5"/>
  <c r="AV47" i="5" s="1"/>
  <c r="AJ47" i="5"/>
  <c r="T48" i="5"/>
  <c r="AV48" i="5" s="1"/>
  <c r="AJ48" i="5"/>
  <c r="T49" i="5"/>
  <c r="AJ49" i="5"/>
  <c r="AV49" i="5" s="1"/>
  <c r="G34" i="5"/>
  <c r="AI34" i="5"/>
  <c r="E34" i="5"/>
  <c r="AG34" i="5" s="1"/>
  <c r="AH34" i="5"/>
  <c r="Q34" i="5"/>
  <c r="AS34" i="5"/>
  <c r="AF34" i="5"/>
  <c r="D34" i="5"/>
  <c r="AD34" i="5" s="1"/>
  <c r="O34" i="5"/>
  <c r="AQ34" i="5" s="1"/>
  <c r="AE34" i="5"/>
  <c r="N34" i="5"/>
  <c r="AC34" i="5"/>
  <c r="C34" i="5"/>
  <c r="L34" i="5" s="1"/>
  <c r="AB34" i="5"/>
  <c r="Z34" i="5"/>
  <c r="S35" i="5"/>
  <c r="AU35" i="5" s="1"/>
  <c r="S36" i="5"/>
  <c r="S37" i="5"/>
  <c r="S38" i="5"/>
  <c r="S39" i="5"/>
  <c r="S40" i="5"/>
  <c r="S41" i="5"/>
  <c r="S42" i="5"/>
  <c r="S43" i="5"/>
  <c r="S44" i="5"/>
  <c r="S45" i="5"/>
  <c r="S46" i="5"/>
  <c r="S47" i="5"/>
  <c r="S48" i="5"/>
  <c r="S49" i="5"/>
  <c r="E25" i="5"/>
  <c r="H25" i="5"/>
  <c r="G25" i="5"/>
  <c r="J25" i="5"/>
  <c r="C42" i="21"/>
  <c r="C43" i="21"/>
  <c r="C44" i="21"/>
  <c r="C45" i="21"/>
  <c r="C46" i="21"/>
  <c r="C47" i="21"/>
  <c r="C48" i="21"/>
  <c r="C49" i="21"/>
  <c r="C50" i="21"/>
  <c r="C51" i="21"/>
  <c r="C52" i="21"/>
  <c r="C53" i="21"/>
  <c r="C54" i="21"/>
  <c r="C55" i="21"/>
  <c r="C56" i="21"/>
  <c r="C57" i="21"/>
  <c r="C58" i="21"/>
  <c r="C59" i="21"/>
  <c r="W135" i="10"/>
  <c r="W136" i="10"/>
  <c r="W137" i="10"/>
  <c r="W138" i="10"/>
  <c r="W139" i="10"/>
  <c r="W140" i="10"/>
  <c r="W141" i="10"/>
  <c r="W142" i="10"/>
  <c r="W143" i="10"/>
  <c r="W144" i="10"/>
  <c r="W145" i="10"/>
  <c r="W146" i="10"/>
  <c r="W147" i="10"/>
  <c r="W148" i="10"/>
  <c r="W149" i="10"/>
  <c r="F24" i="5"/>
  <c r="I24" i="5"/>
  <c r="L31" i="10"/>
  <c r="W111" i="10"/>
  <c r="W112" i="10"/>
  <c r="W113" i="10"/>
  <c r="W114" i="10"/>
  <c r="W115" i="10"/>
  <c r="W116" i="10"/>
  <c r="W117" i="10"/>
  <c r="W118" i="10"/>
  <c r="W119" i="10"/>
  <c r="W120" i="10"/>
  <c r="W121" i="10"/>
  <c r="W122" i="10"/>
  <c r="W123" i="10"/>
  <c r="W124" i="10"/>
  <c r="W125" i="10"/>
  <c r="W87" i="10"/>
  <c r="W88" i="10"/>
  <c r="W89" i="10"/>
  <c r="W90" i="10"/>
  <c r="W91" i="10"/>
  <c r="W92" i="10"/>
  <c r="W93" i="10"/>
  <c r="W94" i="10"/>
  <c r="W95" i="10"/>
  <c r="W96" i="10"/>
  <c r="W97" i="10"/>
  <c r="W98" i="10"/>
  <c r="W99" i="10"/>
  <c r="W100" i="10"/>
  <c r="W101" i="10"/>
  <c r="W63" i="10"/>
  <c r="W64" i="10"/>
  <c r="W65" i="10"/>
  <c r="W66" i="10"/>
  <c r="W67" i="10"/>
  <c r="W68" i="10"/>
  <c r="W69" i="10"/>
  <c r="W70" i="10"/>
  <c r="W71" i="10"/>
  <c r="W72" i="10"/>
  <c r="W73" i="10"/>
  <c r="W74" i="10"/>
  <c r="W75" i="10"/>
  <c r="W76" i="10"/>
  <c r="W77" i="10"/>
  <c r="W39" i="10"/>
  <c r="W40" i="10"/>
  <c r="W41" i="10"/>
  <c r="W42" i="10"/>
  <c r="W43" i="10"/>
  <c r="W44" i="10"/>
  <c r="W45" i="10"/>
  <c r="W46" i="10"/>
  <c r="W47" i="10"/>
  <c r="W48" i="10"/>
  <c r="W49" i="10"/>
  <c r="W50" i="10"/>
  <c r="W51" i="10"/>
  <c r="W52" i="10"/>
  <c r="W53" i="10"/>
  <c r="C155" i="5"/>
  <c r="U289" i="15"/>
  <c r="C288" i="15"/>
  <c r="G288" i="15"/>
  <c r="I288" i="15" s="1"/>
  <c r="D288" i="15"/>
  <c r="O288" i="15"/>
  <c r="Q288" i="15" s="1"/>
  <c r="U170" i="15"/>
  <c r="C169" i="15"/>
  <c r="O169" i="15" s="1"/>
  <c r="Q169" i="15" s="1"/>
  <c r="S169" i="15" s="1"/>
  <c r="D169" i="15"/>
  <c r="P169" i="15" s="1"/>
  <c r="R169" i="15" s="1"/>
  <c r="H169" i="15"/>
  <c r="J169" i="15" s="1"/>
  <c r="U169" i="15" s="1"/>
  <c r="T51" i="15"/>
  <c r="C50" i="15"/>
  <c r="G50" i="15"/>
  <c r="I50" i="15" s="1"/>
  <c r="D50" i="15"/>
  <c r="H50" i="15"/>
  <c r="J50" i="15"/>
  <c r="O50" i="15"/>
  <c r="Q50" i="15" s="1"/>
  <c r="P50" i="15"/>
  <c r="R50" i="15" s="1"/>
  <c r="U50" i="15" s="1"/>
  <c r="C23" i="18"/>
  <c r="C28" i="18" s="1"/>
  <c r="C29" i="18"/>
  <c r="C192" i="15"/>
  <c r="D192" i="15"/>
  <c r="H192" i="15"/>
  <c r="J192" i="15"/>
  <c r="U192" i="15" s="1"/>
  <c r="N235" i="5"/>
  <c r="N225" i="5"/>
  <c r="N215" i="5"/>
  <c r="D380" i="15"/>
  <c r="P380" i="15"/>
  <c r="R380" i="15"/>
  <c r="H380" i="15"/>
  <c r="J380" i="15" s="1"/>
  <c r="U380" i="15" s="1"/>
  <c r="C380" i="15"/>
  <c r="D357" i="15"/>
  <c r="P357" i="15"/>
  <c r="R357" i="15" s="1"/>
  <c r="H357" i="15"/>
  <c r="C357" i="15"/>
  <c r="G357" i="15" s="1"/>
  <c r="I357" i="15" s="1"/>
  <c r="D334" i="15"/>
  <c r="H334" i="15" s="1"/>
  <c r="J334" i="15" s="1"/>
  <c r="P334" i="15"/>
  <c r="R334" i="15"/>
  <c r="C334" i="15"/>
  <c r="O334" i="15" s="1"/>
  <c r="Q334" i="15" s="1"/>
  <c r="S334" i="15" s="1"/>
  <c r="D311" i="15"/>
  <c r="P311" i="15"/>
  <c r="R311" i="15" s="1"/>
  <c r="H311" i="15"/>
  <c r="C311" i="15"/>
  <c r="G311" i="15" s="1"/>
  <c r="I311" i="15" s="1"/>
  <c r="D261" i="15"/>
  <c r="C261" i="15"/>
  <c r="O357" i="15"/>
  <c r="Q357" i="15" s="1"/>
  <c r="S357" i="15" s="1"/>
  <c r="J357" i="15"/>
  <c r="U357" i="15" s="1"/>
  <c r="J311" i="15"/>
  <c r="U311" i="15" s="1"/>
  <c r="D238" i="15"/>
  <c r="P238" i="15"/>
  <c r="R238" i="15" s="1"/>
  <c r="S238" i="15" s="1"/>
  <c r="C238" i="15"/>
  <c r="O238" i="15"/>
  <c r="Q238" i="15"/>
  <c r="D215" i="15"/>
  <c r="P215" i="15"/>
  <c r="R215" i="15" s="1"/>
  <c r="C215" i="15"/>
  <c r="P192" i="15"/>
  <c r="R192" i="15"/>
  <c r="O311" i="15"/>
  <c r="Q311" i="15" s="1"/>
  <c r="S311" i="15" s="1"/>
  <c r="T395" i="15"/>
  <c r="T394" i="15"/>
  <c r="T393" i="15"/>
  <c r="T392" i="15"/>
  <c r="T391" i="15"/>
  <c r="T390" i="15"/>
  <c r="T389" i="15"/>
  <c r="T388" i="15"/>
  <c r="T387" i="15"/>
  <c r="T386" i="15"/>
  <c r="T385" i="15"/>
  <c r="T384" i="15"/>
  <c r="T383" i="15"/>
  <c r="T382" i="15"/>
  <c r="T359" i="15"/>
  <c r="U340" i="15"/>
  <c r="U339" i="15"/>
  <c r="U338" i="15"/>
  <c r="U335" i="15"/>
  <c r="T313" i="15"/>
  <c r="U312" i="15"/>
  <c r="H238" i="15"/>
  <c r="J238" i="15"/>
  <c r="G238" i="15"/>
  <c r="I238" i="15"/>
  <c r="T238" i="15" s="1"/>
  <c r="H215" i="15"/>
  <c r="J215" i="15"/>
  <c r="T266" i="15"/>
  <c r="T265" i="15"/>
  <c r="T264" i="15"/>
  <c r="T263" i="15"/>
  <c r="T262" i="15"/>
  <c r="T249" i="15"/>
  <c r="T248" i="15"/>
  <c r="T247" i="15"/>
  <c r="T246" i="15"/>
  <c r="T245" i="15"/>
  <c r="T244" i="15"/>
  <c r="T243" i="15"/>
  <c r="T242" i="15"/>
  <c r="T241" i="15"/>
  <c r="U240" i="15"/>
  <c r="U239" i="15"/>
  <c r="T230" i="15"/>
  <c r="T229" i="15"/>
  <c r="T228" i="15"/>
  <c r="T227" i="15"/>
  <c r="T226" i="15"/>
  <c r="T225" i="15"/>
  <c r="T224" i="15"/>
  <c r="T223" i="15"/>
  <c r="T222" i="15"/>
  <c r="U215" i="15"/>
  <c r="U157" i="15"/>
  <c r="U156" i="15"/>
  <c r="U155" i="15"/>
  <c r="U154" i="15"/>
  <c r="U153" i="15"/>
  <c r="U152" i="15"/>
  <c r="U151" i="15"/>
  <c r="U150" i="15"/>
  <c r="U149" i="15"/>
  <c r="U148" i="15"/>
  <c r="U147" i="15"/>
  <c r="U146" i="15"/>
  <c r="U145" i="15"/>
  <c r="U144" i="15"/>
  <c r="T143" i="15"/>
  <c r="C142" i="15"/>
  <c r="G142" i="15"/>
  <c r="I142" i="15" s="1"/>
  <c r="D142" i="15"/>
  <c r="P142" i="15" s="1"/>
  <c r="R142" i="15" s="1"/>
  <c r="H142" i="15"/>
  <c r="J142" i="15"/>
  <c r="U142" i="15" s="1"/>
  <c r="O142" i="15"/>
  <c r="Q142" i="15" s="1"/>
  <c r="S142" i="15" s="1"/>
  <c r="U133" i="15"/>
  <c r="U130" i="15"/>
  <c r="U129" i="15"/>
  <c r="U128" i="15"/>
  <c r="U127" i="15"/>
  <c r="U126" i="15"/>
  <c r="U125" i="15"/>
  <c r="U124" i="15"/>
  <c r="U122" i="15"/>
  <c r="U121" i="15"/>
  <c r="T121" i="15"/>
  <c r="T120" i="15"/>
  <c r="C119" i="15"/>
  <c r="G119" i="15" s="1"/>
  <c r="I119" i="15"/>
  <c r="D119" i="15"/>
  <c r="H119" i="15"/>
  <c r="J119" i="15" s="1"/>
  <c r="U119" i="15" s="1"/>
  <c r="O119" i="15"/>
  <c r="Q119" i="15" s="1"/>
  <c r="S119" i="15" s="1"/>
  <c r="P119" i="15"/>
  <c r="R119" i="15"/>
  <c r="T100" i="15"/>
  <c r="T99" i="15"/>
  <c r="T98" i="15"/>
  <c r="T97" i="15"/>
  <c r="C96" i="15"/>
  <c r="G96" i="15"/>
  <c r="I96" i="15"/>
  <c r="D96" i="15"/>
  <c r="H96" i="15" s="1"/>
  <c r="J96" i="15"/>
  <c r="O96" i="15"/>
  <c r="Q96" i="15" s="1"/>
  <c r="C73" i="15"/>
  <c r="O73" i="15" s="1"/>
  <c r="Q73" i="15" s="1"/>
  <c r="S73" i="15" s="1"/>
  <c r="G73" i="15"/>
  <c r="I73" i="15"/>
  <c r="T73" i="15" s="1"/>
  <c r="D73" i="15"/>
  <c r="P73" i="15" s="1"/>
  <c r="H73" i="15"/>
  <c r="J73" i="15" s="1"/>
  <c r="R73" i="15"/>
  <c r="U74" i="15"/>
  <c r="T74" i="15"/>
  <c r="C38" i="15"/>
  <c r="D38" i="15"/>
  <c r="F25" i="5"/>
  <c r="C239" i="5"/>
  <c r="C238" i="5"/>
  <c r="C237" i="5"/>
  <c r="C236" i="5"/>
  <c r="C235" i="5"/>
  <c r="C209" i="5"/>
  <c r="C208" i="5"/>
  <c r="C207" i="5"/>
  <c r="C206" i="5"/>
  <c r="C205" i="5"/>
  <c r="C229" i="5"/>
  <c r="C228" i="5"/>
  <c r="C227" i="5"/>
  <c r="C226" i="5"/>
  <c r="C225" i="5"/>
  <c r="C199" i="5"/>
  <c r="C198" i="5"/>
  <c r="C197" i="5"/>
  <c r="C196" i="5"/>
  <c r="C195" i="5"/>
  <c r="C219" i="5"/>
  <c r="C218" i="5"/>
  <c r="C217" i="5"/>
  <c r="C216" i="5"/>
  <c r="C215" i="5"/>
  <c r="C189" i="5"/>
  <c r="C188" i="5"/>
  <c r="C187" i="5"/>
  <c r="C186" i="5"/>
  <c r="C185" i="5"/>
  <c r="C179" i="5"/>
  <c r="C178" i="5"/>
  <c r="C177" i="5"/>
  <c r="C176" i="5"/>
  <c r="C175" i="5"/>
  <c r="C169" i="5"/>
  <c r="C168" i="5"/>
  <c r="C167" i="5"/>
  <c r="C166" i="5"/>
  <c r="C165" i="5"/>
  <c r="C159" i="5"/>
  <c r="C158" i="5"/>
  <c r="C157" i="5"/>
  <c r="C156" i="5"/>
  <c r="AI35" i="5"/>
  <c r="AI36" i="5"/>
  <c r="AU36" i="5"/>
  <c r="AI37" i="5"/>
  <c r="AU37" i="5"/>
  <c r="AI38" i="5"/>
  <c r="AU38" i="5"/>
  <c r="AI39" i="5"/>
  <c r="AU39" i="5"/>
  <c r="AI40" i="5"/>
  <c r="AU40" i="5"/>
  <c r="AI41" i="5"/>
  <c r="AU41" i="5"/>
  <c r="AI42" i="5"/>
  <c r="AU42" i="5"/>
  <c r="I25" i="5"/>
  <c r="C28" i="16"/>
  <c r="C30" i="16" s="1"/>
  <c r="C29" i="16"/>
  <c r="D7" i="16"/>
  <c r="E7" i="16"/>
  <c r="F7" i="16"/>
  <c r="G7" i="16"/>
  <c r="H7" i="16"/>
  <c r="I7" i="16"/>
  <c r="J7" i="16"/>
  <c r="C7" i="16"/>
  <c r="K7" i="16"/>
  <c r="L7" i="16"/>
  <c r="P55" i="10" l="1"/>
  <c r="Q54" i="10"/>
  <c r="Q56" i="10"/>
  <c r="R55" i="10"/>
  <c r="P54" i="10"/>
  <c r="R54" i="10"/>
  <c r="R56" i="10"/>
  <c r="P56" i="10"/>
  <c r="Q55" i="10"/>
  <c r="M54" i="10"/>
  <c r="O54" i="10"/>
  <c r="N54" i="10"/>
  <c r="O55" i="10"/>
  <c r="N55" i="10"/>
  <c r="N56" i="10"/>
  <c r="M55" i="10"/>
  <c r="AH56" i="10"/>
  <c r="BD54" i="10"/>
  <c r="O56" i="10"/>
  <c r="M56" i="10"/>
  <c r="AG54" i="10"/>
  <c r="AH54" i="10"/>
  <c r="AH55" i="10"/>
  <c r="AI78" i="10"/>
  <c r="AG79" i="10"/>
  <c r="AI102" i="10"/>
  <c r="AG126" i="10"/>
  <c r="AG150" i="10"/>
  <c r="BE78" i="10"/>
  <c r="BE102" i="10"/>
  <c r="AG56" i="10"/>
  <c r="AI54" i="10"/>
  <c r="AI55" i="10"/>
  <c r="AI79" i="10"/>
  <c r="AH79" i="10"/>
  <c r="AH102" i="10"/>
  <c r="AG104" i="10"/>
  <c r="AI103" i="10"/>
  <c r="AH103" i="10"/>
  <c r="AH126" i="10"/>
  <c r="AG127" i="10"/>
  <c r="AI127" i="10"/>
  <c r="AH127" i="10"/>
  <c r="AI150" i="10"/>
  <c r="AH150" i="10"/>
  <c r="AG151" i="10"/>
  <c r="BF54" i="10"/>
  <c r="BE54" i="10"/>
  <c r="BD55" i="10"/>
  <c r="BF55" i="10"/>
  <c r="BE55" i="10"/>
  <c r="BD78" i="10"/>
  <c r="BF78" i="10"/>
  <c r="BE79" i="10"/>
  <c r="BD79" i="10"/>
  <c r="BF79" i="10"/>
  <c r="BD104" i="10"/>
  <c r="BF104" i="10"/>
  <c r="BE103" i="10"/>
  <c r="BD103" i="10"/>
  <c r="BF103" i="10"/>
  <c r="BD128" i="10"/>
  <c r="BF128" i="10"/>
  <c r="BE127" i="10"/>
  <c r="BE152" i="10"/>
  <c r="BD150" i="10"/>
  <c r="BF151" i="10"/>
  <c r="BE151" i="10"/>
  <c r="AH80" i="10"/>
  <c r="AG80" i="10"/>
  <c r="BF56" i="10"/>
  <c r="AQ55" i="10"/>
  <c r="BE80" i="10"/>
  <c r="BE56" i="10"/>
  <c r="AQ56" i="10"/>
  <c r="AH152" i="10"/>
  <c r="W55" i="10"/>
  <c r="AI56" i="10"/>
  <c r="BN55" i="10"/>
  <c r="AG55" i="10"/>
  <c r="BN79" i="10"/>
  <c r="AQ54" i="10"/>
  <c r="AQ151" i="10"/>
  <c r="BF80" i="10"/>
  <c r="AG103" i="10"/>
  <c r="AI128" i="10"/>
  <c r="AG152" i="10"/>
  <c r="AH151" i="10"/>
  <c r="BE104" i="10"/>
  <c r="BE128" i="10"/>
  <c r="BD127" i="10"/>
  <c r="BF127" i="10"/>
  <c r="BF152" i="10"/>
  <c r="BD151" i="10"/>
  <c r="AI152" i="10"/>
  <c r="AI151" i="10"/>
  <c r="BD152" i="10"/>
  <c r="AG102" i="10"/>
  <c r="AI126" i="10"/>
  <c r="BD80" i="10"/>
  <c r="AH104" i="10"/>
  <c r="AI104" i="10"/>
  <c r="BD102" i="10"/>
  <c r="BD126" i="10"/>
  <c r="BE126" i="10"/>
  <c r="AH78" i="10"/>
  <c r="BF126" i="10"/>
  <c r="AI80" i="10"/>
  <c r="AG78" i="10"/>
  <c r="BE150" i="10"/>
  <c r="BF102" i="10"/>
  <c r="AG128" i="10"/>
  <c r="BF150" i="10"/>
  <c r="AH128" i="10"/>
  <c r="S50" i="15"/>
  <c r="E38" i="15"/>
  <c r="AW112" i="5"/>
  <c r="AW120" i="5"/>
  <c r="K119" i="15"/>
  <c r="V119" i="15" s="1"/>
  <c r="T119" i="15"/>
  <c r="G261" i="15"/>
  <c r="I261" i="15" s="1"/>
  <c r="O261" i="15"/>
  <c r="Q261" i="15" s="1"/>
  <c r="T357" i="15"/>
  <c r="K357" i="15"/>
  <c r="V357" i="15" s="1"/>
  <c r="AW40" i="5"/>
  <c r="AU86" i="5"/>
  <c r="AV145" i="5"/>
  <c r="H261" i="15"/>
  <c r="J261" i="15" s="1"/>
  <c r="U261" i="15" s="1"/>
  <c r="P261" i="15"/>
  <c r="R261" i="15" s="1"/>
  <c r="K311" i="15"/>
  <c r="V311" i="15" s="1"/>
  <c r="T311" i="15"/>
  <c r="K73" i="15"/>
  <c r="V73" i="15" s="1"/>
  <c r="K142" i="15"/>
  <c r="V142" i="15" s="1"/>
  <c r="T142" i="15"/>
  <c r="U238" i="15"/>
  <c r="G215" i="15"/>
  <c r="I215" i="15" s="1"/>
  <c r="O215" i="15"/>
  <c r="Q215" i="15" s="1"/>
  <c r="S215" i="15" s="1"/>
  <c r="K50" i="15"/>
  <c r="T50" i="15"/>
  <c r="AN34" i="5"/>
  <c r="O380" i="15"/>
  <c r="Q380" i="15" s="1"/>
  <c r="S380" i="15" s="1"/>
  <c r="G380" i="15"/>
  <c r="I380" i="15" s="1"/>
  <c r="G192" i="15"/>
  <c r="I192" i="15" s="1"/>
  <c r="O192" i="15"/>
  <c r="Q192" i="15" s="1"/>
  <c r="S192" i="15" s="1"/>
  <c r="K96" i="15"/>
  <c r="T96" i="15"/>
  <c r="U334" i="15"/>
  <c r="U73" i="15"/>
  <c r="P96" i="15"/>
  <c r="R96" i="15" s="1"/>
  <c r="S96" i="15" s="1"/>
  <c r="H288" i="15"/>
  <c r="J288" i="15" s="1"/>
  <c r="P288" i="15"/>
  <c r="R288" i="15" s="1"/>
  <c r="S288" i="15" s="1"/>
  <c r="W56" i="10"/>
  <c r="AS82" i="5"/>
  <c r="G334" i="15"/>
  <c r="I334" i="15" s="1"/>
  <c r="T288" i="15"/>
  <c r="AP34" i="5"/>
  <c r="AV37" i="5"/>
  <c r="AJ58" i="5"/>
  <c r="U58" i="5"/>
  <c r="S58" i="5"/>
  <c r="AK58" i="5"/>
  <c r="AI58" i="5"/>
  <c r="T58" i="5"/>
  <c r="AV58" i="5" s="1"/>
  <c r="AP106" i="5"/>
  <c r="W104" i="10"/>
  <c r="W102" i="10"/>
  <c r="L140" i="5"/>
  <c r="AB140" i="5"/>
  <c r="Z144" i="10" s="1"/>
  <c r="AA140" i="5"/>
  <c r="Y144" i="10" s="1"/>
  <c r="J140" i="5"/>
  <c r="Z140" i="5"/>
  <c r="X144" i="10" s="1"/>
  <c r="K140" i="5"/>
  <c r="AM140" i="5" s="1"/>
  <c r="AV144" i="10" s="1"/>
  <c r="L132" i="5"/>
  <c r="AB132" i="5"/>
  <c r="Z136" i="10" s="1"/>
  <c r="K132" i="5"/>
  <c r="J132" i="5"/>
  <c r="Z132" i="5"/>
  <c r="X136" i="10" s="1"/>
  <c r="AA132" i="5"/>
  <c r="Y136" i="10" s="1"/>
  <c r="N143" i="5"/>
  <c r="AD143" i="5"/>
  <c r="AB147" i="10" s="1"/>
  <c r="O143" i="5"/>
  <c r="M143" i="5"/>
  <c r="AC143" i="5"/>
  <c r="AA147" i="10" s="1"/>
  <c r="AE143" i="5"/>
  <c r="AC147" i="10" s="1"/>
  <c r="N135" i="5"/>
  <c r="AP135" i="5" s="1"/>
  <c r="AY139" i="10" s="1"/>
  <c r="AD135" i="5"/>
  <c r="AB139" i="10" s="1"/>
  <c r="O135" i="5"/>
  <c r="M135" i="5"/>
  <c r="AC135" i="5"/>
  <c r="AA139" i="10" s="1"/>
  <c r="AE135" i="5"/>
  <c r="AC139" i="10" s="1"/>
  <c r="AD118" i="5"/>
  <c r="AB122" i="10" s="1"/>
  <c r="O118" i="5"/>
  <c r="AQ118" i="5" s="1"/>
  <c r="AZ122" i="10" s="1"/>
  <c r="N118" i="5"/>
  <c r="AP118" i="5" s="1"/>
  <c r="AY122" i="10" s="1"/>
  <c r="AE118" i="5"/>
  <c r="AC122" i="10" s="1"/>
  <c r="AC118" i="5"/>
  <c r="AA122" i="10" s="1"/>
  <c r="M118" i="5"/>
  <c r="AO118" i="5" s="1"/>
  <c r="AX122" i="10" s="1"/>
  <c r="AD110" i="5"/>
  <c r="AB114" i="10" s="1"/>
  <c r="O110" i="5"/>
  <c r="AQ110" i="5" s="1"/>
  <c r="AZ114" i="10" s="1"/>
  <c r="M110" i="5"/>
  <c r="AC110" i="5"/>
  <c r="AA114" i="10" s="1"/>
  <c r="N110" i="5"/>
  <c r="AP110" i="5" s="1"/>
  <c r="AY114" i="10" s="1"/>
  <c r="AE110" i="5"/>
  <c r="AC114" i="10" s="1"/>
  <c r="W43" i="5"/>
  <c r="AF42" i="5"/>
  <c r="W80" i="10"/>
  <c r="W78" i="10"/>
  <c r="W152" i="10"/>
  <c r="W150" i="10"/>
  <c r="J34" i="5"/>
  <c r="AL34" i="5" s="1"/>
  <c r="AJ82" i="5"/>
  <c r="AB139" i="5"/>
  <c r="Z143" i="10" s="1"/>
  <c r="K139" i="5"/>
  <c r="AA139" i="5"/>
  <c r="Y143" i="10" s="1"/>
  <c r="L139" i="5"/>
  <c r="AN139" i="5" s="1"/>
  <c r="AW143" i="10" s="1"/>
  <c r="J139" i="5"/>
  <c r="AL139" i="5" s="1"/>
  <c r="AU143" i="10" s="1"/>
  <c r="Z139" i="5"/>
  <c r="X143" i="10" s="1"/>
  <c r="J131" i="5"/>
  <c r="K131" i="5"/>
  <c r="L131" i="5"/>
  <c r="Z131" i="5"/>
  <c r="AB131" i="5"/>
  <c r="AA131" i="5"/>
  <c r="AB90" i="5"/>
  <c r="Z94" i="10" s="1"/>
  <c r="K90" i="5"/>
  <c r="AA90" i="5"/>
  <c r="Y94" i="10" s="1"/>
  <c r="J90" i="5"/>
  <c r="Z90" i="5"/>
  <c r="X94" i="10" s="1"/>
  <c r="L90" i="5"/>
  <c r="L67" i="5"/>
  <c r="AB67" i="5"/>
  <c r="Z71" i="10" s="1"/>
  <c r="K67" i="5"/>
  <c r="AM67" i="5" s="1"/>
  <c r="AV71" i="10" s="1"/>
  <c r="AA67" i="5"/>
  <c r="Y71" i="10" s="1"/>
  <c r="J67" i="5"/>
  <c r="Z67" i="5"/>
  <c r="X71" i="10" s="1"/>
  <c r="AA59" i="5"/>
  <c r="AB59" i="5"/>
  <c r="J59" i="5"/>
  <c r="Z59" i="5"/>
  <c r="K59" i="5"/>
  <c r="L59" i="5"/>
  <c r="L44" i="5"/>
  <c r="AA44" i="5"/>
  <c r="Y48" i="10" s="1"/>
  <c r="J44" i="5"/>
  <c r="AB44" i="5"/>
  <c r="Z48" i="10" s="1"/>
  <c r="K44" i="5"/>
  <c r="AM44" i="5" s="1"/>
  <c r="AV48" i="10" s="1"/>
  <c r="L36" i="5"/>
  <c r="AN36" i="5" s="1"/>
  <c r="AW40" i="10" s="1"/>
  <c r="J36" i="5"/>
  <c r="AB36" i="5"/>
  <c r="Z40" i="10" s="1"/>
  <c r="AA36" i="5"/>
  <c r="Y40" i="10" s="1"/>
  <c r="Z36" i="5"/>
  <c r="X40" i="10" s="1"/>
  <c r="K36" i="5"/>
  <c r="AM36" i="5" s="1"/>
  <c r="AV40" i="10" s="1"/>
  <c r="AF145" i="5"/>
  <c r="AD149" i="10" s="1"/>
  <c r="R145" i="5"/>
  <c r="AT145" i="5" s="1"/>
  <c r="BC149" i="10" s="1"/>
  <c r="AG145" i="5"/>
  <c r="AE149" i="10" s="1"/>
  <c r="AH145" i="5"/>
  <c r="AF149" i="10" s="1"/>
  <c r="Q145" i="5"/>
  <c r="P145" i="5"/>
  <c r="AF137" i="5"/>
  <c r="AD141" i="10" s="1"/>
  <c r="R137" i="5"/>
  <c r="AG137" i="5"/>
  <c r="AE141" i="10" s="1"/>
  <c r="P137" i="5"/>
  <c r="AR137" i="5" s="1"/>
  <c r="BA141" i="10" s="1"/>
  <c r="AH137" i="5"/>
  <c r="AF141" i="10" s="1"/>
  <c r="Q137" i="5"/>
  <c r="R119" i="5"/>
  <c r="Q119" i="5"/>
  <c r="AH119" i="5"/>
  <c r="AF123" i="10" s="1"/>
  <c r="P119" i="5"/>
  <c r="AF119" i="5"/>
  <c r="AD123" i="10" s="1"/>
  <c r="AG119" i="5"/>
  <c r="AE123" i="10" s="1"/>
  <c r="R111" i="5"/>
  <c r="AT111" i="5" s="1"/>
  <c r="BC115" i="10" s="1"/>
  <c r="Q111" i="5"/>
  <c r="AG111" i="5"/>
  <c r="AE115" i="10" s="1"/>
  <c r="P111" i="5"/>
  <c r="AH111" i="5"/>
  <c r="AF115" i="10" s="1"/>
  <c r="AF111" i="5"/>
  <c r="AD115" i="10" s="1"/>
  <c r="R93" i="5"/>
  <c r="Q93" i="5"/>
  <c r="AS93" i="5" s="1"/>
  <c r="BB97" i="10" s="1"/>
  <c r="AH93" i="5"/>
  <c r="AF97" i="10" s="1"/>
  <c r="P93" i="5"/>
  <c r="AG93" i="5"/>
  <c r="AE97" i="10" s="1"/>
  <c r="AF93" i="5"/>
  <c r="AD97" i="10" s="1"/>
  <c r="R85" i="5"/>
  <c r="Q85" i="5"/>
  <c r="AH85" i="5"/>
  <c r="AF89" i="10" s="1"/>
  <c r="P85" i="5"/>
  <c r="AR85" i="5" s="1"/>
  <c r="BA89" i="10" s="1"/>
  <c r="AG85" i="5"/>
  <c r="AE89" i="10" s="1"/>
  <c r="AF85" i="5"/>
  <c r="AD89" i="10" s="1"/>
  <c r="P67" i="5"/>
  <c r="AF67" i="5"/>
  <c r="AD71" i="10" s="1"/>
  <c r="Q67" i="5"/>
  <c r="AG67" i="5"/>
  <c r="AE71" i="10" s="1"/>
  <c r="R67" i="5"/>
  <c r="AH67" i="5"/>
  <c r="AF71" i="10" s="1"/>
  <c r="R59" i="5"/>
  <c r="AH59" i="5"/>
  <c r="Q59" i="5"/>
  <c r="AG59" i="5"/>
  <c r="P59" i="5"/>
  <c r="AF59" i="5"/>
  <c r="R49" i="5"/>
  <c r="P49" i="5"/>
  <c r="Q49" i="5"/>
  <c r="AG49" i="5"/>
  <c r="AE53" i="10" s="1"/>
  <c r="AH41" i="5"/>
  <c r="AF45" i="10" s="1"/>
  <c r="P41" i="5"/>
  <c r="AF41" i="5"/>
  <c r="AD45" i="10" s="1"/>
  <c r="Q41" i="5"/>
  <c r="AG41" i="5"/>
  <c r="AE45" i="10" s="1"/>
  <c r="R41" i="5"/>
  <c r="O142" i="5"/>
  <c r="AE142" i="5"/>
  <c r="AC146" i="10" s="1"/>
  <c r="M142" i="5"/>
  <c r="AC142" i="5"/>
  <c r="AA146" i="10" s="1"/>
  <c r="N142" i="5"/>
  <c r="AD142" i="5"/>
  <c r="AB146" i="10" s="1"/>
  <c r="O134" i="5"/>
  <c r="AQ134" i="5" s="1"/>
  <c r="AZ138" i="10" s="1"/>
  <c r="AE134" i="5"/>
  <c r="AC138" i="10" s="1"/>
  <c r="M134" i="5"/>
  <c r="AC134" i="5"/>
  <c r="AA138" i="10" s="1"/>
  <c r="N134" i="5"/>
  <c r="AD134" i="5"/>
  <c r="AB138" i="10" s="1"/>
  <c r="W127" i="10"/>
  <c r="T82" i="5"/>
  <c r="AV82" i="5" s="1"/>
  <c r="J106" i="5"/>
  <c r="AL106" i="5" s="1"/>
  <c r="O106" i="5"/>
  <c r="AQ106" i="5" s="1"/>
  <c r="AB121" i="5"/>
  <c r="Z125" i="10" s="1"/>
  <c r="K121" i="5"/>
  <c r="AM121" i="5" s="1"/>
  <c r="AV125" i="10" s="1"/>
  <c r="J121" i="5"/>
  <c r="Z121" i="5"/>
  <c r="X125" i="10" s="1"/>
  <c r="AA121" i="5"/>
  <c r="Y125" i="10" s="1"/>
  <c r="L121" i="5"/>
  <c r="AB113" i="5"/>
  <c r="Z117" i="10" s="1"/>
  <c r="K113" i="5"/>
  <c r="AA113" i="5"/>
  <c r="Y117" i="10" s="1"/>
  <c r="J113" i="5"/>
  <c r="Z113" i="5"/>
  <c r="X117" i="10" s="1"/>
  <c r="L113" i="5"/>
  <c r="AN113" i="5" s="1"/>
  <c r="AW117" i="10" s="1"/>
  <c r="L97" i="5"/>
  <c r="AB97" i="5"/>
  <c r="Z101" i="10" s="1"/>
  <c r="J97" i="5"/>
  <c r="K97" i="5"/>
  <c r="Z97" i="5"/>
  <c r="X101" i="10" s="1"/>
  <c r="AA97" i="5"/>
  <c r="Y101" i="10" s="1"/>
  <c r="L89" i="5"/>
  <c r="AB89" i="5"/>
  <c r="Z93" i="10" s="1"/>
  <c r="J89" i="5"/>
  <c r="Z89" i="5"/>
  <c r="X93" i="10" s="1"/>
  <c r="K89" i="5"/>
  <c r="AA89" i="5"/>
  <c r="Y93" i="10" s="1"/>
  <c r="AA66" i="5"/>
  <c r="Y70" i="10" s="1"/>
  <c r="L66" i="5"/>
  <c r="AB66" i="5"/>
  <c r="Z70" i="10" s="1"/>
  <c r="J66" i="5"/>
  <c r="AL66" i="5" s="1"/>
  <c r="AU70" i="10" s="1"/>
  <c r="Z66" i="5"/>
  <c r="X70" i="10" s="1"/>
  <c r="K66" i="5"/>
  <c r="AB43" i="5"/>
  <c r="Z47" i="10" s="1"/>
  <c r="J43" i="5"/>
  <c r="K43" i="5"/>
  <c r="AA43" i="5"/>
  <c r="Y47" i="10" s="1"/>
  <c r="Z43" i="5"/>
  <c r="X47" i="10" s="1"/>
  <c r="L43" i="5"/>
  <c r="AN43" i="5" s="1"/>
  <c r="AW47" i="10" s="1"/>
  <c r="AB35" i="5"/>
  <c r="J35" i="5"/>
  <c r="L35" i="5"/>
  <c r="K35" i="5"/>
  <c r="AA35" i="5"/>
  <c r="Z35" i="5"/>
  <c r="AH144" i="5"/>
  <c r="AF148" i="10" s="1"/>
  <c r="P144" i="5"/>
  <c r="AR144" i="5" s="1"/>
  <c r="BA148" i="10" s="1"/>
  <c r="AG144" i="5"/>
  <c r="AE148" i="10" s="1"/>
  <c r="AF144" i="5"/>
  <c r="AD148" i="10" s="1"/>
  <c r="Q144" i="5"/>
  <c r="AS144" i="5" s="1"/>
  <c r="BB148" i="10" s="1"/>
  <c r="R144" i="5"/>
  <c r="AH136" i="5"/>
  <c r="P136" i="5"/>
  <c r="AG136" i="5"/>
  <c r="AF136" i="5"/>
  <c r="R136" i="5"/>
  <c r="Q136" i="5"/>
  <c r="AF118" i="5"/>
  <c r="AD122" i="10" s="1"/>
  <c r="Q118" i="5"/>
  <c r="AG118" i="5"/>
  <c r="AE122" i="10" s="1"/>
  <c r="R118" i="5"/>
  <c r="AH118" i="5"/>
  <c r="AF122" i="10" s="1"/>
  <c r="P118" i="5"/>
  <c r="AR118" i="5" s="1"/>
  <c r="BA122" i="10" s="1"/>
  <c r="AF110" i="5"/>
  <c r="AD114" i="10" s="1"/>
  <c r="R110" i="5"/>
  <c r="P110" i="5"/>
  <c r="AR110" i="5" s="1"/>
  <c r="BA114" i="10" s="1"/>
  <c r="AH110" i="5"/>
  <c r="AF114" i="10" s="1"/>
  <c r="Q110" i="5"/>
  <c r="AG110" i="5"/>
  <c r="AE114" i="10" s="1"/>
  <c r="R92" i="5"/>
  <c r="AT92" i="5" s="1"/>
  <c r="BC96" i="10" s="1"/>
  <c r="Q92" i="5"/>
  <c r="AS92" i="5" s="1"/>
  <c r="BB96" i="10" s="1"/>
  <c r="AH92" i="5"/>
  <c r="AF96" i="10" s="1"/>
  <c r="P92" i="5"/>
  <c r="AG92" i="5"/>
  <c r="AE96" i="10" s="1"/>
  <c r="AF92" i="5"/>
  <c r="AD96" i="10" s="1"/>
  <c r="R84" i="5"/>
  <c r="Q84" i="5"/>
  <c r="AS84" i="5" s="1"/>
  <c r="BB88" i="10" s="1"/>
  <c r="AH84" i="5"/>
  <c r="AF88" i="10" s="1"/>
  <c r="P84" i="5"/>
  <c r="AR84" i="5" s="1"/>
  <c r="BA88" i="10" s="1"/>
  <c r="AF84" i="5"/>
  <c r="AD88" i="10" s="1"/>
  <c r="AG84" i="5"/>
  <c r="AE88" i="10" s="1"/>
  <c r="AG66" i="5"/>
  <c r="AE70" i="10" s="1"/>
  <c r="R66" i="5"/>
  <c r="AH66" i="5"/>
  <c r="AF70" i="10" s="1"/>
  <c r="P66" i="5"/>
  <c r="AF66" i="5"/>
  <c r="AD70" i="10" s="1"/>
  <c r="Q66" i="5"/>
  <c r="AS66" i="5" s="1"/>
  <c r="BB70" i="10" s="1"/>
  <c r="Q48" i="5"/>
  <c r="AG48" i="5"/>
  <c r="AE52" i="10" s="1"/>
  <c r="R48" i="5"/>
  <c r="P48" i="5"/>
  <c r="Q40" i="5"/>
  <c r="AG40" i="5"/>
  <c r="I235" i="5" s="1"/>
  <c r="R40" i="5"/>
  <c r="AH40" i="5"/>
  <c r="P40" i="5"/>
  <c r="AF40" i="5"/>
  <c r="N141" i="5"/>
  <c r="AD141" i="5"/>
  <c r="AB145" i="10" s="1"/>
  <c r="O141" i="5"/>
  <c r="AE141" i="5"/>
  <c r="AC145" i="10" s="1"/>
  <c r="AC141" i="5"/>
  <c r="AA145" i="10" s="1"/>
  <c r="M141" i="5"/>
  <c r="AO141" i="5" s="1"/>
  <c r="AX145" i="10" s="1"/>
  <c r="N133" i="5"/>
  <c r="AD133" i="5"/>
  <c r="AB137" i="10" s="1"/>
  <c r="O133" i="5"/>
  <c r="M133" i="5"/>
  <c r="AC133" i="5"/>
  <c r="AA137" i="10" s="1"/>
  <c r="AE133" i="5"/>
  <c r="AC137" i="10" s="1"/>
  <c r="AC41" i="5"/>
  <c r="AA45" i="10" s="1"/>
  <c r="AA39" i="10"/>
  <c r="K238" i="15"/>
  <c r="V238" i="15" s="1"/>
  <c r="G169" i="15"/>
  <c r="I169" i="15" s="1"/>
  <c r="W54" i="10"/>
  <c r="W103" i="10"/>
  <c r="AA34" i="5"/>
  <c r="M34" i="5"/>
  <c r="AO34" i="5" s="1"/>
  <c r="AJ106" i="5"/>
  <c r="U137" i="5"/>
  <c r="AW137" i="5" s="1"/>
  <c r="AK138" i="5"/>
  <c r="U145" i="5"/>
  <c r="AW145" i="5" s="1"/>
  <c r="AA120" i="5"/>
  <c r="Y124" i="10" s="1"/>
  <c r="L120" i="5"/>
  <c r="J120" i="5"/>
  <c r="AB120" i="5"/>
  <c r="Z124" i="10" s="1"/>
  <c r="Z120" i="5"/>
  <c r="X124" i="10" s="1"/>
  <c r="K120" i="5"/>
  <c r="Z112" i="5"/>
  <c r="AA112" i="5"/>
  <c r="J112" i="5"/>
  <c r="L112" i="5"/>
  <c r="AB112" i="5"/>
  <c r="K112" i="5"/>
  <c r="AB96" i="5"/>
  <c r="Z100" i="10" s="1"/>
  <c r="K96" i="5"/>
  <c r="AA96" i="5"/>
  <c r="Y100" i="10" s="1"/>
  <c r="J96" i="5"/>
  <c r="Z96" i="5"/>
  <c r="X100" i="10" s="1"/>
  <c r="L96" i="5"/>
  <c r="AB88" i="5"/>
  <c r="K88" i="5"/>
  <c r="AA88" i="5"/>
  <c r="J88" i="5"/>
  <c r="Z88" i="5"/>
  <c r="L88" i="5"/>
  <c r="AA73" i="5"/>
  <c r="Y77" i="10" s="1"/>
  <c r="AB73" i="5"/>
  <c r="Z77" i="10" s="1"/>
  <c r="Z73" i="5"/>
  <c r="X77" i="10" s="1"/>
  <c r="K73" i="5"/>
  <c r="L73" i="5"/>
  <c r="AN73" i="5" s="1"/>
  <c r="AW77" i="10" s="1"/>
  <c r="J73" i="5"/>
  <c r="AL73" i="5" s="1"/>
  <c r="AU77" i="10" s="1"/>
  <c r="K65" i="5"/>
  <c r="AA65" i="5"/>
  <c r="Y69" i="10" s="1"/>
  <c r="L65" i="5"/>
  <c r="AN65" i="5" s="1"/>
  <c r="AW69" i="10" s="1"/>
  <c r="AB65" i="5"/>
  <c r="Z69" i="10" s="1"/>
  <c r="J65" i="5"/>
  <c r="Z65" i="5"/>
  <c r="X69" i="10" s="1"/>
  <c r="L42" i="5"/>
  <c r="AB42" i="5"/>
  <c r="Z46" i="10" s="1"/>
  <c r="J42" i="5"/>
  <c r="Z42" i="5"/>
  <c r="X46" i="10" s="1"/>
  <c r="K42" i="5"/>
  <c r="AM42" i="5" s="1"/>
  <c r="AV46" i="10" s="1"/>
  <c r="AA42" i="5"/>
  <c r="Y46" i="10" s="1"/>
  <c r="R143" i="5"/>
  <c r="Q143" i="5"/>
  <c r="AH143" i="5"/>
  <c r="AF147" i="10" s="1"/>
  <c r="P143" i="5"/>
  <c r="AG143" i="5"/>
  <c r="AE147" i="10" s="1"/>
  <c r="AF143" i="5"/>
  <c r="AD147" i="10" s="1"/>
  <c r="R135" i="5"/>
  <c r="AT135" i="5" s="1"/>
  <c r="BC139" i="10" s="1"/>
  <c r="Q135" i="5"/>
  <c r="AH135" i="5"/>
  <c r="AF139" i="10" s="1"/>
  <c r="P135" i="5"/>
  <c r="AG135" i="5"/>
  <c r="AE139" i="10" s="1"/>
  <c r="AF135" i="5"/>
  <c r="AD139" i="10" s="1"/>
  <c r="AH117" i="5"/>
  <c r="AF121" i="10" s="1"/>
  <c r="P117" i="5"/>
  <c r="AR117" i="5" s="1"/>
  <c r="BA121" i="10" s="1"/>
  <c r="AG117" i="5"/>
  <c r="AE121" i="10" s="1"/>
  <c r="AF117" i="5"/>
  <c r="AD121" i="10" s="1"/>
  <c r="R117" i="5"/>
  <c r="Q117" i="5"/>
  <c r="AH109" i="5"/>
  <c r="AF113" i="10" s="1"/>
  <c r="P109" i="5"/>
  <c r="AG109" i="5"/>
  <c r="AE113" i="10" s="1"/>
  <c r="AF109" i="5"/>
  <c r="AD113" i="10" s="1"/>
  <c r="Q109" i="5"/>
  <c r="AS109" i="5" s="1"/>
  <c r="BB113" i="10" s="1"/>
  <c r="R109" i="5"/>
  <c r="AF91" i="5"/>
  <c r="AD95" i="10" s="1"/>
  <c r="R91" i="5"/>
  <c r="Q91" i="5"/>
  <c r="AG91" i="5"/>
  <c r="AE95" i="10" s="1"/>
  <c r="P91" i="5"/>
  <c r="AR91" i="5" s="1"/>
  <c r="BA95" i="10" s="1"/>
  <c r="AH91" i="5"/>
  <c r="AF95" i="10" s="1"/>
  <c r="AF83" i="5"/>
  <c r="Q83" i="5"/>
  <c r="AG83" i="5"/>
  <c r="R83" i="5"/>
  <c r="P83" i="5"/>
  <c r="AH83" i="5"/>
  <c r="P73" i="5"/>
  <c r="AR73" i="5" s="1"/>
  <c r="BA77" i="10" s="1"/>
  <c r="Q73" i="5"/>
  <c r="AG73" i="5"/>
  <c r="AE77" i="10" s="1"/>
  <c r="R73" i="5"/>
  <c r="AF73" i="5"/>
  <c r="AD77" i="10" s="1"/>
  <c r="AH73" i="5"/>
  <c r="AF77" i="10" s="1"/>
  <c r="P65" i="5"/>
  <c r="AF65" i="5"/>
  <c r="AD69" i="10" s="1"/>
  <c r="Q65" i="5"/>
  <c r="AG65" i="5"/>
  <c r="AE69" i="10" s="1"/>
  <c r="R65" i="5"/>
  <c r="AT65" i="5" s="1"/>
  <c r="BC69" i="10" s="1"/>
  <c r="AH65" i="5"/>
  <c r="AF69" i="10" s="1"/>
  <c r="R47" i="5"/>
  <c r="P47" i="5"/>
  <c r="Q47" i="5"/>
  <c r="AG47" i="5"/>
  <c r="AE51" i="10" s="1"/>
  <c r="AH39" i="5"/>
  <c r="AF43" i="10" s="1"/>
  <c r="R39" i="5"/>
  <c r="P39" i="5"/>
  <c r="AF39" i="5"/>
  <c r="AD43" i="10" s="1"/>
  <c r="Q39" i="5"/>
  <c r="AG39" i="5"/>
  <c r="AE43" i="10" s="1"/>
  <c r="M66" i="5"/>
  <c r="AO66" i="5" s="1"/>
  <c r="AX70" i="10" s="1"/>
  <c r="N66" i="5"/>
  <c r="AD66" i="5"/>
  <c r="AB70" i="10" s="1"/>
  <c r="O66" i="5"/>
  <c r="AE66" i="5"/>
  <c r="AC70" i="10" s="1"/>
  <c r="AC66" i="5"/>
  <c r="AA70" i="10" s="1"/>
  <c r="O44" i="5"/>
  <c r="M44" i="5"/>
  <c r="AE44" i="5"/>
  <c r="AC48" i="10" s="1"/>
  <c r="N44" i="5"/>
  <c r="AP44" i="5" s="1"/>
  <c r="AY48" i="10" s="1"/>
  <c r="O36" i="5"/>
  <c r="M36" i="5"/>
  <c r="AE36" i="5"/>
  <c r="AC40" i="10" s="1"/>
  <c r="AC36" i="5"/>
  <c r="N36" i="5"/>
  <c r="AD36" i="5"/>
  <c r="AB40" i="10" s="1"/>
  <c r="W79" i="10"/>
  <c r="W151" i="10"/>
  <c r="K34" i="5"/>
  <c r="AM34" i="5" s="1"/>
  <c r="AG58" i="5"/>
  <c r="AD82" i="5"/>
  <c r="AA106" i="5"/>
  <c r="T106" i="5"/>
  <c r="AV106" i="5" s="1"/>
  <c r="AJ112" i="5"/>
  <c r="AJ120" i="5"/>
  <c r="AI137" i="5"/>
  <c r="U138" i="5"/>
  <c r="AI145" i="5"/>
  <c r="L144" i="5"/>
  <c r="AB144" i="5"/>
  <c r="Z148" i="10" s="1"/>
  <c r="AA144" i="5"/>
  <c r="Y148" i="10" s="1"/>
  <c r="J144" i="5"/>
  <c r="Z144" i="5"/>
  <c r="X148" i="10" s="1"/>
  <c r="K144" i="5"/>
  <c r="AM144" i="5" s="1"/>
  <c r="AV148" i="10" s="1"/>
  <c r="L136" i="5"/>
  <c r="AB136" i="5"/>
  <c r="K136" i="5"/>
  <c r="J136" i="5"/>
  <c r="AA136" i="5"/>
  <c r="Z136" i="5"/>
  <c r="AB119" i="5"/>
  <c r="Z123" i="10" s="1"/>
  <c r="K119" i="5"/>
  <c r="AM119" i="5" s="1"/>
  <c r="AV123" i="10" s="1"/>
  <c r="J119" i="5"/>
  <c r="L119" i="5"/>
  <c r="Z119" i="5"/>
  <c r="X123" i="10" s="1"/>
  <c r="AA119" i="5"/>
  <c r="Y123" i="10" s="1"/>
  <c r="AB111" i="5"/>
  <c r="Z115" i="10" s="1"/>
  <c r="K111" i="5"/>
  <c r="L111" i="5"/>
  <c r="AN111" i="5" s="1"/>
  <c r="AW115" i="10" s="1"/>
  <c r="AA111" i="5"/>
  <c r="Y115" i="10" s="1"/>
  <c r="J111" i="5"/>
  <c r="Z111" i="5"/>
  <c r="X115" i="10" s="1"/>
  <c r="L95" i="5"/>
  <c r="K95" i="5"/>
  <c r="AA95" i="5"/>
  <c r="Y99" i="10" s="1"/>
  <c r="AB95" i="5"/>
  <c r="Z99" i="10" s="1"/>
  <c r="J95" i="5"/>
  <c r="Z95" i="5"/>
  <c r="X99" i="10" s="1"/>
  <c r="L87" i="5"/>
  <c r="K87" i="5"/>
  <c r="AA87" i="5"/>
  <c r="Y91" i="10" s="1"/>
  <c r="AB87" i="5"/>
  <c r="Z91" i="10" s="1"/>
  <c r="J87" i="5"/>
  <c r="Z87" i="5"/>
  <c r="X91" i="10" s="1"/>
  <c r="K72" i="5"/>
  <c r="AM72" i="5" s="1"/>
  <c r="AV76" i="10" s="1"/>
  <c r="L72" i="5"/>
  <c r="AN72" i="5" s="1"/>
  <c r="AW76" i="10" s="1"/>
  <c r="J72" i="5"/>
  <c r="AA72" i="5"/>
  <c r="Y76" i="10" s="1"/>
  <c r="Z72" i="5"/>
  <c r="X76" i="10" s="1"/>
  <c r="AB72" i="5"/>
  <c r="Z76" i="10" s="1"/>
  <c r="AB64" i="5"/>
  <c r="K64" i="5"/>
  <c r="AA64" i="5"/>
  <c r="L64" i="5"/>
  <c r="J64" i="5"/>
  <c r="Z64" i="5"/>
  <c r="L49" i="5"/>
  <c r="AA49" i="5"/>
  <c r="Y53" i="10" s="1"/>
  <c r="J49" i="5"/>
  <c r="K49" i="5"/>
  <c r="AM49" i="5" s="1"/>
  <c r="AV53" i="10" s="1"/>
  <c r="L41" i="5"/>
  <c r="AB41" i="5"/>
  <c r="Z45" i="10" s="1"/>
  <c r="AA41" i="5"/>
  <c r="Y45" i="10" s="1"/>
  <c r="J41" i="5"/>
  <c r="K41" i="5"/>
  <c r="AM41" i="5" s="1"/>
  <c r="AV45" i="10" s="1"/>
  <c r="Z41" i="5"/>
  <c r="X45" i="10" s="1"/>
  <c r="AS38" i="5"/>
  <c r="BB42" i="10" s="1"/>
  <c r="O97" i="5"/>
  <c r="AE97" i="5"/>
  <c r="AC101" i="10" s="1"/>
  <c r="M97" i="5"/>
  <c r="AC97" i="5"/>
  <c r="AA101" i="10" s="1"/>
  <c r="N97" i="5"/>
  <c r="AD97" i="5"/>
  <c r="AB101" i="10" s="1"/>
  <c r="O89" i="5"/>
  <c r="AE89" i="5"/>
  <c r="AC93" i="10" s="1"/>
  <c r="M89" i="5"/>
  <c r="AC89" i="5"/>
  <c r="AA93" i="10" s="1"/>
  <c r="N89" i="5"/>
  <c r="AD89" i="5"/>
  <c r="AB93" i="10" s="1"/>
  <c r="M73" i="5"/>
  <c r="AC73" i="5"/>
  <c r="AA77" i="10" s="1"/>
  <c r="N73" i="5"/>
  <c r="AD73" i="5"/>
  <c r="AB77" i="10" s="1"/>
  <c r="O73" i="5"/>
  <c r="AE73" i="5"/>
  <c r="AC77" i="10" s="1"/>
  <c r="M65" i="5"/>
  <c r="N65" i="5"/>
  <c r="AD65" i="5"/>
  <c r="AB69" i="10" s="1"/>
  <c r="O65" i="5"/>
  <c r="AE65" i="5"/>
  <c r="AC69" i="10" s="1"/>
  <c r="AC65" i="5"/>
  <c r="AA69" i="10" s="1"/>
  <c r="N43" i="5"/>
  <c r="AD43" i="5"/>
  <c r="AB47" i="10" s="1"/>
  <c r="O43" i="5"/>
  <c r="M43" i="5"/>
  <c r="AE43" i="5"/>
  <c r="AC47" i="10" s="1"/>
  <c r="N35" i="5"/>
  <c r="AD35" i="5"/>
  <c r="O35" i="5"/>
  <c r="M35" i="5"/>
  <c r="AE35" i="5"/>
  <c r="E36" i="15"/>
  <c r="R31" i="10" s="1"/>
  <c r="T31" i="10" s="1"/>
  <c r="BN152" i="10"/>
  <c r="BN150" i="10"/>
  <c r="AC39" i="5"/>
  <c r="Y46" i="5"/>
  <c r="AE45" i="5"/>
  <c r="P34" i="5"/>
  <c r="AR34" i="5" s="1"/>
  <c r="Q58" i="5"/>
  <c r="AS58" i="5" s="1"/>
  <c r="N82" i="5"/>
  <c r="AP82" i="5" s="1"/>
  <c r="AI82" i="5"/>
  <c r="AU82" i="5" s="1"/>
  <c r="AI94" i="5"/>
  <c r="AU94" i="5" s="1"/>
  <c r="K106" i="5"/>
  <c r="T112" i="5"/>
  <c r="T120" i="5"/>
  <c r="AJ130" i="5"/>
  <c r="AV130" i="5" s="1"/>
  <c r="S137" i="5"/>
  <c r="AI138" i="5"/>
  <c r="AU138" i="5" s="1"/>
  <c r="S145" i="5"/>
  <c r="AU145" i="5" s="1"/>
  <c r="AB143" i="5"/>
  <c r="Z147" i="10" s="1"/>
  <c r="K143" i="5"/>
  <c r="AA143" i="5"/>
  <c r="Y147" i="10" s="1"/>
  <c r="L143" i="5"/>
  <c r="J143" i="5"/>
  <c r="Z143" i="5"/>
  <c r="X147" i="10" s="1"/>
  <c r="AB135" i="5"/>
  <c r="Z139" i="10" s="1"/>
  <c r="K135" i="5"/>
  <c r="AA135" i="5"/>
  <c r="Y139" i="10" s="1"/>
  <c r="L135" i="5"/>
  <c r="J135" i="5"/>
  <c r="Z135" i="5"/>
  <c r="X139" i="10" s="1"/>
  <c r="K118" i="5"/>
  <c r="AA118" i="5"/>
  <c r="Y122" i="10" s="1"/>
  <c r="J118" i="5"/>
  <c r="Z118" i="5"/>
  <c r="X122" i="10" s="1"/>
  <c r="L118" i="5"/>
  <c r="AN118" i="5" s="1"/>
  <c r="AW122" i="10" s="1"/>
  <c r="AB118" i="5"/>
  <c r="Z122" i="10" s="1"/>
  <c r="Z110" i="5"/>
  <c r="X114" i="10" s="1"/>
  <c r="K110" i="5"/>
  <c r="AA110" i="5"/>
  <c r="Y114" i="10" s="1"/>
  <c r="J110" i="5"/>
  <c r="AL110" i="5" s="1"/>
  <c r="AU114" i="10" s="1"/>
  <c r="L110" i="5"/>
  <c r="AB110" i="5"/>
  <c r="Z114" i="10" s="1"/>
  <c r="AB94" i="5"/>
  <c r="Z98" i="10" s="1"/>
  <c r="K94" i="5"/>
  <c r="AA94" i="5"/>
  <c r="Y98" i="10" s="1"/>
  <c r="J94" i="5"/>
  <c r="Z94" i="5"/>
  <c r="X98" i="10" s="1"/>
  <c r="L94" i="5"/>
  <c r="AB86" i="5"/>
  <c r="Z90" i="10" s="1"/>
  <c r="K86" i="5"/>
  <c r="AA86" i="5"/>
  <c r="Y90" i="10" s="1"/>
  <c r="J86" i="5"/>
  <c r="Z86" i="5"/>
  <c r="X90" i="10" s="1"/>
  <c r="L86" i="5"/>
  <c r="K71" i="5"/>
  <c r="L71" i="5"/>
  <c r="AN71" i="5" s="1"/>
  <c r="AW75" i="10" s="1"/>
  <c r="AA71" i="5"/>
  <c r="Y75" i="10" s="1"/>
  <c r="J71" i="5"/>
  <c r="Z71" i="5"/>
  <c r="X75" i="10" s="1"/>
  <c r="AB71" i="5"/>
  <c r="Z75" i="10" s="1"/>
  <c r="AA63" i="5"/>
  <c r="Y67" i="10" s="1"/>
  <c r="AB63" i="5"/>
  <c r="Z67" i="10" s="1"/>
  <c r="L63" i="5"/>
  <c r="AN63" i="5" s="1"/>
  <c r="AW67" i="10" s="1"/>
  <c r="J63" i="5"/>
  <c r="Z63" i="5"/>
  <c r="X67" i="10" s="1"/>
  <c r="K63" i="5"/>
  <c r="AM63" i="5" s="1"/>
  <c r="AV67" i="10" s="1"/>
  <c r="L48" i="5"/>
  <c r="K48" i="5"/>
  <c r="J48" i="5"/>
  <c r="AA48" i="5"/>
  <c r="Y52" i="10" s="1"/>
  <c r="L40" i="5"/>
  <c r="K40" i="5"/>
  <c r="AB40" i="5"/>
  <c r="Z40" i="5"/>
  <c r="J40" i="5"/>
  <c r="AA40" i="5"/>
  <c r="AF141" i="5"/>
  <c r="AD145" i="10" s="1"/>
  <c r="R141" i="5"/>
  <c r="AH141" i="5"/>
  <c r="AF145" i="10" s="1"/>
  <c r="Q141" i="5"/>
  <c r="AG141" i="5"/>
  <c r="AE145" i="10" s="1"/>
  <c r="P141" i="5"/>
  <c r="AF133" i="5"/>
  <c r="AD137" i="10" s="1"/>
  <c r="R133" i="5"/>
  <c r="Q133" i="5"/>
  <c r="AG133" i="5"/>
  <c r="AE137" i="10" s="1"/>
  <c r="AH133" i="5"/>
  <c r="AF137" i="10" s="1"/>
  <c r="P133" i="5"/>
  <c r="AR133" i="5" s="1"/>
  <c r="BA137" i="10" s="1"/>
  <c r="R115" i="5"/>
  <c r="AT115" i="5" s="1"/>
  <c r="BC119" i="10" s="1"/>
  <c r="Q115" i="5"/>
  <c r="AG115" i="5"/>
  <c r="AE119" i="10" s="1"/>
  <c r="P115" i="5"/>
  <c r="AH115" i="5"/>
  <c r="AF119" i="10" s="1"/>
  <c r="AF115" i="5"/>
  <c r="AD119" i="10" s="1"/>
  <c r="R107" i="5"/>
  <c r="AF107" i="5"/>
  <c r="Q107" i="5"/>
  <c r="AG107" i="5"/>
  <c r="AH107" i="5"/>
  <c r="P107" i="5"/>
  <c r="R97" i="5"/>
  <c r="Q97" i="5"/>
  <c r="AH97" i="5"/>
  <c r="AF101" i="10" s="1"/>
  <c r="P97" i="5"/>
  <c r="AR97" i="5" s="1"/>
  <c r="BA101" i="10" s="1"/>
  <c r="AG97" i="5"/>
  <c r="AE101" i="10" s="1"/>
  <c r="AF97" i="5"/>
  <c r="AD101" i="10" s="1"/>
  <c r="R89" i="5"/>
  <c r="Q89" i="5"/>
  <c r="AH89" i="5"/>
  <c r="AF93" i="10" s="1"/>
  <c r="P89" i="5"/>
  <c r="AG89" i="5"/>
  <c r="AE93" i="10" s="1"/>
  <c r="AF89" i="5"/>
  <c r="AD93" i="10" s="1"/>
  <c r="P71" i="5"/>
  <c r="AR71" i="5" s="1"/>
  <c r="BA75" i="10" s="1"/>
  <c r="AF71" i="5"/>
  <c r="AD75" i="10" s="1"/>
  <c r="Q71" i="5"/>
  <c r="AG71" i="5"/>
  <c r="AE75" i="10" s="1"/>
  <c r="R71" i="5"/>
  <c r="AH71" i="5"/>
  <c r="AF75" i="10" s="1"/>
  <c r="R63" i="5"/>
  <c r="AH63" i="5"/>
  <c r="AF67" i="10" s="1"/>
  <c r="Q63" i="5"/>
  <c r="AS63" i="5" s="1"/>
  <c r="BB67" i="10" s="1"/>
  <c r="AG63" i="5"/>
  <c r="AE67" i="10" s="1"/>
  <c r="P63" i="5"/>
  <c r="AF63" i="5"/>
  <c r="AD67" i="10" s="1"/>
  <c r="AH45" i="5"/>
  <c r="AF49" i="10" s="1"/>
  <c r="P45" i="5"/>
  <c r="R45" i="5"/>
  <c r="AT45" i="5" s="1"/>
  <c r="BC49" i="10" s="1"/>
  <c r="Q45" i="5"/>
  <c r="AS45" i="5" s="1"/>
  <c r="BB49" i="10" s="1"/>
  <c r="AG45" i="5"/>
  <c r="AE49" i="10" s="1"/>
  <c r="AH37" i="5"/>
  <c r="AF41" i="10" s="1"/>
  <c r="P37" i="5"/>
  <c r="AF37" i="5"/>
  <c r="AD41" i="10" s="1"/>
  <c r="R37" i="5"/>
  <c r="AT37" i="5" s="1"/>
  <c r="BC41" i="10" s="1"/>
  <c r="Q37" i="5"/>
  <c r="AG37" i="5"/>
  <c r="AE41" i="10" s="1"/>
  <c r="N96" i="5"/>
  <c r="AP96" i="5" s="1"/>
  <c r="AY100" i="10" s="1"/>
  <c r="AD96" i="5"/>
  <c r="AB100" i="10" s="1"/>
  <c r="M96" i="5"/>
  <c r="AC96" i="5"/>
  <c r="AA100" i="10" s="1"/>
  <c r="O96" i="5"/>
  <c r="AE96" i="5"/>
  <c r="AC100" i="10" s="1"/>
  <c r="N88" i="5"/>
  <c r="AD88" i="5"/>
  <c r="O88" i="5"/>
  <c r="M88" i="5"/>
  <c r="AC88" i="5"/>
  <c r="AE88" i="5"/>
  <c r="AE72" i="5"/>
  <c r="AC76" i="10" s="1"/>
  <c r="M72" i="5"/>
  <c r="AC72" i="5"/>
  <c r="AA76" i="10" s="1"/>
  <c r="N72" i="5"/>
  <c r="AD72" i="5"/>
  <c r="AB76" i="10" s="1"/>
  <c r="O72" i="5"/>
  <c r="AC64" i="5"/>
  <c r="N64" i="5"/>
  <c r="AD64" i="5"/>
  <c r="O64" i="5"/>
  <c r="AE64" i="5"/>
  <c r="M64" i="5"/>
  <c r="O42" i="5"/>
  <c r="AQ42" i="5" s="1"/>
  <c r="AZ46" i="10" s="1"/>
  <c r="M42" i="5"/>
  <c r="AE42" i="5"/>
  <c r="AC46" i="10" s="1"/>
  <c r="AC42" i="5"/>
  <c r="AA46" i="10" s="1"/>
  <c r="N42" i="5"/>
  <c r="AP42" i="5" s="1"/>
  <c r="AY46" i="10" s="1"/>
  <c r="AQ128" i="10"/>
  <c r="AQ126" i="10"/>
  <c r="I195" i="5"/>
  <c r="AT44" i="5"/>
  <c r="BC48" i="10" s="1"/>
  <c r="AD106" i="5"/>
  <c r="AK111" i="5"/>
  <c r="AW111" i="5" s="1"/>
  <c r="AK119" i="5"/>
  <c r="AW119" i="5" s="1"/>
  <c r="AA130" i="5"/>
  <c r="AM130" i="5" s="1"/>
  <c r="AJ144" i="5"/>
  <c r="AV144" i="5" s="1"/>
  <c r="L142" i="5"/>
  <c r="AN142" i="5" s="1"/>
  <c r="AW146" i="10" s="1"/>
  <c r="AB142" i="5"/>
  <c r="Z146" i="10" s="1"/>
  <c r="AA142" i="5"/>
  <c r="Y146" i="10" s="1"/>
  <c r="J142" i="5"/>
  <c r="Z142" i="5"/>
  <c r="X146" i="10" s="1"/>
  <c r="K142" i="5"/>
  <c r="AM142" i="5" s="1"/>
  <c r="AV146" i="10" s="1"/>
  <c r="L134" i="5"/>
  <c r="AB134" i="5"/>
  <c r="Z138" i="10" s="1"/>
  <c r="K134" i="5"/>
  <c r="AM134" i="5" s="1"/>
  <c r="AV138" i="10" s="1"/>
  <c r="J134" i="5"/>
  <c r="AL134" i="5" s="1"/>
  <c r="AU138" i="10" s="1"/>
  <c r="Z134" i="5"/>
  <c r="X138" i="10" s="1"/>
  <c r="AA134" i="5"/>
  <c r="Y138" i="10" s="1"/>
  <c r="AB117" i="5"/>
  <c r="Z121" i="10" s="1"/>
  <c r="K117" i="5"/>
  <c r="AM117" i="5" s="1"/>
  <c r="AV121" i="10" s="1"/>
  <c r="J117" i="5"/>
  <c r="Z117" i="5"/>
  <c r="X121" i="10" s="1"/>
  <c r="L117" i="5"/>
  <c r="AN117" i="5" s="1"/>
  <c r="AW121" i="10" s="1"/>
  <c r="AA117" i="5"/>
  <c r="Y121" i="10" s="1"/>
  <c r="L109" i="5"/>
  <c r="AB109" i="5"/>
  <c r="Z113" i="10" s="1"/>
  <c r="K109" i="5"/>
  <c r="J109" i="5"/>
  <c r="Z109" i="5"/>
  <c r="X113" i="10" s="1"/>
  <c r="AA109" i="5"/>
  <c r="Y113" i="10" s="1"/>
  <c r="L93" i="5"/>
  <c r="AN93" i="5" s="1"/>
  <c r="AW97" i="10" s="1"/>
  <c r="AB93" i="5"/>
  <c r="Z97" i="10" s="1"/>
  <c r="J93" i="5"/>
  <c r="Z93" i="5"/>
  <c r="X97" i="10" s="1"/>
  <c r="K93" i="5"/>
  <c r="AA93" i="5"/>
  <c r="Y97" i="10" s="1"/>
  <c r="L85" i="5"/>
  <c r="AB85" i="5"/>
  <c r="Z89" i="10" s="1"/>
  <c r="J85" i="5"/>
  <c r="AL85" i="5" s="1"/>
  <c r="AU89" i="10" s="1"/>
  <c r="Z85" i="5"/>
  <c r="X89" i="10" s="1"/>
  <c r="K85" i="5"/>
  <c r="AA85" i="5"/>
  <c r="Y89" i="10" s="1"/>
  <c r="J70" i="5"/>
  <c r="Z70" i="5"/>
  <c r="X74" i="10" s="1"/>
  <c r="L70" i="5"/>
  <c r="K70" i="5"/>
  <c r="AM70" i="5" s="1"/>
  <c r="AV74" i="10" s="1"/>
  <c r="AB70" i="5"/>
  <c r="Z74" i="10" s="1"/>
  <c r="AA70" i="5"/>
  <c r="Y74" i="10" s="1"/>
  <c r="AD120" i="5"/>
  <c r="AB124" i="10" s="1"/>
  <c r="O120" i="5"/>
  <c r="AQ120" i="5" s="1"/>
  <c r="AZ124" i="10" s="1"/>
  <c r="M120" i="5"/>
  <c r="AC120" i="5"/>
  <c r="AA124" i="10" s="1"/>
  <c r="AE120" i="5"/>
  <c r="AC124" i="10" s="1"/>
  <c r="N120" i="5"/>
  <c r="AD112" i="5"/>
  <c r="O112" i="5"/>
  <c r="AC112" i="5"/>
  <c r="N112" i="5"/>
  <c r="AE112" i="5"/>
  <c r="M112" i="5"/>
  <c r="O95" i="5"/>
  <c r="AQ95" i="5" s="1"/>
  <c r="AZ99" i="10" s="1"/>
  <c r="AE95" i="5"/>
  <c r="AC99" i="10" s="1"/>
  <c r="M95" i="5"/>
  <c r="AC95" i="5"/>
  <c r="AA99" i="10" s="1"/>
  <c r="N95" i="5"/>
  <c r="AD95" i="5"/>
  <c r="AB99" i="10" s="1"/>
  <c r="O87" i="5"/>
  <c r="AE87" i="5"/>
  <c r="AC91" i="10" s="1"/>
  <c r="M87" i="5"/>
  <c r="AO87" i="5" s="1"/>
  <c r="AX91" i="10" s="1"/>
  <c r="AC87" i="5"/>
  <c r="AA91" i="10" s="1"/>
  <c r="N87" i="5"/>
  <c r="AD87" i="5"/>
  <c r="AB91" i="10" s="1"/>
  <c r="AP49" i="5"/>
  <c r="AY53" i="10" s="1"/>
  <c r="W128" i="10"/>
  <c r="W126" i="10"/>
  <c r="S34" i="5"/>
  <c r="AU34" i="5" s="1"/>
  <c r="AI106" i="5"/>
  <c r="AU106" i="5" s="1"/>
  <c r="AB141" i="5"/>
  <c r="Z145" i="10" s="1"/>
  <c r="K141" i="5"/>
  <c r="L141" i="5"/>
  <c r="AN141" i="5" s="1"/>
  <c r="AW145" i="10" s="1"/>
  <c r="J141" i="5"/>
  <c r="Z141" i="5"/>
  <c r="X145" i="10" s="1"/>
  <c r="AA141" i="5"/>
  <c r="Y145" i="10" s="1"/>
  <c r="AB133" i="5"/>
  <c r="Z137" i="10" s="1"/>
  <c r="K133" i="5"/>
  <c r="AA133" i="5"/>
  <c r="Y137" i="10" s="1"/>
  <c r="L133" i="5"/>
  <c r="AN133" i="5" s="1"/>
  <c r="AW137" i="10" s="1"/>
  <c r="J133" i="5"/>
  <c r="Z133" i="5"/>
  <c r="X137" i="10" s="1"/>
  <c r="Z116" i="5"/>
  <c r="X120" i="10" s="1"/>
  <c r="L116" i="5"/>
  <c r="AN116" i="5" s="1"/>
  <c r="AW120" i="10" s="1"/>
  <c r="AB116" i="5"/>
  <c r="Z120" i="10" s="1"/>
  <c r="K116" i="5"/>
  <c r="AA116" i="5"/>
  <c r="Y120" i="10" s="1"/>
  <c r="J116" i="5"/>
  <c r="Z108" i="5"/>
  <c r="X112" i="10" s="1"/>
  <c r="L108" i="5"/>
  <c r="AB108" i="5"/>
  <c r="Z112" i="10" s="1"/>
  <c r="K108" i="5"/>
  <c r="AM108" i="5" s="1"/>
  <c r="AV112" i="10" s="1"/>
  <c r="AA108" i="5"/>
  <c r="Y112" i="10" s="1"/>
  <c r="J108" i="5"/>
  <c r="AF43" i="5"/>
  <c r="AD47" i="10" s="1"/>
  <c r="M119" i="5"/>
  <c r="AC119" i="5"/>
  <c r="AA123" i="10" s="1"/>
  <c r="N119" i="5"/>
  <c r="AP119" i="5" s="1"/>
  <c r="AY123" i="10" s="1"/>
  <c r="AD119" i="5"/>
  <c r="AB123" i="10" s="1"/>
  <c r="O119" i="5"/>
  <c r="AE119" i="5"/>
  <c r="AC123" i="10" s="1"/>
  <c r="M111" i="5"/>
  <c r="AC111" i="5"/>
  <c r="AA115" i="10" s="1"/>
  <c r="O111" i="5"/>
  <c r="AE111" i="5"/>
  <c r="AC115" i="10" s="1"/>
  <c r="N111" i="5"/>
  <c r="AP111" i="5" s="1"/>
  <c r="AY115" i="10" s="1"/>
  <c r="AD111" i="5"/>
  <c r="AB115" i="10" s="1"/>
  <c r="M54" i="15"/>
  <c r="O53" i="15"/>
  <c r="Q53" i="15" s="1"/>
  <c r="G289" i="15"/>
  <c r="I289" i="15" s="1"/>
  <c r="O289" i="15"/>
  <c r="Q289" i="15" s="1"/>
  <c r="S289" i="15" s="1"/>
  <c r="AF38" i="5"/>
  <c r="AD42" i="10" s="1"/>
  <c r="AH46" i="5"/>
  <c r="AF50" i="10" s="1"/>
  <c r="AH38" i="5"/>
  <c r="AF42" i="10" s="1"/>
  <c r="AA45" i="5"/>
  <c r="Y49" i="10" s="1"/>
  <c r="K303" i="15"/>
  <c r="H184" i="15"/>
  <c r="J184" i="15" s="1"/>
  <c r="N290" i="15"/>
  <c r="N291" i="15" s="1"/>
  <c r="P53" i="15"/>
  <c r="R53" i="15" s="1"/>
  <c r="U53" i="15" s="1"/>
  <c r="N54" i="15"/>
  <c r="N55" i="15" s="1"/>
  <c r="H51" i="15"/>
  <c r="J51" i="15" s="1"/>
  <c r="P51" i="15"/>
  <c r="R51" i="15" s="1"/>
  <c r="BN128" i="10"/>
  <c r="BN126" i="10"/>
  <c r="BN151" i="10"/>
  <c r="M49" i="5"/>
  <c r="M41" i="5"/>
  <c r="AO41" i="5" s="1"/>
  <c r="AX45" i="10" s="1"/>
  <c r="N48" i="5"/>
  <c r="AP48" i="5" s="1"/>
  <c r="AY52" i="10" s="1"/>
  <c r="N40" i="5"/>
  <c r="O49" i="5"/>
  <c r="O47" i="5"/>
  <c r="O41" i="5"/>
  <c r="AQ41" i="5" s="1"/>
  <c r="AZ45" i="10" s="1"/>
  <c r="O39" i="5"/>
  <c r="AQ39" i="5" s="1"/>
  <c r="AZ43" i="10" s="1"/>
  <c r="P46" i="5"/>
  <c r="P44" i="5"/>
  <c r="P38" i="5"/>
  <c r="P36" i="5"/>
  <c r="AR36" i="5" s="1"/>
  <c r="BA40" i="10" s="1"/>
  <c r="Q43" i="5"/>
  <c r="AS43" i="5" s="1"/>
  <c r="BB47" i="10" s="1"/>
  <c r="Q35" i="5"/>
  <c r="R46" i="5"/>
  <c r="R43" i="5"/>
  <c r="R38" i="5"/>
  <c r="AT38" i="5" s="1"/>
  <c r="BC42" i="10" s="1"/>
  <c r="AA47" i="5"/>
  <c r="Y51" i="10" s="1"/>
  <c r="AA39" i="5"/>
  <c r="Y43" i="10" s="1"/>
  <c r="R142" i="5"/>
  <c r="Q142" i="5"/>
  <c r="AH142" i="5"/>
  <c r="AF146" i="10" s="1"/>
  <c r="P142" i="5"/>
  <c r="AF142" i="5"/>
  <c r="AD146" i="10" s="1"/>
  <c r="AG142" i="5"/>
  <c r="AE146" i="10" s="1"/>
  <c r="R134" i="5"/>
  <c r="AT134" i="5" s="1"/>
  <c r="BC138" i="10" s="1"/>
  <c r="Q134" i="5"/>
  <c r="AH134" i="5"/>
  <c r="AF138" i="10" s="1"/>
  <c r="P134" i="5"/>
  <c r="AF134" i="5"/>
  <c r="AD138" i="10" s="1"/>
  <c r="AG134" i="5"/>
  <c r="AE138" i="10" s="1"/>
  <c r="R116" i="5"/>
  <c r="Q116" i="5"/>
  <c r="AS116" i="5" s="1"/>
  <c r="BB120" i="10" s="1"/>
  <c r="AH116" i="5"/>
  <c r="AF120" i="10" s="1"/>
  <c r="P116" i="5"/>
  <c r="AG116" i="5"/>
  <c r="AE120" i="10" s="1"/>
  <c r="AF116" i="5"/>
  <c r="AD120" i="10" s="1"/>
  <c r="R108" i="5"/>
  <c r="Q108" i="5"/>
  <c r="AH108" i="5"/>
  <c r="AF112" i="10" s="1"/>
  <c r="P108" i="5"/>
  <c r="AR108" i="5" s="1"/>
  <c r="BA112" i="10" s="1"/>
  <c r="AG108" i="5"/>
  <c r="AE112" i="10" s="1"/>
  <c r="AF108" i="5"/>
  <c r="AD112" i="10" s="1"/>
  <c r="AH90" i="5"/>
  <c r="AF94" i="10" s="1"/>
  <c r="P90" i="5"/>
  <c r="AG90" i="5"/>
  <c r="AE94" i="10" s="1"/>
  <c r="AF90" i="5"/>
  <c r="AD94" i="10" s="1"/>
  <c r="R90" i="5"/>
  <c r="AT90" i="5" s="1"/>
  <c r="BC94" i="10" s="1"/>
  <c r="Q90" i="5"/>
  <c r="AS90" i="5" s="1"/>
  <c r="BB94" i="10" s="1"/>
  <c r="P72" i="5"/>
  <c r="AR72" i="5" s="1"/>
  <c r="BA76" i="10" s="1"/>
  <c r="AF72" i="5"/>
  <c r="AD76" i="10" s="1"/>
  <c r="Q72" i="5"/>
  <c r="AG72" i="5"/>
  <c r="AE76" i="10" s="1"/>
  <c r="R72" i="5"/>
  <c r="AH72" i="5"/>
  <c r="AF76" i="10" s="1"/>
  <c r="AG64" i="5"/>
  <c r="R64" i="5"/>
  <c r="AH64" i="5"/>
  <c r="P64" i="5"/>
  <c r="AF64" i="5"/>
  <c r="Q64" i="5"/>
  <c r="O140" i="5"/>
  <c r="AE140" i="5"/>
  <c r="AC144" i="10" s="1"/>
  <c r="M140" i="5"/>
  <c r="AC140" i="5"/>
  <c r="AA144" i="10" s="1"/>
  <c r="N140" i="5"/>
  <c r="AP140" i="5" s="1"/>
  <c r="AY144" i="10" s="1"/>
  <c r="AD140" i="5"/>
  <c r="AB144" i="10" s="1"/>
  <c r="O132" i="5"/>
  <c r="AE132" i="5"/>
  <c r="AC136" i="10" s="1"/>
  <c r="M132" i="5"/>
  <c r="AC132" i="5"/>
  <c r="AA136" i="10" s="1"/>
  <c r="N132" i="5"/>
  <c r="AD132" i="5"/>
  <c r="AB136" i="10" s="1"/>
  <c r="M117" i="5"/>
  <c r="AO117" i="5" s="1"/>
  <c r="AX121" i="10" s="1"/>
  <c r="AC117" i="5"/>
  <c r="AA121" i="10" s="1"/>
  <c r="O117" i="5"/>
  <c r="AE117" i="5"/>
  <c r="AC121" i="10" s="1"/>
  <c r="N117" i="5"/>
  <c r="AD117" i="5"/>
  <c r="AB121" i="10" s="1"/>
  <c r="M109" i="5"/>
  <c r="AC109" i="5"/>
  <c r="AA113" i="10" s="1"/>
  <c r="N109" i="5"/>
  <c r="AP109" i="5" s="1"/>
  <c r="AY113" i="10" s="1"/>
  <c r="AD109" i="5"/>
  <c r="AB113" i="10" s="1"/>
  <c r="O109" i="5"/>
  <c r="AE109" i="5"/>
  <c r="AC113" i="10" s="1"/>
  <c r="N94" i="5"/>
  <c r="AD94" i="5"/>
  <c r="AB98" i="10" s="1"/>
  <c r="O94" i="5"/>
  <c r="AE94" i="5"/>
  <c r="AC98" i="10" s="1"/>
  <c r="M94" i="5"/>
  <c r="AO94" i="5" s="1"/>
  <c r="AX98" i="10" s="1"/>
  <c r="AC94" i="5"/>
  <c r="AA98" i="10" s="1"/>
  <c r="N86" i="5"/>
  <c r="AD86" i="5"/>
  <c r="AB90" i="10" s="1"/>
  <c r="O86" i="5"/>
  <c r="AE86" i="5"/>
  <c r="AC90" i="10" s="1"/>
  <c r="M86" i="5"/>
  <c r="AC86" i="5"/>
  <c r="AA90" i="10" s="1"/>
  <c r="N71" i="5"/>
  <c r="AP71" i="5" s="1"/>
  <c r="AY75" i="10" s="1"/>
  <c r="AD71" i="5"/>
  <c r="AB75" i="10" s="1"/>
  <c r="O71" i="5"/>
  <c r="AE71" i="5"/>
  <c r="AC75" i="10" s="1"/>
  <c r="M71" i="5"/>
  <c r="AC71" i="5"/>
  <c r="AA75" i="10" s="1"/>
  <c r="AC63" i="5"/>
  <c r="AA67" i="10" s="1"/>
  <c r="O63" i="5"/>
  <c r="AE63" i="5"/>
  <c r="AC67" i="10" s="1"/>
  <c r="N63" i="5"/>
  <c r="AP63" i="5" s="1"/>
  <c r="AY67" i="10" s="1"/>
  <c r="AD63" i="5"/>
  <c r="AB67" i="10" s="1"/>
  <c r="M63" i="5"/>
  <c r="AQ104" i="10"/>
  <c r="AQ102" i="10"/>
  <c r="AQ127" i="10"/>
  <c r="Z39" i="5"/>
  <c r="X43" i="10" s="1"/>
  <c r="H61" i="15"/>
  <c r="J61" i="15" s="1"/>
  <c r="H60" i="15"/>
  <c r="J60" i="15" s="1"/>
  <c r="S51" i="15"/>
  <c r="N139" i="5"/>
  <c r="AP139" i="5" s="1"/>
  <c r="AY143" i="10" s="1"/>
  <c r="AD139" i="5"/>
  <c r="AB143" i="10" s="1"/>
  <c r="O139" i="5"/>
  <c r="M139" i="5"/>
  <c r="AC139" i="5"/>
  <c r="AA143" i="10" s="1"/>
  <c r="AE139" i="5"/>
  <c r="AC143" i="10" s="1"/>
  <c r="N131" i="5"/>
  <c r="AD131" i="5"/>
  <c r="O131" i="5"/>
  <c r="AC131" i="5"/>
  <c r="AE131" i="5"/>
  <c r="M131" i="5"/>
  <c r="AD116" i="5"/>
  <c r="AB120" i="10" s="1"/>
  <c r="O116" i="5"/>
  <c r="AQ116" i="5" s="1"/>
  <c r="AZ120" i="10" s="1"/>
  <c r="M116" i="5"/>
  <c r="AC116" i="5"/>
  <c r="AA120" i="10" s="1"/>
  <c r="N116" i="5"/>
  <c r="AP116" i="5" s="1"/>
  <c r="AY120" i="10" s="1"/>
  <c r="AE116" i="5"/>
  <c r="AC120" i="10" s="1"/>
  <c r="AD108" i="5"/>
  <c r="AB112" i="10" s="1"/>
  <c r="O108" i="5"/>
  <c r="N108" i="5"/>
  <c r="AP108" i="5" s="1"/>
  <c r="AY112" i="10" s="1"/>
  <c r="AE108" i="5"/>
  <c r="AC112" i="10" s="1"/>
  <c r="M108" i="5"/>
  <c r="AC108" i="5"/>
  <c r="AA112" i="10" s="1"/>
  <c r="O93" i="5"/>
  <c r="AQ93" i="5" s="1"/>
  <c r="AZ97" i="10" s="1"/>
  <c r="AE93" i="5"/>
  <c r="AC97" i="10" s="1"/>
  <c r="M93" i="5"/>
  <c r="AC93" i="5"/>
  <c r="AA97" i="10" s="1"/>
  <c r="N93" i="5"/>
  <c r="AD93" i="5"/>
  <c r="AB97" i="10" s="1"/>
  <c r="O85" i="5"/>
  <c r="AE85" i="5"/>
  <c r="AC89" i="10" s="1"/>
  <c r="M85" i="5"/>
  <c r="AO85" i="5" s="1"/>
  <c r="AX89" i="10" s="1"/>
  <c r="AC85" i="5"/>
  <c r="AA89" i="10" s="1"/>
  <c r="N85" i="5"/>
  <c r="AD85" i="5"/>
  <c r="AB89" i="10" s="1"/>
  <c r="AC70" i="5"/>
  <c r="AA74" i="10" s="1"/>
  <c r="AE70" i="5"/>
  <c r="AC74" i="10" s="1"/>
  <c r="M70" i="5"/>
  <c r="AO70" i="5" s="1"/>
  <c r="AX74" i="10" s="1"/>
  <c r="O70" i="5"/>
  <c r="AQ70" i="5" s="1"/>
  <c r="AZ74" i="10" s="1"/>
  <c r="N70" i="5"/>
  <c r="AP70" i="5" s="1"/>
  <c r="AY74" i="10" s="1"/>
  <c r="M62" i="5"/>
  <c r="N62" i="5"/>
  <c r="AD62" i="5"/>
  <c r="AB66" i="10" s="1"/>
  <c r="AC62" i="5"/>
  <c r="AA66" i="10" s="1"/>
  <c r="O62" i="5"/>
  <c r="AE62" i="5"/>
  <c r="AC66" i="10" s="1"/>
  <c r="BN102" i="10"/>
  <c r="BN104" i="10"/>
  <c r="BN127" i="10"/>
  <c r="K62" i="5"/>
  <c r="L62" i="5"/>
  <c r="AA62" i="5"/>
  <c r="Y66" i="10" s="1"/>
  <c r="AB62" i="5"/>
  <c r="Z66" i="10" s="1"/>
  <c r="J62" i="5"/>
  <c r="AL62" i="5" s="1"/>
  <c r="AU66" i="10" s="1"/>
  <c r="Z62" i="5"/>
  <c r="X66" i="10" s="1"/>
  <c r="L47" i="5"/>
  <c r="AB39" i="5"/>
  <c r="Z43" i="10" s="1"/>
  <c r="L39" i="5"/>
  <c r="AN39" i="5" s="1"/>
  <c r="AW43" i="10" s="1"/>
  <c r="AH140" i="5"/>
  <c r="AF144" i="10" s="1"/>
  <c r="P140" i="5"/>
  <c r="AR140" i="5" s="1"/>
  <c r="BA144" i="10" s="1"/>
  <c r="AG140" i="5"/>
  <c r="AE144" i="10" s="1"/>
  <c r="AF140" i="5"/>
  <c r="AD144" i="10" s="1"/>
  <c r="Q140" i="5"/>
  <c r="AS140" i="5" s="1"/>
  <c r="BB144" i="10" s="1"/>
  <c r="R140" i="5"/>
  <c r="R132" i="5"/>
  <c r="AH132" i="5"/>
  <c r="AF136" i="10" s="1"/>
  <c r="P132" i="5"/>
  <c r="AR132" i="5" s="1"/>
  <c r="BA136" i="10" s="1"/>
  <c r="AG132" i="5"/>
  <c r="AE136" i="10" s="1"/>
  <c r="AF132" i="5"/>
  <c r="AD136" i="10" s="1"/>
  <c r="Q132" i="5"/>
  <c r="AF114" i="5"/>
  <c r="AD118" i="10" s="1"/>
  <c r="AH114" i="5"/>
  <c r="AF118" i="10" s="1"/>
  <c r="Q114" i="5"/>
  <c r="AG114" i="5"/>
  <c r="AE118" i="10" s="1"/>
  <c r="P114" i="5"/>
  <c r="AR114" i="5" s="1"/>
  <c r="BA118" i="10" s="1"/>
  <c r="R114" i="5"/>
  <c r="AT114" i="5" s="1"/>
  <c r="BC118" i="10" s="1"/>
  <c r="R96" i="5"/>
  <c r="Q96" i="5"/>
  <c r="AH96" i="5"/>
  <c r="AF100" i="10" s="1"/>
  <c r="P96" i="5"/>
  <c r="AG96" i="5"/>
  <c r="AE100" i="10" s="1"/>
  <c r="AF96" i="5"/>
  <c r="AD100" i="10" s="1"/>
  <c r="R88" i="5"/>
  <c r="Q88" i="5"/>
  <c r="AH88" i="5"/>
  <c r="P88" i="5"/>
  <c r="AG88" i="5"/>
  <c r="AF88" i="5"/>
  <c r="P70" i="5"/>
  <c r="AF70" i="5"/>
  <c r="AD74" i="10" s="1"/>
  <c r="Q70" i="5"/>
  <c r="AG70" i="5"/>
  <c r="AE74" i="10" s="1"/>
  <c r="R70" i="5"/>
  <c r="AT70" i="5" s="1"/>
  <c r="BC74" i="10" s="1"/>
  <c r="AH70" i="5"/>
  <c r="AF74" i="10" s="1"/>
  <c r="AG62" i="5"/>
  <c r="AE66" i="10" s="1"/>
  <c r="P62" i="5"/>
  <c r="AF62" i="5"/>
  <c r="AD66" i="10" s="1"/>
  <c r="R62" i="5"/>
  <c r="AH62" i="5"/>
  <c r="AF66" i="10" s="1"/>
  <c r="Q62" i="5"/>
  <c r="AS62" i="5" s="1"/>
  <c r="BB66" i="10" s="1"/>
  <c r="O138" i="5"/>
  <c r="AQ138" i="5" s="1"/>
  <c r="AZ142" i="10" s="1"/>
  <c r="AE138" i="5"/>
  <c r="AC142" i="10" s="1"/>
  <c r="M138" i="5"/>
  <c r="AC138" i="5"/>
  <c r="AA142" i="10" s="1"/>
  <c r="N138" i="5"/>
  <c r="AD138" i="5"/>
  <c r="AB142" i="10" s="1"/>
  <c r="M115" i="5"/>
  <c r="AC115" i="5"/>
  <c r="AA119" i="10" s="1"/>
  <c r="N115" i="5"/>
  <c r="AP115" i="5" s="1"/>
  <c r="AY119" i="10" s="1"/>
  <c r="AD115" i="5"/>
  <c r="AB119" i="10" s="1"/>
  <c r="O115" i="5"/>
  <c r="AE115" i="5"/>
  <c r="AC119" i="10" s="1"/>
  <c r="M107" i="5"/>
  <c r="AC107" i="5"/>
  <c r="AE107" i="5"/>
  <c r="N107" i="5"/>
  <c r="AD107" i="5"/>
  <c r="O107" i="5"/>
  <c r="N92" i="5"/>
  <c r="AD92" i="5"/>
  <c r="AB96" i="10" s="1"/>
  <c r="M92" i="5"/>
  <c r="AC92" i="5"/>
  <c r="AA96" i="10" s="1"/>
  <c r="O92" i="5"/>
  <c r="AE92" i="5"/>
  <c r="AC96" i="10" s="1"/>
  <c r="N84" i="5"/>
  <c r="AP84" i="5" s="1"/>
  <c r="AY88" i="10" s="1"/>
  <c r="AD84" i="5"/>
  <c r="AB88" i="10" s="1"/>
  <c r="O84" i="5"/>
  <c r="AE84" i="5"/>
  <c r="AC88" i="10" s="1"/>
  <c r="M84" i="5"/>
  <c r="AC84" i="5"/>
  <c r="AA88" i="10" s="1"/>
  <c r="AC69" i="5"/>
  <c r="AA73" i="10" s="1"/>
  <c r="N69" i="5"/>
  <c r="AP69" i="5" s="1"/>
  <c r="AY73" i="10" s="1"/>
  <c r="AD69" i="5"/>
  <c r="AB73" i="10" s="1"/>
  <c r="O69" i="5"/>
  <c r="AE69" i="5"/>
  <c r="AC73" i="10" s="1"/>
  <c r="M69" i="5"/>
  <c r="O61" i="5"/>
  <c r="M61" i="5"/>
  <c r="AE61" i="5"/>
  <c r="AC65" i="10" s="1"/>
  <c r="AC61" i="5"/>
  <c r="AA65" i="10" s="1"/>
  <c r="N61" i="5"/>
  <c r="AP61" i="5" s="1"/>
  <c r="AY65" i="10" s="1"/>
  <c r="AD61" i="5"/>
  <c r="AB65" i="10" s="1"/>
  <c r="AQ80" i="10"/>
  <c r="AQ78" i="10"/>
  <c r="AQ103" i="10"/>
  <c r="AB44" i="10"/>
  <c r="AC40" i="5"/>
  <c r="AC38" i="5"/>
  <c r="AA42" i="10" s="1"/>
  <c r="AD49" i="5"/>
  <c r="AB53" i="10" s="1"/>
  <c r="AD47" i="5"/>
  <c r="AB51" i="10" s="1"/>
  <c r="AD45" i="5"/>
  <c r="AB49" i="10" s="1"/>
  <c r="AD41" i="5"/>
  <c r="AB45" i="10" s="1"/>
  <c r="AD39" i="5"/>
  <c r="AB43" i="10" s="1"/>
  <c r="AD37" i="5"/>
  <c r="AB41" i="10" s="1"/>
  <c r="AE46" i="5"/>
  <c r="AC50" i="10" s="1"/>
  <c r="AE40" i="5"/>
  <c r="AQ40" i="5" s="1"/>
  <c r="AE38" i="5"/>
  <c r="AC42" i="10" s="1"/>
  <c r="AF35" i="5"/>
  <c r="AG46" i="5"/>
  <c r="AE50" i="10" s="1"/>
  <c r="AG44" i="5"/>
  <c r="AE48" i="10" s="1"/>
  <c r="AG42" i="5"/>
  <c r="AE46" i="10" s="1"/>
  <c r="AG38" i="5"/>
  <c r="AE42" i="10" s="1"/>
  <c r="AG36" i="5"/>
  <c r="AE40" i="10" s="1"/>
  <c r="AH42" i="5"/>
  <c r="AF46" i="10" s="1"/>
  <c r="J47" i="5"/>
  <c r="J39" i="5"/>
  <c r="BN56" i="10"/>
  <c r="G65" i="15"/>
  <c r="I65" i="15" s="1"/>
  <c r="H295" i="15"/>
  <c r="J295" i="15" s="1"/>
  <c r="L138" i="5"/>
  <c r="AN138" i="5" s="1"/>
  <c r="AW142" i="10" s="1"/>
  <c r="AB138" i="5"/>
  <c r="Z142" i="10" s="1"/>
  <c r="K138" i="5"/>
  <c r="J138" i="5"/>
  <c r="Z138" i="5"/>
  <c r="X142" i="10" s="1"/>
  <c r="AA138" i="5"/>
  <c r="Y142" i="10" s="1"/>
  <c r="AB115" i="5"/>
  <c r="Z119" i="10" s="1"/>
  <c r="K115" i="5"/>
  <c r="AM115" i="5" s="1"/>
  <c r="AV119" i="10" s="1"/>
  <c r="AA115" i="5"/>
  <c r="Y119" i="10" s="1"/>
  <c r="J115" i="5"/>
  <c r="Z115" i="5"/>
  <c r="X119" i="10" s="1"/>
  <c r="L115" i="5"/>
  <c r="L107" i="5"/>
  <c r="Z107" i="5"/>
  <c r="AB107" i="5"/>
  <c r="AA107" i="5"/>
  <c r="K107" i="5"/>
  <c r="J107" i="5"/>
  <c r="AB92" i="5"/>
  <c r="Z96" i="10" s="1"/>
  <c r="K92" i="5"/>
  <c r="AA92" i="5"/>
  <c r="Y96" i="10" s="1"/>
  <c r="J92" i="5"/>
  <c r="Z92" i="5"/>
  <c r="X96" i="10" s="1"/>
  <c r="L92" i="5"/>
  <c r="AN92" i="5" s="1"/>
  <c r="AW96" i="10" s="1"/>
  <c r="AB84" i="5"/>
  <c r="Z88" i="10" s="1"/>
  <c r="K84" i="5"/>
  <c r="AA84" i="5"/>
  <c r="Y88" i="10" s="1"/>
  <c r="J84" i="5"/>
  <c r="Z84" i="5"/>
  <c r="X88" i="10" s="1"/>
  <c r="L84" i="5"/>
  <c r="AN84" i="5" s="1"/>
  <c r="AW88" i="10" s="1"/>
  <c r="K69" i="5"/>
  <c r="AA69" i="5"/>
  <c r="Y73" i="10" s="1"/>
  <c r="L69" i="5"/>
  <c r="AN69" i="5" s="1"/>
  <c r="AW73" i="10" s="1"/>
  <c r="AB69" i="5"/>
  <c r="Z73" i="10" s="1"/>
  <c r="J69" i="5"/>
  <c r="Z69" i="5"/>
  <c r="X73" i="10" s="1"/>
  <c r="K61" i="5"/>
  <c r="L61" i="5"/>
  <c r="AA61" i="5"/>
  <c r="Y65" i="10" s="1"/>
  <c r="AB61" i="5"/>
  <c r="Z65" i="10" s="1"/>
  <c r="J61" i="5"/>
  <c r="AL61" i="5" s="1"/>
  <c r="AU65" i="10" s="1"/>
  <c r="Z61" i="5"/>
  <c r="X65" i="10" s="1"/>
  <c r="L46" i="5"/>
  <c r="AB46" i="5"/>
  <c r="Z50" i="10" s="1"/>
  <c r="K46" i="5"/>
  <c r="AA46" i="5"/>
  <c r="Y50" i="10" s="1"/>
  <c r="L38" i="5"/>
  <c r="AN38" i="5" s="1"/>
  <c r="AW42" i="10" s="1"/>
  <c r="AB38" i="5"/>
  <c r="Z42" i="10" s="1"/>
  <c r="J38" i="5"/>
  <c r="Z38" i="5"/>
  <c r="X42" i="10" s="1"/>
  <c r="K38" i="5"/>
  <c r="AA38" i="5"/>
  <c r="Y42" i="10" s="1"/>
  <c r="R139" i="5"/>
  <c r="Q139" i="5"/>
  <c r="AS139" i="5" s="1"/>
  <c r="BB143" i="10" s="1"/>
  <c r="AH139" i="5"/>
  <c r="AF143" i="10" s="1"/>
  <c r="P139" i="5"/>
  <c r="AG139" i="5"/>
  <c r="AE143" i="10" s="1"/>
  <c r="AF139" i="5"/>
  <c r="AD143" i="10" s="1"/>
  <c r="Q131" i="5"/>
  <c r="AG131" i="5"/>
  <c r="P131" i="5"/>
  <c r="R131" i="5"/>
  <c r="AF131" i="5"/>
  <c r="AH131" i="5"/>
  <c r="AH121" i="5"/>
  <c r="AF125" i="10" s="1"/>
  <c r="P121" i="5"/>
  <c r="AG121" i="5"/>
  <c r="AE125" i="10" s="1"/>
  <c r="AF121" i="5"/>
  <c r="AD125" i="10" s="1"/>
  <c r="R121" i="5"/>
  <c r="AT121" i="5" s="1"/>
  <c r="BC125" i="10" s="1"/>
  <c r="Q121" i="5"/>
  <c r="AS121" i="5" s="1"/>
  <c r="BB125" i="10" s="1"/>
  <c r="AH113" i="5"/>
  <c r="AF117" i="10" s="1"/>
  <c r="P113" i="5"/>
  <c r="AG113" i="5"/>
  <c r="AE117" i="10" s="1"/>
  <c r="AF113" i="5"/>
  <c r="AD117" i="10" s="1"/>
  <c r="Q113" i="5"/>
  <c r="AS113" i="5" s="1"/>
  <c r="BB117" i="10" s="1"/>
  <c r="R113" i="5"/>
  <c r="AF95" i="5"/>
  <c r="AD99" i="10" s="1"/>
  <c r="R95" i="5"/>
  <c r="AH95" i="5"/>
  <c r="AF99" i="10" s="1"/>
  <c r="Q95" i="5"/>
  <c r="AS95" i="5" s="1"/>
  <c r="BB99" i="10" s="1"/>
  <c r="AG95" i="5"/>
  <c r="AE99" i="10" s="1"/>
  <c r="P95" i="5"/>
  <c r="AF87" i="5"/>
  <c r="AD91" i="10" s="1"/>
  <c r="R87" i="5"/>
  <c r="P87" i="5"/>
  <c r="AR87" i="5" s="1"/>
  <c r="BA91" i="10" s="1"/>
  <c r="AH87" i="5"/>
  <c r="AF91" i="10" s="1"/>
  <c r="Q87" i="5"/>
  <c r="AS87" i="5" s="1"/>
  <c r="BB91" i="10" s="1"/>
  <c r="AG87" i="5"/>
  <c r="AE91" i="10" s="1"/>
  <c r="P69" i="5"/>
  <c r="AF69" i="5"/>
  <c r="AD73" i="10" s="1"/>
  <c r="Q69" i="5"/>
  <c r="AG69" i="5"/>
  <c r="AE73" i="10" s="1"/>
  <c r="R69" i="5"/>
  <c r="AH69" i="5"/>
  <c r="AF73" i="10" s="1"/>
  <c r="R61" i="5"/>
  <c r="AT61" i="5" s="1"/>
  <c r="BC65" i="10" s="1"/>
  <c r="AH61" i="5"/>
  <c r="AF65" i="10" s="1"/>
  <c r="Q61" i="5"/>
  <c r="AG61" i="5"/>
  <c r="AE65" i="10" s="1"/>
  <c r="P61" i="5"/>
  <c r="AF61" i="5"/>
  <c r="AD65" i="10" s="1"/>
  <c r="AH43" i="5"/>
  <c r="AF47" i="10" s="1"/>
  <c r="N145" i="5"/>
  <c r="AD145" i="5"/>
  <c r="AB149" i="10" s="1"/>
  <c r="O145" i="5"/>
  <c r="M145" i="5"/>
  <c r="AC145" i="5"/>
  <c r="AA149" i="10" s="1"/>
  <c r="AE145" i="5"/>
  <c r="AC149" i="10" s="1"/>
  <c r="N137" i="5"/>
  <c r="AD137" i="5"/>
  <c r="AB141" i="10" s="1"/>
  <c r="O137" i="5"/>
  <c r="AQ137" i="5" s="1"/>
  <c r="AZ141" i="10" s="1"/>
  <c r="M137" i="5"/>
  <c r="AO137" i="5" s="1"/>
  <c r="AX141" i="10" s="1"/>
  <c r="AC137" i="5"/>
  <c r="AA141" i="10" s="1"/>
  <c r="AE137" i="5"/>
  <c r="AC141" i="10" s="1"/>
  <c r="AD114" i="5"/>
  <c r="AB118" i="10" s="1"/>
  <c r="O114" i="5"/>
  <c r="AE114" i="5"/>
  <c r="AC118" i="10" s="1"/>
  <c r="M114" i="5"/>
  <c r="AC114" i="5"/>
  <c r="AA118" i="10" s="1"/>
  <c r="N114" i="5"/>
  <c r="AP114" i="5" s="1"/>
  <c r="AY118" i="10" s="1"/>
  <c r="O91" i="5"/>
  <c r="AQ91" i="5" s="1"/>
  <c r="AZ95" i="10" s="1"/>
  <c r="AE91" i="5"/>
  <c r="AC95" i="10" s="1"/>
  <c r="M91" i="5"/>
  <c r="AC91" i="5"/>
  <c r="AA95" i="10" s="1"/>
  <c r="N91" i="5"/>
  <c r="AD91" i="5"/>
  <c r="AB95" i="10" s="1"/>
  <c r="O83" i="5"/>
  <c r="AE83" i="5"/>
  <c r="M83" i="5"/>
  <c r="AC83" i="5"/>
  <c r="N83" i="5"/>
  <c r="AD83" i="5"/>
  <c r="M68" i="5"/>
  <c r="AC68" i="5"/>
  <c r="AA72" i="10" s="1"/>
  <c r="N68" i="5"/>
  <c r="AD68" i="5"/>
  <c r="AB72" i="10" s="1"/>
  <c r="O68" i="5"/>
  <c r="AQ68" i="5" s="1"/>
  <c r="AZ72" i="10" s="1"/>
  <c r="AE68" i="5"/>
  <c r="AC72" i="10" s="1"/>
  <c r="N60" i="5"/>
  <c r="AD60" i="5"/>
  <c r="AB64" i="10" s="1"/>
  <c r="M60" i="5"/>
  <c r="O60" i="5"/>
  <c r="AE60" i="5"/>
  <c r="AC64" i="10" s="1"/>
  <c r="AC60" i="5"/>
  <c r="AA64" i="10" s="1"/>
  <c r="BN80" i="10"/>
  <c r="BN78" i="10"/>
  <c r="BN103" i="10"/>
  <c r="M48" i="5"/>
  <c r="M46" i="5"/>
  <c r="M40" i="5"/>
  <c r="M38" i="5"/>
  <c r="AO38" i="5" s="1"/>
  <c r="AX42" i="10" s="1"/>
  <c r="P43" i="5"/>
  <c r="AR43" i="5" s="1"/>
  <c r="BA47" i="10" s="1"/>
  <c r="P35" i="5"/>
  <c r="Q44" i="5"/>
  <c r="Q42" i="5"/>
  <c r="Q36" i="5"/>
  <c r="AS36" i="5" s="1"/>
  <c r="BB40" i="10" s="1"/>
  <c r="AH36" i="5"/>
  <c r="G178" i="15"/>
  <c r="I178" i="15" s="1"/>
  <c r="H296" i="15"/>
  <c r="J296" i="15" s="1"/>
  <c r="K295" i="15"/>
  <c r="AD70" i="5"/>
  <c r="AB74" i="10" s="1"/>
  <c r="AB145" i="5"/>
  <c r="Z149" i="10" s="1"/>
  <c r="L145" i="5"/>
  <c r="AN145" i="5" s="1"/>
  <c r="AW149" i="10" s="1"/>
  <c r="K145" i="5"/>
  <c r="J145" i="5"/>
  <c r="Z145" i="5"/>
  <c r="X149" i="10" s="1"/>
  <c r="AA145" i="5"/>
  <c r="Y149" i="10" s="1"/>
  <c r="AB137" i="5"/>
  <c r="Z141" i="10" s="1"/>
  <c r="K137" i="5"/>
  <c r="AA137" i="5"/>
  <c r="Y141" i="10" s="1"/>
  <c r="J137" i="5"/>
  <c r="AL137" i="5" s="1"/>
  <c r="AU141" i="10" s="1"/>
  <c r="Z137" i="5"/>
  <c r="X141" i="10" s="1"/>
  <c r="L137" i="5"/>
  <c r="Z114" i="5"/>
  <c r="X118" i="10" s="1"/>
  <c r="J114" i="5"/>
  <c r="AL114" i="5" s="1"/>
  <c r="AU118" i="10" s="1"/>
  <c r="L114" i="5"/>
  <c r="AB114" i="5"/>
  <c r="Z118" i="10" s="1"/>
  <c r="K114" i="5"/>
  <c r="AA114" i="5"/>
  <c r="Y118" i="10" s="1"/>
  <c r="L91" i="5"/>
  <c r="K91" i="5"/>
  <c r="AA91" i="5"/>
  <c r="Y95" i="10" s="1"/>
  <c r="AB91" i="5"/>
  <c r="Z95" i="10" s="1"/>
  <c r="J91" i="5"/>
  <c r="Z91" i="5"/>
  <c r="X95" i="10" s="1"/>
  <c r="L83" i="5"/>
  <c r="J83" i="5"/>
  <c r="K83" i="5"/>
  <c r="AB83" i="5"/>
  <c r="Z83" i="5"/>
  <c r="AA83" i="5"/>
  <c r="AB68" i="5"/>
  <c r="Z72" i="10" s="1"/>
  <c r="K68" i="5"/>
  <c r="AA68" i="5"/>
  <c r="Y72" i="10" s="1"/>
  <c r="L68" i="5"/>
  <c r="AN68" i="5" s="1"/>
  <c r="AW72" i="10" s="1"/>
  <c r="J68" i="5"/>
  <c r="AL68" i="5" s="1"/>
  <c r="AU72" i="10" s="1"/>
  <c r="Z68" i="5"/>
  <c r="X72" i="10" s="1"/>
  <c r="K60" i="5"/>
  <c r="L60" i="5"/>
  <c r="AA60" i="5"/>
  <c r="Y64" i="10" s="1"/>
  <c r="AB60" i="5"/>
  <c r="Z64" i="10" s="1"/>
  <c r="J60" i="5"/>
  <c r="Z60" i="5"/>
  <c r="X64" i="10" s="1"/>
  <c r="L45" i="5"/>
  <c r="AN45" i="5" s="1"/>
  <c r="AW49" i="10" s="1"/>
  <c r="AB45" i="5"/>
  <c r="Z49" i="10" s="1"/>
  <c r="K45" i="5"/>
  <c r="AM45" i="5" s="1"/>
  <c r="AV49" i="10" s="1"/>
  <c r="L37" i="5"/>
  <c r="AN37" i="5" s="1"/>
  <c r="AW41" i="10" s="1"/>
  <c r="J37" i="5"/>
  <c r="Z37" i="5"/>
  <c r="X41" i="10" s="1"/>
  <c r="K37" i="5"/>
  <c r="AM37" i="5" s="1"/>
  <c r="AV41" i="10" s="1"/>
  <c r="AB37" i="5"/>
  <c r="Z41" i="10" s="1"/>
  <c r="R138" i="5"/>
  <c r="Q138" i="5"/>
  <c r="AH138" i="5"/>
  <c r="AF142" i="10" s="1"/>
  <c r="P138" i="5"/>
  <c r="AG138" i="5"/>
  <c r="AE142" i="10" s="1"/>
  <c r="AF138" i="5"/>
  <c r="AD142" i="10" s="1"/>
  <c r="R120" i="5"/>
  <c r="AT120" i="5" s="1"/>
  <c r="BC124" i="10" s="1"/>
  <c r="Q120" i="5"/>
  <c r="AH120" i="5"/>
  <c r="AF124" i="10" s="1"/>
  <c r="P120" i="5"/>
  <c r="AG120" i="5"/>
  <c r="AE124" i="10" s="1"/>
  <c r="AF120" i="5"/>
  <c r="AD124" i="10" s="1"/>
  <c r="R112" i="5"/>
  <c r="Q112" i="5"/>
  <c r="AH112" i="5"/>
  <c r="P112" i="5"/>
  <c r="AG112" i="5"/>
  <c r="AF112" i="5"/>
  <c r="AH94" i="5"/>
  <c r="AF98" i="10" s="1"/>
  <c r="P94" i="5"/>
  <c r="AG94" i="5"/>
  <c r="AE98" i="10" s="1"/>
  <c r="AF94" i="5"/>
  <c r="AD98" i="10" s="1"/>
  <c r="Q94" i="5"/>
  <c r="AS94" i="5" s="1"/>
  <c r="BB98" i="10" s="1"/>
  <c r="R94" i="5"/>
  <c r="AH86" i="5"/>
  <c r="AF90" i="10" s="1"/>
  <c r="P86" i="5"/>
  <c r="AG86" i="5"/>
  <c r="AE90" i="10" s="1"/>
  <c r="AF86" i="5"/>
  <c r="AD90" i="10" s="1"/>
  <c r="Q86" i="5"/>
  <c r="AS86" i="5" s="1"/>
  <c r="BB90" i="10" s="1"/>
  <c r="R86" i="5"/>
  <c r="AT86" i="5" s="1"/>
  <c r="BC90" i="10" s="1"/>
  <c r="AG68" i="5"/>
  <c r="AE72" i="10" s="1"/>
  <c r="R68" i="5"/>
  <c r="AT68" i="5" s="1"/>
  <c r="BC72" i="10" s="1"/>
  <c r="AH68" i="5"/>
  <c r="AF72" i="10" s="1"/>
  <c r="Q68" i="5"/>
  <c r="P68" i="5"/>
  <c r="AF68" i="5"/>
  <c r="AD72" i="10" s="1"/>
  <c r="AG60" i="5"/>
  <c r="AE64" i="10" s="1"/>
  <c r="P60" i="5"/>
  <c r="AF60" i="5"/>
  <c r="AD64" i="10" s="1"/>
  <c r="R60" i="5"/>
  <c r="AT60" i="5" s="1"/>
  <c r="BC64" i="10" s="1"/>
  <c r="AH60" i="5"/>
  <c r="AF64" i="10" s="1"/>
  <c r="Q60" i="5"/>
  <c r="O144" i="5"/>
  <c r="AE144" i="5"/>
  <c r="AC148" i="10" s="1"/>
  <c r="M144" i="5"/>
  <c r="AC144" i="5"/>
  <c r="AA148" i="10" s="1"/>
  <c r="N144" i="5"/>
  <c r="AP144" i="5" s="1"/>
  <c r="AY148" i="10" s="1"/>
  <c r="AD144" i="5"/>
  <c r="AB148" i="10" s="1"/>
  <c r="O136" i="5"/>
  <c r="AE136" i="5"/>
  <c r="M136" i="5"/>
  <c r="AC136" i="5"/>
  <c r="AD136" i="5"/>
  <c r="N136" i="5"/>
  <c r="M121" i="5"/>
  <c r="AO121" i="5" s="1"/>
  <c r="AX125" i="10" s="1"/>
  <c r="AC121" i="5"/>
  <c r="AA125" i="10" s="1"/>
  <c r="AD121" i="5"/>
  <c r="AB125" i="10" s="1"/>
  <c r="O121" i="5"/>
  <c r="AE121" i="5"/>
  <c r="AC125" i="10" s="1"/>
  <c r="N121" i="5"/>
  <c r="AP121" i="5" s="1"/>
  <c r="AY125" i="10" s="1"/>
  <c r="M113" i="5"/>
  <c r="AC113" i="5"/>
  <c r="AA117" i="10" s="1"/>
  <c r="N113" i="5"/>
  <c r="AP113" i="5" s="1"/>
  <c r="AY117" i="10" s="1"/>
  <c r="AD113" i="5"/>
  <c r="AB117" i="10" s="1"/>
  <c r="O113" i="5"/>
  <c r="AE113" i="5"/>
  <c r="AC117" i="10" s="1"/>
  <c r="N90" i="5"/>
  <c r="AD90" i="5"/>
  <c r="AB94" i="10" s="1"/>
  <c r="O90" i="5"/>
  <c r="AE90" i="5"/>
  <c r="AC94" i="10" s="1"/>
  <c r="M90" i="5"/>
  <c r="AO90" i="5" s="1"/>
  <c r="AX94" i="10" s="1"/>
  <c r="AC90" i="5"/>
  <c r="AA94" i="10" s="1"/>
  <c r="N67" i="5"/>
  <c r="AD67" i="5"/>
  <c r="AB71" i="10" s="1"/>
  <c r="O67" i="5"/>
  <c r="M67" i="5"/>
  <c r="AE67" i="5"/>
  <c r="AC71" i="10" s="1"/>
  <c r="AC67" i="5"/>
  <c r="AA71" i="10" s="1"/>
  <c r="AC59" i="5"/>
  <c r="O59" i="5"/>
  <c r="AE59" i="5"/>
  <c r="N59" i="5"/>
  <c r="M59" i="5"/>
  <c r="AD59" i="5"/>
  <c r="I215" i="5"/>
  <c r="AQ79" i="10"/>
  <c r="AQ152" i="10"/>
  <c r="AQ150" i="10"/>
  <c r="R35" i="5"/>
  <c r="BN54" i="10"/>
  <c r="K301" i="15"/>
  <c r="G298" i="15"/>
  <c r="I298" i="15" s="1"/>
  <c r="G57" i="15"/>
  <c r="I57" i="15" s="1"/>
  <c r="H175" i="15"/>
  <c r="J175" i="15" s="1"/>
  <c r="G171" i="15"/>
  <c r="I171" i="15" s="1"/>
  <c r="O171" i="15"/>
  <c r="Q171" i="15" s="1"/>
  <c r="S171" i="15" s="1"/>
  <c r="AK40" i="10" s="1"/>
  <c r="M195" i="15"/>
  <c r="M196" i="15" s="1"/>
  <c r="O194" i="15"/>
  <c r="Q194" i="15" s="1"/>
  <c r="K51" i="15"/>
  <c r="H87" i="15"/>
  <c r="J87" i="15" s="1"/>
  <c r="K61" i="15"/>
  <c r="K53" i="15"/>
  <c r="P52" i="15"/>
  <c r="R52" i="15" s="1"/>
  <c r="U52" i="15" s="1"/>
  <c r="M291" i="15"/>
  <c r="O290" i="15"/>
  <c r="Q290" i="15" s="1"/>
  <c r="H323" i="15"/>
  <c r="J323" i="15" s="1"/>
  <c r="H206" i="15"/>
  <c r="J206" i="15" s="1"/>
  <c r="H203" i="15"/>
  <c r="J203" i="15" s="1"/>
  <c r="G80" i="15"/>
  <c r="I80" i="15" s="1"/>
  <c r="H302" i="15"/>
  <c r="J302" i="15" s="1"/>
  <c r="K62" i="15"/>
  <c r="G299" i="15"/>
  <c r="I299" i="15" s="1"/>
  <c r="G292" i="15"/>
  <c r="I292" i="15" s="1"/>
  <c r="P54" i="15"/>
  <c r="R54" i="15" s="1"/>
  <c r="H54" i="15"/>
  <c r="J54" i="15" s="1"/>
  <c r="G172" i="15"/>
  <c r="I172" i="15" s="1"/>
  <c r="N172" i="15"/>
  <c r="P171" i="15"/>
  <c r="R171" i="15" s="1"/>
  <c r="U171" i="15" s="1"/>
  <c r="K170" i="15"/>
  <c r="K323" i="15"/>
  <c r="K206" i="15"/>
  <c r="G184" i="15"/>
  <c r="I184" i="15" s="1"/>
  <c r="K63" i="15"/>
  <c r="K176" i="15"/>
  <c r="K54" i="15"/>
  <c r="K290" i="15"/>
  <c r="O52" i="15"/>
  <c r="Q52" i="15" s="1"/>
  <c r="K324" i="15"/>
  <c r="K316" i="15"/>
  <c r="O315" i="15"/>
  <c r="Q315" i="15" s="1"/>
  <c r="M316" i="15"/>
  <c r="K174" i="15"/>
  <c r="H55" i="15"/>
  <c r="J55" i="15" s="1"/>
  <c r="K55" i="15" s="1"/>
  <c r="H182" i="15"/>
  <c r="J182" i="15" s="1"/>
  <c r="K182" i="15" s="1"/>
  <c r="H181" i="15"/>
  <c r="J181" i="15" s="1"/>
  <c r="K181" i="15" s="1"/>
  <c r="K297" i="15"/>
  <c r="H294" i="15"/>
  <c r="J294" i="15" s="1"/>
  <c r="G56" i="15"/>
  <c r="I56" i="15" s="1"/>
  <c r="G293" i="15"/>
  <c r="I293" i="15" s="1"/>
  <c r="M171" i="15"/>
  <c r="M172" i="15" s="1"/>
  <c r="M173" i="15" s="1"/>
  <c r="O170" i="15"/>
  <c r="Q170" i="15" s="1"/>
  <c r="H82" i="15"/>
  <c r="J82" i="15" s="1"/>
  <c r="G64" i="15"/>
  <c r="I64" i="15" s="1"/>
  <c r="G177" i="15"/>
  <c r="I177" i="15" s="1"/>
  <c r="K291" i="15"/>
  <c r="K318" i="15"/>
  <c r="P193" i="15"/>
  <c r="R193" i="15" s="1"/>
  <c r="U193" i="15" s="1"/>
  <c r="N194" i="15"/>
  <c r="S74" i="15"/>
  <c r="G204" i="15"/>
  <c r="I204" i="15" s="1"/>
  <c r="G321" i="15"/>
  <c r="I321" i="15" s="1"/>
  <c r="K202" i="15"/>
  <c r="K82" i="15"/>
  <c r="H324" i="15"/>
  <c r="J324" i="15" s="1"/>
  <c r="G85" i="15"/>
  <c r="I85" i="15" s="1"/>
  <c r="H319" i="15"/>
  <c r="J319" i="15" s="1"/>
  <c r="G84" i="15"/>
  <c r="I84" i="15" s="1"/>
  <c r="K205" i="15"/>
  <c r="K86" i="15"/>
  <c r="G317" i="15"/>
  <c r="I317" i="15" s="1"/>
  <c r="H199" i="15"/>
  <c r="J199" i="15" s="1"/>
  <c r="K81" i="15"/>
  <c r="K322" i="15"/>
  <c r="G326" i="15"/>
  <c r="I326" i="15" s="1"/>
  <c r="G201" i="15"/>
  <c r="I201" i="15" s="1"/>
  <c r="K198" i="15"/>
  <c r="G195" i="15"/>
  <c r="I195" i="15" s="1"/>
  <c r="O195" i="15"/>
  <c r="Q195" i="15" s="1"/>
  <c r="G193" i="15"/>
  <c r="I193" i="15" s="1"/>
  <c r="O193" i="15"/>
  <c r="Q193" i="15" s="1"/>
  <c r="K74" i="15"/>
  <c r="H77" i="15"/>
  <c r="J77" i="15" s="1"/>
  <c r="K77" i="15" s="1"/>
  <c r="P313" i="15"/>
  <c r="R313" i="15" s="1"/>
  <c r="U313" i="15" s="1"/>
  <c r="N314" i="15"/>
  <c r="H197" i="15"/>
  <c r="J197" i="15" s="1"/>
  <c r="K315" i="15"/>
  <c r="K197" i="15"/>
  <c r="G75" i="15"/>
  <c r="I75" i="15" s="1"/>
  <c r="O75" i="15"/>
  <c r="Q75" i="15" s="1"/>
  <c r="S75" i="15" s="1"/>
  <c r="AJ64" i="10" s="1"/>
  <c r="G312" i="15"/>
  <c r="I312" i="15" s="1"/>
  <c r="O312" i="15"/>
  <c r="Q312" i="15" s="1"/>
  <c r="S312" i="15" s="1"/>
  <c r="O76" i="15"/>
  <c r="Q76" i="15" s="1"/>
  <c r="M77" i="15"/>
  <c r="K76" i="15"/>
  <c r="P75" i="15"/>
  <c r="R75" i="15" s="1"/>
  <c r="U75" i="15" s="1"/>
  <c r="N76" i="15"/>
  <c r="H316" i="15"/>
  <c r="J316" i="15" s="1"/>
  <c r="G314" i="15"/>
  <c r="I314" i="15" s="1"/>
  <c r="O314" i="15"/>
  <c r="Q314" i="15" s="1"/>
  <c r="K196" i="15"/>
  <c r="K348" i="15"/>
  <c r="G110" i="15"/>
  <c r="I110" i="15" s="1"/>
  <c r="O110" i="15"/>
  <c r="Q110" i="15" s="1"/>
  <c r="K343" i="15"/>
  <c r="P349" i="15"/>
  <c r="R349" i="15" s="1"/>
  <c r="H349" i="15"/>
  <c r="J349" i="15" s="1"/>
  <c r="U349" i="15" s="1"/>
  <c r="G111" i="15"/>
  <c r="I111" i="15" s="1"/>
  <c r="O111" i="15"/>
  <c r="Q111" i="15" s="1"/>
  <c r="K228" i="15"/>
  <c r="K341" i="15"/>
  <c r="K229" i="15"/>
  <c r="K345" i="15"/>
  <c r="K225" i="15"/>
  <c r="K222" i="15"/>
  <c r="P347" i="15"/>
  <c r="R347" i="15" s="1"/>
  <c r="H347" i="15"/>
  <c r="J347" i="15" s="1"/>
  <c r="U347" i="15" s="1"/>
  <c r="K227" i="15"/>
  <c r="K342" i="15"/>
  <c r="M104" i="15"/>
  <c r="M105" i="15" s="1"/>
  <c r="M106" i="15" s="1"/>
  <c r="M107" i="15" s="1"/>
  <c r="M108" i="15" s="1"/>
  <c r="M109" i="15" s="1"/>
  <c r="M110" i="15" s="1"/>
  <c r="M111" i="15" s="1"/>
  <c r="O103" i="15"/>
  <c r="Q103" i="15" s="1"/>
  <c r="K230" i="15"/>
  <c r="K347" i="15"/>
  <c r="G109" i="15"/>
  <c r="I109" i="15" s="1"/>
  <c r="O109" i="15"/>
  <c r="Q109" i="15" s="1"/>
  <c r="K226" i="15"/>
  <c r="K223" i="15"/>
  <c r="P348" i="15"/>
  <c r="R348" i="15" s="1"/>
  <c r="H348" i="15"/>
  <c r="J348" i="15" s="1"/>
  <c r="U348" i="15" s="1"/>
  <c r="K108" i="15"/>
  <c r="O101" i="15"/>
  <c r="Q101" i="15" s="1"/>
  <c r="H251" i="15"/>
  <c r="J251" i="15" s="1"/>
  <c r="K337" i="15"/>
  <c r="K336" i="15"/>
  <c r="M337" i="15"/>
  <c r="O336" i="15"/>
  <c r="Q336" i="15" s="1"/>
  <c r="O335" i="15"/>
  <c r="Q335" i="15" s="1"/>
  <c r="S335" i="15" s="1"/>
  <c r="N99" i="15"/>
  <c r="P98" i="15"/>
  <c r="R98" i="15" s="1"/>
  <c r="U98" i="15" s="1"/>
  <c r="K97" i="15"/>
  <c r="K245" i="15"/>
  <c r="N218" i="15"/>
  <c r="P217" i="15"/>
  <c r="R217" i="15" s="1"/>
  <c r="U217" i="15" s="1"/>
  <c r="S97" i="15"/>
  <c r="K247" i="15"/>
  <c r="K246" i="15"/>
  <c r="G221" i="15"/>
  <c r="I221" i="15" s="1"/>
  <c r="O221" i="15"/>
  <c r="Q221" i="15" s="1"/>
  <c r="P337" i="15"/>
  <c r="R337" i="15" s="1"/>
  <c r="U337" i="15" s="1"/>
  <c r="P336" i="15"/>
  <c r="R336" i="15" s="1"/>
  <c r="U336" i="15" s="1"/>
  <c r="P216" i="15"/>
  <c r="R216" i="15" s="1"/>
  <c r="U216" i="15" s="1"/>
  <c r="K340" i="15"/>
  <c r="G220" i="15"/>
  <c r="I220" i="15" s="1"/>
  <c r="O220" i="15"/>
  <c r="Q220" i="15" s="1"/>
  <c r="H346" i="15"/>
  <c r="J346" i="15" s="1"/>
  <c r="U346" i="15" s="1"/>
  <c r="O108" i="15"/>
  <c r="Q108" i="15" s="1"/>
  <c r="H345" i="15"/>
  <c r="J345" i="15" s="1"/>
  <c r="U345" i="15" s="1"/>
  <c r="O107" i="15"/>
  <c r="Q107" i="15" s="1"/>
  <c r="H344" i="15"/>
  <c r="J344" i="15" s="1"/>
  <c r="U344" i="15" s="1"/>
  <c r="O106" i="15"/>
  <c r="Q106" i="15" s="1"/>
  <c r="H343" i="15"/>
  <c r="J343" i="15" s="1"/>
  <c r="U343" i="15" s="1"/>
  <c r="O105" i="15"/>
  <c r="Q105" i="15" s="1"/>
  <c r="H342" i="15"/>
  <c r="J342" i="15" s="1"/>
  <c r="U342" i="15" s="1"/>
  <c r="O104" i="15"/>
  <c r="Q104" i="15" s="1"/>
  <c r="H341" i="15"/>
  <c r="J341" i="15" s="1"/>
  <c r="U341" i="15" s="1"/>
  <c r="G102" i="15"/>
  <c r="I102" i="15" s="1"/>
  <c r="G219" i="15"/>
  <c r="I219" i="15" s="1"/>
  <c r="O219" i="15"/>
  <c r="Q219" i="15" s="1"/>
  <c r="G216" i="15"/>
  <c r="I216" i="15" s="1"/>
  <c r="O216" i="15"/>
  <c r="Q216" i="15" s="1"/>
  <c r="S216" i="15" s="1"/>
  <c r="H97" i="15"/>
  <c r="J97" i="15" s="1"/>
  <c r="U97" i="15" s="1"/>
  <c r="N134" i="15"/>
  <c r="K339" i="15"/>
  <c r="G218" i="15"/>
  <c r="I218" i="15" s="1"/>
  <c r="O218" i="15"/>
  <c r="Q218" i="15" s="1"/>
  <c r="G217" i="15"/>
  <c r="I217" i="15" s="1"/>
  <c r="O217" i="15"/>
  <c r="Q217" i="15" s="1"/>
  <c r="S217" i="15" s="1"/>
  <c r="AK88" i="10" s="1"/>
  <c r="G335" i="15"/>
  <c r="I335" i="15" s="1"/>
  <c r="K241" i="15"/>
  <c r="V241" i="15" s="1"/>
  <c r="BH113" i="10" s="1"/>
  <c r="S120" i="15"/>
  <c r="N264" i="15"/>
  <c r="P263" i="15"/>
  <c r="R263" i="15" s="1"/>
  <c r="U263" i="15" s="1"/>
  <c r="P262" i="15"/>
  <c r="R262" i="15" s="1"/>
  <c r="U262" i="15" s="1"/>
  <c r="S143" i="15"/>
  <c r="H253" i="15"/>
  <c r="J253" i="15" s="1"/>
  <c r="K251" i="15"/>
  <c r="K248" i="15"/>
  <c r="N246" i="15"/>
  <c r="H123" i="15"/>
  <c r="J123" i="15" s="1"/>
  <c r="P123" i="15"/>
  <c r="R123" i="15" s="1"/>
  <c r="K264" i="15"/>
  <c r="S263" i="15"/>
  <c r="AK136" i="10" s="1"/>
  <c r="K253" i="15"/>
  <c r="G371" i="15"/>
  <c r="I371" i="15" s="1"/>
  <c r="G370" i="15"/>
  <c r="I370" i="15" s="1"/>
  <c r="H132" i="15"/>
  <c r="J132" i="15" s="1"/>
  <c r="K123" i="15"/>
  <c r="N359" i="15"/>
  <c r="P358" i="15"/>
  <c r="R358" i="15" s="1"/>
  <c r="U358" i="15" s="1"/>
  <c r="H134" i="15"/>
  <c r="J134" i="15" s="1"/>
  <c r="K134" i="15"/>
  <c r="G252" i="15"/>
  <c r="I252" i="15" s="1"/>
  <c r="K369" i="15"/>
  <c r="O360" i="15"/>
  <c r="Q360" i="15" s="1"/>
  <c r="K250" i="15"/>
  <c r="M251" i="15"/>
  <c r="O250" i="15"/>
  <c r="Q250" i="15" s="1"/>
  <c r="O361" i="15"/>
  <c r="Q361" i="15" s="1"/>
  <c r="M362" i="15"/>
  <c r="P120" i="15"/>
  <c r="R120" i="15" s="1"/>
  <c r="H120" i="15"/>
  <c r="J120" i="15" s="1"/>
  <c r="U120" i="15" s="1"/>
  <c r="P134" i="15"/>
  <c r="R134" i="15" s="1"/>
  <c r="P132" i="15"/>
  <c r="R132" i="15" s="1"/>
  <c r="P131" i="15"/>
  <c r="R131" i="15" s="1"/>
  <c r="U131" i="15" s="1"/>
  <c r="H243" i="15"/>
  <c r="J243" i="15" s="1"/>
  <c r="K121" i="15"/>
  <c r="V121" i="15" s="1"/>
  <c r="BG112" i="10" s="1"/>
  <c r="S245" i="15"/>
  <c r="AK117" i="10" s="1"/>
  <c r="S244" i="15"/>
  <c r="K243" i="15"/>
  <c r="S241" i="15"/>
  <c r="AK113" i="10" s="1"/>
  <c r="K122" i="15"/>
  <c r="H252" i="15"/>
  <c r="J252" i="15" s="1"/>
  <c r="H249" i="15"/>
  <c r="J249" i="15" s="1"/>
  <c r="K249" i="15" s="1"/>
  <c r="K130" i="15"/>
  <c r="H242" i="15"/>
  <c r="J242" i="15" s="1"/>
  <c r="U242" i="15" s="1"/>
  <c r="K133" i="15"/>
  <c r="K129" i="15"/>
  <c r="K128" i="15"/>
  <c r="K127" i="15"/>
  <c r="K126" i="15"/>
  <c r="K125" i="15"/>
  <c r="P243" i="15"/>
  <c r="R243" i="15" s="1"/>
  <c r="S243" i="15" s="1"/>
  <c r="AK115" i="10" s="1"/>
  <c r="H241" i="15"/>
  <c r="J241" i="15" s="1"/>
  <c r="U241" i="15" s="1"/>
  <c r="H250" i="15"/>
  <c r="J250" i="15" s="1"/>
  <c r="H248" i="15"/>
  <c r="J248" i="15" s="1"/>
  <c r="H247" i="15"/>
  <c r="J247" i="15" s="1"/>
  <c r="H246" i="15"/>
  <c r="J246" i="15" s="1"/>
  <c r="H245" i="15"/>
  <c r="J245" i="15" s="1"/>
  <c r="U245" i="15" s="1"/>
  <c r="H244" i="15"/>
  <c r="J244" i="15" s="1"/>
  <c r="U244" i="15" s="1"/>
  <c r="K124" i="15"/>
  <c r="P242" i="15"/>
  <c r="R242" i="15" s="1"/>
  <c r="S242" i="15" s="1"/>
  <c r="AK114" i="10" s="1"/>
  <c r="M123" i="15"/>
  <c r="O122" i="15"/>
  <c r="Q122" i="15" s="1"/>
  <c r="K358" i="15"/>
  <c r="H274" i="15"/>
  <c r="J274" i="15" s="1"/>
  <c r="K120" i="15"/>
  <c r="K276" i="15"/>
  <c r="G239" i="15"/>
  <c r="I239" i="15" s="1"/>
  <c r="O239" i="15"/>
  <c r="Q239" i="15" s="1"/>
  <c r="S239" i="15" s="1"/>
  <c r="G240" i="15"/>
  <c r="I240" i="15" s="1"/>
  <c r="O240" i="15"/>
  <c r="Q240" i="15" s="1"/>
  <c r="S240" i="15" s="1"/>
  <c r="AK112" i="10" s="1"/>
  <c r="O358" i="15"/>
  <c r="Q358" i="15" s="1"/>
  <c r="H265" i="15"/>
  <c r="J265" i="15" s="1"/>
  <c r="K153" i="15"/>
  <c r="H270" i="15"/>
  <c r="J270" i="15" s="1"/>
  <c r="S262" i="15"/>
  <c r="V262" i="15"/>
  <c r="M145" i="15"/>
  <c r="O144" i="15"/>
  <c r="Q144" i="15" s="1"/>
  <c r="K265" i="15"/>
  <c r="H276" i="15"/>
  <c r="J276" i="15" s="1"/>
  <c r="K394" i="15"/>
  <c r="H275" i="15"/>
  <c r="J275" i="15" s="1"/>
  <c r="K390" i="15"/>
  <c r="H271" i="15"/>
  <c r="J271" i="15" s="1"/>
  <c r="K270" i="15"/>
  <c r="K386" i="15"/>
  <c r="H267" i="15"/>
  <c r="J267" i="15" s="1"/>
  <c r="K267" i="15" s="1"/>
  <c r="H266" i="15"/>
  <c r="J266" i="15" s="1"/>
  <c r="K155" i="15"/>
  <c r="K151" i="15"/>
  <c r="N383" i="15"/>
  <c r="P382" i="15"/>
  <c r="R382" i="15" s="1"/>
  <c r="U382" i="15" s="1"/>
  <c r="P381" i="15"/>
  <c r="R381" i="15" s="1"/>
  <c r="U381" i="15" s="1"/>
  <c r="K391" i="15"/>
  <c r="K271" i="15"/>
  <c r="K387" i="15"/>
  <c r="H268" i="15"/>
  <c r="J268" i="15" s="1"/>
  <c r="K266" i="15"/>
  <c r="K382" i="15"/>
  <c r="K156" i="15"/>
  <c r="K152" i="15"/>
  <c r="K148" i="15"/>
  <c r="K147" i="15"/>
  <c r="K146" i="15"/>
  <c r="K157" i="15"/>
  <c r="K272" i="15"/>
  <c r="H269" i="15"/>
  <c r="J269" i="15" s="1"/>
  <c r="K269" i="15" s="1"/>
  <c r="K268" i="15"/>
  <c r="K143" i="15"/>
  <c r="O276" i="15"/>
  <c r="Q276" i="15" s="1"/>
  <c r="O275" i="15"/>
  <c r="Q275" i="15" s="1"/>
  <c r="O274" i="15"/>
  <c r="Q274" i="15" s="1"/>
  <c r="O273" i="15"/>
  <c r="Q273" i="15" s="1"/>
  <c r="O272" i="15"/>
  <c r="Q272" i="15" s="1"/>
  <c r="O271" i="15"/>
  <c r="Q271" i="15" s="1"/>
  <c r="O270" i="15"/>
  <c r="Q270" i="15" s="1"/>
  <c r="O269" i="15"/>
  <c r="Q269" i="15" s="1"/>
  <c r="O268" i="15"/>
  <c r="Q268" i="15" s="1"/>
  <c r="O267" i="15"/>
  <c r="Q267" i="15" s="1"/>
  <c r="O381" i="15"/>
  <c r="Q381" i="15" s="1"/>
  <c r="P143" i="15"/>
  <c r="R143" i="15" s="1"/>
  <c r="U143" i="15" s="1"/>
  <c r="S55" i="10" l="1"/>
  <c r="S54" i="10"/>
  <c r="S56" i="10"/>
  <c r="AE54" i="10"/>
  <c r="U31" i="10"/>
  <c r="Y31" i="10" s="1"/>
  <c r="V31" i="10"/>
  <c r="Z31" i="10" s="1"/>
  <c r="W31" i="10"/>
  <c r="AA31" i="10" s="1"/>
  <c r="AZ44" i="10"/>
  <c r="S381" i="15"/>
  <c r="T381" i="15"/>
  <c r="N360" i="15"/>
  <c r="P359" i="15"/>
  <c r="R359" i="15" s="1"/>
  <c r="K219" i="15"/>
  <c r="T219" i="15"/>
  <c r="AA63" i="10"/>
  <c r="H206" i="5"/>
  <c r="H186" i="5"/>
  <c r="AQ88" i="5"/>
  <c r="F197" i="5"/>
  <c r="AS107" i="5"/>
  <c r="E238" i="5"/>
  <c r="E218" i="5"/>
  <c r="AN64" i="5"/>
  <c r="F166" i="5"/>
  <c r="T261" i="15"/>
  <c r="K261" i="15"/>
  <c r="D418" i="15"/>
  <c r="AJ111" i="10"/>
  <c r="K80" i="15"/>
  <c r="AR60" i="5"/>
  <c r="BA64" i="10" s="1"/>
  <c r="AL60" i="5"/>
  <c r="AU64" i="10" s="1"/>
  <c r="AN83" i="5"/>
  <c r="F177" i="5"/>
  <c r="F157" i="5"/>
  <c r="AM114" i="5"/>
  <c r="AV118" i="10" s="1"/>
  <c r="AO40" i="5"/>
  <c r="D195" i="5"/>
  <c r="AP68" i="5"/>
  <c r="AY72" i="10" s="1"/>
  <c r="AQ83" i="5"/>
  <c r="F187" i="5"/>
  <c r="F207" i="5"/>
  <c r="AP145" i="5"/>
  <c r="AY149" i="10" s="1"/>
  <c r="AT95" i="5"/>
  <c r="BC99" i="10" s="1"/>
  <c r="AT131" i="5"/>
  <c r="F219" i="5"/>
  <c r="F239" i="5"/>
  <c r="AM69" i="5"/>
  <c r="AV73" i="10" s="1"/>
  <c r="Z111" i="10"/>
  <c r="J178" i="5"/>
  <c r="J158" i="5"/>
  <c r="AQ92" i="5"/>
  <c r="AZ96" i="10" s="1"/>
  <c r="AC111" i="10"/>
  <c r="J188" i="5"/>
  <c r="J208" i="5"/>
  <c r="AO115" i="5"/>
  <c r="AX119" i="10" s="1"/>
  <c r="AS70" i="5"/>
  <c r="BB74" i="10" s="1"/>
  <c r="AT88" i="5"/>
  <c r="F227" i="5"/>
  <c r="AB135" i="10"/>
  <c r="I209" i="5"/>
  <c r="I189" i="5"/>
  <c r="AQ63" i="5"/>
  <c r="AZ67" i="10" s="1"/>
  <c r="AT64" i="5"/>
  <c r="F226" i="5"/>
  <c r="N292" i="15"/>
  <c r="P291" i="15"/>
  <c r="R291" i="15" s="1"/>
  <c r="U291" i="15" s="1"/>
  <c r="AQ87" i="5"/>
  <c r="AZ91" i="10" s="1"/>
  <c r="AC116" i="10"/>
  <c r="AC127" i="10" s="1"/>
  <c r="J198" i="5"/>
  <c r="AO120" i="5"/>
  <c r="AX124" i="10" s="1"/>
  <c r="AO64" i="5"/>
  <c r="D196" i="5"/>
  <c r="AP72" i="5"/>
  <c r="AY76" i="10" s="1"/>
  <c r="AB92" i="10"/>
  <c r="AB103" i="10" s="1"/>
  <c r="I197" i="5"/>
  <c r="AD111" i="10"/>
  <c r="H238" i="5"/>
  <c r="H218" i="5"/>
  <c r="AS141" i="5"/>
  <c r="BB145" i="10" s="1"/>
  <c r="AM40" i="5"/>
  <c r="E165" i="5"/>
  <c r="AL71" i="5"/>
  <c r="AU75" i="10" s="1"/>
  <c r="AM86" i="5"/>
  <c r="AV90" i="10" s="1"/>
  <c r="AM135" i="5"/>
  <c r="AV139" i="10" s="1"/>
  <c r="I205" i="5"/>
  <c r="AB39" i="10"/>
  <c r="I185" i="5"/>
  <c r="AP73" i="5"/>
  <c r="AY77" i="10" s="1"/>
  <c r="AQ89" i="5"/>
  <c r="AZ93" i="10" s="1"/>
  <c r="AS46" i="5"/>
  <c r="BB50" i="10" s="1"/>
  <c r="Y68" i="10"/>
  <c r="I166" i="5"/>
  <c r="AL95" i="5"/>
  <c r="AU99" i="10" s="1"/>
  <c r="AP66" i="5"/>
  <c r="AY70" i="10" s="1"/>
  <c r="AS73" i="5"/>
  <c r="BB77" i="10" s="1"/>
  <c r="AN88" i="5"/>
  <c r="F167" i="5"/>
  <c r="AL96" i="5"/>
  <c r="AU100" i="10" s="1"/>
  <c r="Y116" i="10"/>
  <c r="I168" i="5"/>
  <c r="T169" i="15"/>
  <c r="K169" i="15"/>
  <c r="V169" i="15" s="1"/>
  <c r="AQ141" i="5"/>
  <c r="AZ145" i="10" s="1"/>
  <c r="AS40" i="5"/>
  <c r="E225" i="5"/>
  <c r="AE140" i="10"/>
  <c r="AE151" i="10" s="1"/>
  <c r="I229" i="5"/>
  <c r="AN89" i="5"/>
  <c r="AW93" i="10" s="1"/>
  <c r="AL121" i="5"/>
  <c r="AU125" i="10" s="1"/>
  <c r="AQ38" i="5"/>
  <c r="AZ42" i="10" s="1"/>
  <c r="AS41" i="5"/>
  <c r="BB45" i="10" s="1"/>
  <c r="X63" i="10"/>
  <c r="H176" i="5"/>
  <c r="H156" i="5"/>
  <c r="Y135" i="10"/>
  <c r="I179" i="5"/>
  <c r="I159" i="5"/>
  <c r="U288" i="15"/>
  <c r="T380" i="15"/>
  <c r="K380" i="15"/>
  <c r="V380" i="15" s="1"/>
  <c r="K252" i="15"/>
  <c r="K56" i="15"/>
  <c r="AP107" i="5"/>
  <c r="E188" i="5"/>
  <c r="E208" i="5"/>
  <c r="AO112" i="5"/>
  <c r="D198" i="5"/>
  <c r="T267" i="15"/>
  <c r="K220" i="15"/>
  <c r="T220" i="15"/>
  <c r="N384" i="15"/>
  <c r="P383" i="15"/>
  <c r="R383" i="15" s="1"/>
  <c r="V97" i="15"/>
  <c r="D406" i="15"/>
  <c r="D426" i="15"/>
  <c r="K109" i="15"/>
  <c r="T109" i="15"/>
  <c r="S170" i="15"/>
  <c r="V170" i="15" s="1"/>
  <c r="T170" i="15"/>
  <c r="O316" i="15"/>
  <c r="Q316" i="15" s="1"/>
  <c r="M317" i="15"/>
  <c r="K292" i="15"/>
  <c r="T290" i="15"/>
  <c r="K171" i="15"/>
  <c r="V171" i="15" s="1"/>
  <c r="BH40" i="10" s="1"/>
  <c r="T171" i="15"/>
  <c r="AQ90" i="5"/>
  <c r="AZ94" i="10" s="1"/>
  <c r="AO113" i="5"/>
  <c r="AX117" i="10" s="1"/>
  <c r="AB140" i="10"/>
  <c r="AB151" i="10" s="1"/>
  <c r="I199" i="5"/>
  <c r="AO144" i="5"/>
  <c r="AX148" i="10" s="1"/>
  <c r="AT112" i="5"/>
  <c r="F228" i="5"/>
  <c r="AL37" i="5"/>
  <c r="AU41" i="10" s="1"/>
  <c r="AM68" i="5"/>
  <c r="AV72" i="10" s="1"/>
  <c r="AM137" i="5"/>
  <c r="AV141" i="10" s="1"/>
  <c r="AF40" i="10"/>
  <c r="J215" i="5"/>
  <c r="AQ60" i="5"/>
  <c r="AZ64" i="10" s="1"/>
  <c r="AO114" i="5"/>
  <c r="AX118" i="10" s="1"/>
  <c r="AT69" i="5"/>
  <c r="BC73" i="10" s="1"/>
  <c r="AR131" i="5"/>
  <c r="D239" i="5"/>
  <c r="D219" i="5"/>
  <c r="AT139" i="5"/>
  <c r="BC143" i="10" s="1"/>
  <c r="AM46" i="5"/>
  <c r="AV50" i="10" s="1"/>
  <c r="AN61" i="5"/>
  <c r="AW65" i="10" s="1"/>
  <c r="AL92" i="5"/>
  <c r="AU96" i="10" s="1"/>
  <c r="X111" i="10"/>
  <c r="H178" i="5"/>
  <c r="H158" i="5"/>
  <c r="AB55" i="10"/>
  <c r="AO61" i="5"/>
  <c r="AX65" i="10" s="1"/>
  <c r="AA111" i="10"/>
  <c r="H188" i="5"/>
  <c r="H208" i="5"/>
  <c r="AT62" i="5"/>
  <c r="BC66" i="10" s="1"/>
  <c r="AN62" i="5"/>
  <c r="AW66" i="10" s="1"/>
  <c r="AQ85" i="5"/>
  <c r="AZ89" i="10" s="1"/>
  <c r="AO108" i="5"/>
  <c r="AX112" i="10" s="1"/>
  <c r="AO116" i="5"/>
  <c r="AX120" i="10" s="1"/>
  <c r="AP131" i="5"/>
  <c r="E209" i="5"/>
  <c r="E189" i="5"/>
  <c r="AJ39" i="10"/>
  <c r="AO86" i="5"/>
  <c r="AX90" i="10" s="1"/>
  <c r="AQ94" i="5"/>
  <c r="AZ98" i="10" s="1"/>
  <c r="AO109" i="5"/>
  <c r="AX113" i="10" s="1"/>
  <c r="AP132" i="5"/>
  <c r="AY136" i="10" s="1"/>
  <c r="AO140" i="5"/>
  <c r="AX144" i="10" s="1"/>
  <c r="AE68" i="10"/>
  <c r="AE79" i="10" s="1"/>
  <c r="I226" i="5"/>
  <c r="AT116" i="5"/>
  <c r="BC120" i="10" s="1"/>
  <c r="AT43" i="5"/>
  <c r="BC47" i="10" s="1"/>
  <c r="AQ111" i="5"/>
  <c r="AZ115" i="10" s="1"/>
  <c r="AO119" i="5"/>
  <c r="AX123" i="10" s="1"/>
  <c r="AN108" i="5"/>
  <c r="AW112" i="10" s="1"/>
  <c r="AL141" i="5"/>
  <c r="AU145" i="10" s="1"/>
  <c r="AP41" i="5"/>
  <c r="AY45" i="10" s="1"/>
  <c r="AP112" i="5"/>
  <c r="E198" i="5"/>
  <c r="AN70" i="5"/>
  <c r="AW74" i="10" s="1"/>
  <c r="AN85" i="5"/>
  <c r="AW89" i="10" s="1"/>
  <c r="AL117" i="5"/>
  <c r="AU121" i="10" s="1"/>
  <c r="AN134" i="5"/>
  <c r="AW138" i="10" s="1"/>
  <c r="AC68" i="10"/>
  <c r="AC79" i="10" s="1"/>
  <c r="J196" i="5"/>
  <c r="AP88" i="5"/>
  <c r="E197" i="5"/>
  <c r="AS37" i="5"/>
  <c r="BB41" i="10" s="1"/>
  <c r="AT63" i="5"/>
  <c r="BC67" i="10" s="1"/>
  <c r="AT107" i="5"/>
  <c r="F238" i="5"/>
  <c r="F218" i="5"/>
  <c r="F165" i="5"/>
  <c r="AN40" i="5"/>
  <c r="AN110" i="5"/>
  <c r="AW114" i="10" s="1"/>
  <c r="AL118" i="5"/>
  <c r="AU122" i="10" s="1"/>
  <c r="AA43" i="10"/>
  <c r="AO39" i="5"/>
  <c r="AX43" i="10" s="1"/>
  <c r="E185" i="5"/>
  <c r="AP35" i="5"/>
  <c r="E205" i="5"/>
  <c r="AQ65" i="5"/>
  <c r="AZ69" i="10" s="1"/>
  <c r="AM64" i="5"/>
  <c r="E166" i="5"/>
  <c r="AM111" i="5"/>
  <c r="AV115" i="10" s="1"/>
  <c r="X140" i="10"/>
  <c r="H169" i="5"/>
  <c r="AL144" i="5"/>
  <c r="AU148" i="10" s="1"/>
  <c r="AS47" i="5"/>
  <c r="BB51" i="10" s="1"/>
  <c r="AS65" i="5"/>
  <c r="BB69" i="10" s="1"/>
  <c r="AL42" i="5"/>
  <c r="AU46" i="10" s="1"/>
  <c r="AM65" i="5"/>
  <c r="AV69" i="10" s="1"/>
  <c r="X92" i="10"/>
  <c r="H167" i="5"/>
  <c r="X116" i="10"/>
  <c r="H168" i="5"/>
  <c r="AO133" i="5"/>
  <c r="AX137" i="10" s="1"/>
  <c r="AR66" i="5"/>
  <c r="BA70" i="10" s="1"/>
  <c r="AT118" i="5"/>
  <c r="BC122" i="10" s="1"/>
  <c r="AR136" i="5"/>
  <c r="D229" i="5"/>
  <c r="X39" i="10"/>
  <c r="H155" i="5"/>
  <c r="AN66" i="5"/>
  <c r="AW70" i="10" s="1"/>
  <c r="AL113" i="5"/>
  <c r="AU117" i="10" s="1"/>
  <c r="AQ46" i="5"/>
  <c r="AZ50" i="10" s="1"/>
  <c r="AP142" i="5"/>
  <c r="AY146" i="10" s="1"/>
  <c r="AT67" i="5"/>
  <c r="BC71" i="10" s="1"/>
  <c r="AT93" i="5"/>
  <c r="BC97" i="10" s="1"/>
  <c r="AL59" i="5"/>
  <c r="D156" i="5"/>
  <c r="D176" i="5"/>
  <c r="AN67" i="5"/>
  <c r="AW71" i="10" s="1"/>
  <c r="Z135" i="10"/>
  <c r="J179" i="5"/>
  <c r="J159" i="5"/>
  <c r="AO110" i="5"/>
  <c r="AX114" i="10" s="1"/>
  <c r="AL140" i="5"/>
  <c r="AU144" i="10" s="1"/>
  <c r="AK116" i="10"/>
  <c r="N77" i="15"/>
  <c r="P76" i="15"/>
  <c r="R76" i="15" s="1"/>
  <c r="U76" i="15" s="1"/>
  <c r="K298" i="15"/>
  <c r="AD135" i="10"/>
  <c r="H239" i="5"/>
  <c r="H219" i="5"/>
  <c r="AS88" i="5"/>
  <c r="E227" i="5"/>
  <c r="T192" i="15"/>
  <c r="K192" i="15"/>
  <c r="V192" i="15" s="1"/>
  <c r="O251" i="15"/>
  <c r="Q251" i="15" s="1"/>
  <c r="M252" i="15"/>
  <c r="T107" i="15"/>
  <c r="T276" i="15"/>
  <c r="D478" i="15"/>
  <c r="T108" i="15"/>
  <c r="K201" i="15"/>
  <c r="M292" i="15"/>
  <c r="O291" i="15"/>
  <c r="Q291" i="15" s="1"/>
  <c r="AB63" i="10"/>
  <c r="I186" i="5"/>
  <c r="I206" i="5"/>
  <c r="AO67" i="5"/>
  <c r="AX71" i="10" s="1"/>
  <c r="AA140" i="10"/>
  <c r="AA151" i="10" s="1"/>
  <c r="H199" i="5"/>
  <c r="AR94" i="5"/>
  <c r="BA98" i="10" s="1"/>
  <c r="AR138" i="5"/>
  <c r="BA142" i="10" s="1"/>
  <c r="AL91" i="5"/>
  <c r="AU95" i="10" s="1"/>
  <c r="AN114" i="5"/>
  <c r="AW118" i="10" s="1"/>
  <c r="AO60" i="5"/>
  <c r="AX64" i="10" s="1"/>
  <c r="AO68" i="5"/>
  <c r="AX72" i="10" s="1"/>
  <c r="AP91" i="5"/>
  <c r="AY95" i="10" s="1"/>
  <c r="AP137" i="5"/>
  <c r="AY141" i="10" s="1"/>
  <c r="AT87" i="5"/>
  <c r="BC91" i="10" s="1"/>
  <c r="AT113" i="5"/>
  <c r="BC117" i="10" s="1"/>
  <c r="AE135" i="10"/>
  <c r="I239" i="5"/>
  <c r="I219" i="5"/>
  <c r="AM61" i="5"/>
  <c r="AV65" i="10" s="1"/>
  <c r="AN107" i="5"/>
  <c r="F178" i="5"/>
  <c r="F158" i="5"/>
  <c r="AL39" i="5"/>
  <c r="AU43" i="10" s="1"/>
  <c r="AD39" i="10"/>
  <c r="H215" i="5"/>
  <c r="AQ61" i="5"/>
  <c r="AZ65" i="10" s="1"/>
  <c r="AO84" i="5"/>
  <c r="AX88" i="10" s="1"/>
  <c r="AO92" i="5"/>
  <c r="AX96" i="10" s="1"/>
  <c r="AO107" i="5"/>
  <c r="D188" i="5"/>
  <c r="D208" i="5"/>
  <c r="AP138" i="5"/>
  <c r="AY142" i="10" s="1"/>
  <c r="AR70" i="5"/>
  <c r="BA74" i="10" s="1"/>
  <c r="AS114" i="5"/>
  <c r="BB118" i="10" s="1"/>
  <c r="AT132" i="5"/>
  <c r="BC136" i="10" s="1"/>
  <c r="AM62" i="5"/>
  <c r="AV66" i="10" s="1"/>
  <c r="AQ62" i="5"/>
  <c r="AZ66" i="10" s="1"/>
  <c r="K294" i="15"/>
  <c r="AS108" i="5"/>
  <c r="BB112" i="10" s="1"/>
  <c r="AR142" i="5"/>
  <c r="BA146" i="10" s="1"/>
  <c r="AT46" i="5"/>
  <c r="BC50" i="10" s="1"/>
  <c r="AL39" i="10"/>
  <c r="AL133" i="5"/>
  <c r="AU137" i="10" s="1"/>
  <c r="AP95" i="5"/>
  <c r="AY99" i="10" s="1"/>
  <c r="AA116" i="10"/>
  <c r="AA127" i="10" s="1"/>
  <c r="H198" i="5"/>
  <c r="AL109" i="5"/>
  <c r="AU113" i="10" s="1"/>
  <c r="AQ64" i="5"/>
  <c r="F196" i="5"/>
  <c r="AO72" i="5"/>
  <c r="AX76" i="10" s="1"/>
  <c r="AR89" i="5"/>
  <c r="BA93" i="10" s="1"/>
  <c r="AS97" i="5"/>
  <c r="BB101" i="10" s="1"/>
  <c r="AT141" i="5"/>
  <c r="BC145" i="10" s="1"/>
  <c r="AL63" i="5"/>
  <c r="AU67" i="10" s="1"/>
  <c r="AN94" i="5"/>
  <c r="AW98" i="10" s="1"/>
  <c r="AU137" i="5"/>
  <c r="AO73" i="5"/>
  <c r="AX77" i="10" s="1"/>
  <c r="AP97" i="5"/>
  <c r="AY101" i="10" s="1"/>
  <c r="Z68" i="10"/>
  <c r="J166" i="5"/>
  <c r="AL87" i="5"/>
  <c r="AU91" i="10" s="1"/>
  <c r="Y140" i="10"/>
  <c r="I169" i="5"/>
  <c r="AP36" i="5"/>
  <c r="AY40" i="10" s="1"/>
  <c r="AF87" i="10"/>
  <c r="J217" i="5"/>
  <c r="J237" i="5"/>
  <c r="AR109" i="5"/>
  <c r="BA113" i="10" s="1"/>
  <c r="AR143" i="5"/>
  <c r="BA147" i="10" s="1"/>
  <c r="AL88" i="5"/>
  <c r="D167" i="5"/>
  <c r="AM96" i="5"/>
  <c r="AV100" i="10" s="1"/>
  <c r="AM120" i="5"/>
  <c r="AV124" i="10" s="1"/>
  <c r="AQ133" i="5"/>
  <c r="AZ137" i="10" s="1"/>
  <c r="AP141" i="5"/>
  <c r="AY145" i="10" s="1"/>
  <c r="AT84" i="5"/>
  <c r="BC88" i="10" s="1"/>
  <c r="AS110" i="5"/>
  <c r="BB114" i="10" s="1"/>
  <c r="AF140" i="10"/>
  <c r="AF151" i="10" s="1"/>
  <c r="J229" i="5"/>
  <c r="Y39" i="10"/>
  <c r="I155" i="5"/>
  <c r="I175" i="5"/>
  <c r="AM43" i="5"/>
  <c r="AV47" i="10" s="1"/>
  <c r="AR41" i="5"/>
  <c r="BA45" i="10" s="1"/>
  <c r="AD63" i="10"/>
  <c r="H236" i="5"/>
  <c r="H216" i="5"/>
  <c r="AS85" i="5"/>
  <c r="BB89" i="10" s="1"/>
  <c r="AR119" i="5"/>
  <c r="BA123" i="10" s="1"/>
  <c r="AT137" i="5"/>
  <c r="BC141" i="10" s="1"/>
  <c r="Z63" i="10"/>
  <c r="J156" i="5"/>
  <c r="J176" i="5"/>
  <c r="AN90" i="5"/>
  <c r="AW94" i="10" s="1"/>
  <c r="X135" i="10"/>
  <c r="H179" i="5"/>
  <c r="H159" i="5"/>
  <c r="AM139" i="5"/>
  <c r="AV143" i="10" s="1"/>
  <c r="AD46" i="10"/>
  <c r="AR42" i="5"/>
  <c r="BA46" i="10" s="1"/>
  <c r="AO143" i="5"/>
  <c r="AX147" i="10" s="1"/>
  <c r="K288" i="15"/>
  <c r="V288" i="15" s="1"/>
  <c r="T274" i="15"/>
  <c r="S313" i="15"/>
  <c r="P194" i="15"/>
  <c r="R194" i="15" s="1"/>
  <c r="U194" i="15" s="1"/>
  <c r="N195" i="15"/>
  <c r="AF116" i="10"/>
  <c r="AF127" i="10" s="1"/>
  <c r="J228" i="5"/>
  <c r="AC87" i="10"/>
  <c r="J207" i="5"/>
  <c r="J187" i="5"/>
  <c r="AT59" i="5"/>
  <c r="F236" i="5"/>
  <c r="F216" i="5"/>
  <c r="K102" i="15"/>
  <c r="T102" i="15"/>
  <c r="K110" i="15"/>
  <c r="T110" i="15"/>
  <c r="M146" i="15"/>
  <c r="O145" i="15"/>
  <c r="Q145" i="15" s="1"/>
  <c r="U246" i="15"/>
  <c r="D438" i="15"/>
  <c r="N173" i="15"/>
  <c r="P172" i="15"/>
  <c r="R172" i="15" s="1"/>
  <c r="U172" i="15" s="1"/>
  <c r="BH135" i="10"/>
  <c r="D467" i="15"/>
  <c r="U132" i="15"/>
  <c r="AJ87" i="10"/>
  <c r="O77" i="15"/>
  <c r="Q77" i="15" s="1"/>
  <c r="M78" i="15"/>
  <c r="S193" i="15"/>
  <c r="K321" i="15"/>
  <c r="K184" i="15"/>
  <c r="O172" i="15"/>
  <c r="Q172" i="15" s="1"/>
  <c r="K299" i="15"/>
  <c r="V51" i="15"/>
  <c r="D404" i="15"/>
  <c r="D424" i="15"/>
  <c r="AO59" i="5"/>
  <c r="D206" i="5"/>
  <c r="D186" i="5"/>
  <c r="AQ67" i="5"/>
  <c r="AZ71" i="10" s="1"/>
  <c r="AP90" i="5"/>
  <c r="AY94" i="10" s="1"/>
  <c r="AO136" i="5"/>
  <c r="D199" i="5"/>
  <c r="AQ144" i="5"/>
  <c r="AZ148" i="10" s="1"/>
  <c r="AR68" i="5"/>
  <c r="BA72" i="10" s="1"/>
  <c r="AN60" i="5"/>
  <c r="AW64" i="10" s="1"/>
  <c r="Y87" i="10"/>
  <c r="I157" i="5"/>
  <c r="I177" i="5"/>
  <c r="AS42" i="5"/>
  <c r="BB46" i="10" s="1"/>
  <c r="AB87" i="10"/>
  <c r="I207" i="5"/>
  <c r="I187" i="5"/>
  <c r="AQ114" i="5"/>
  <c r="AZ118" i="10" s="1"/>
  <c r="AR61" i="5"/>
  <c r="BA65" i="10" s="1"/>
  <c r="AS69" i="5"/>
  <c r="BB73" i="10" s="1"/>
  <c r="AS131" i="5"/>
  <c r="E219" i="5"/>
  <c r="E239" i="5"/>
  <c r="AM38" i="5"/>
  <c r="AV42" i="10" s="1"/>
  <c r="AL84" i="5"/>
  <c r="AU88" i="10" s="1"/>
  <c r="AM92" i="5"/>
  <c r="AV96" i="10" s="1"/>
  <c r="AN115" i="5"/>
  <c r="AW119" i="10" s="1"/>
  <c r="AL138" i="5"/>
  <c r="AU142" i="10" s="1"/>
  <c r="AO69" i="5"/>
  <c r="AX73" i="10" s="1"/>
  <c r="AR62" i="5"/>
  <c r="BA66" i="10" s="1"/>
  <c r="AD92" i="10"/>
  <c r="AD103" i="10" s="1"/>
  <c r="H227" i="5"/>
  <c r="AR96" i="5"/>
  <c r="BA100" i="10" s="1"/>
  <c r="AT140" i="5"/>
  <c r="BC144" i="10" s="1"/>
  <c r="AP93" i="5"/>
  <c r="AY97" i="10" s="1"/>
  <c r="AO71" i="5"/>
  <c r="AX75" i="10" s="1"/>
  <c r="AQ86" i="5"/>
  <c r="AZ90" i="10" s="1"/>
  <c r="AP94" i="5"/>
  <c r="AY98" i="10" s="1"/>
  <c r="AP117" i="5"/>
  <c r="AY121" i="10" s="1"/>
  <c r="AO132" i="5"/>
  <c r="AX136" i="10" s="1"/>
  <c r="AQ140" i="5"/>
  <c r="AZ144" i="10" s="1"/>
  <c r="AT72" i="5"/>
  <c r="BC76" i="10" s="1"/>
  <c r="AT108" i="5"/>
  <c r="BC112" i="10" s="1"/>
  <c r="E215" i="5"/>
  <c r="AS35" i="5"/>
  <c r="E235" i="5"/>
  <c r="K289" i="15"/>
  <c r="T289" i="15"/>
  <c r="AO111" i="5"/>
  <c r="AX115" i="10" s="1"/>
  <c r="AL116" i="5"/>
  <c r="AU120" i="10" s="1"/>
  <c r="AM141" i="5"/>
  <c r="AV145" i="10" s="1"/>
  <c r="AQ112" i="5"/>
  <c r="F198" i="5"/>
  <c r="AT36" i="5"/>
  <c r="BC40" i="10" s="1"/>
  <c r="AL70" i="5"/>
  <c r="AU74" i="10" s="1"/>
  <c r="AM93" i="5"/>
  <c r="AV97" i="10" s="1"/>
  <c r="AM109" i="5"/>
  <c r="AV113" i="10" s="1"/>
  <c r="AB68" i="10"/>
  <c r="AB79" i="10" s="1"/>
  <c r="I196" i="5"/>
  <c r="AQ96" i="5"/>
  <c r="AZ100" i="10" s="1"/>
  <c r="AT71" i="5"/>
  <c r="BC75" i="10" s="1"/>
  <c r="AT97" i="5"/>
  <c r="BC101" i="10" s="1"/>
  <c r="AS133" i="5"/>
  <c r="BB137" i="10" s="1"/>
  <c r="AM71" i="5"/>
  <c r="AV75" i="10" s="1"/>
  <c r="AM118" i="5"/>
  <c r="AV122" i="10" s="1"/>
  <c r="AL143" i="5"/>
  <c r="AU147" i="10" s="1"/>
  <c r="AP65" i="5"/>
  <c r="AY69" i="10" s="1"/>
  <c r="AL41" i="5"/>
  <c r="AU45" i="10" s="1"/>
  <c r="AM95" i="5"/>
  <c r="AV99" i="10" s="1"/>
  <c r="AL136" i="5"/>
  <c r="D169" i="5"/>
  <c r="AA40" i="10"/>
  <c r="AA54" i="10" s="1"/>
  <c r="H185" i="5"/>
  <c r="AQ44" i="5"/>
  <c r="AZ48" i="10" s="1"/>
  <c r="AS39" i="5"/>
  <c r="BB43" i="10" s="1"/>
  <c r="AR65" i="5"/>
  <c r="BA69" i="10" s="1"/>
  <c r="AR83" i="5"/>
  <c r="D237" i="5"/>
  <c r="D217" i="5"/>
  <c r="AS91" i="5"/>
  <c r="BB95" i="10" s="1"/>
  <c r="AN42" i="5"/>
  <c r="AW46" i="10" s="1"/>
  <c r="Y92" i="10"/>
  <c r="I167" i="5"/>
  <c r="AD44" i="10"/>
  <c r="AT66" i="5"/>
  <c r="BC70" i="10" s="1"/>
  <c r="AS118" i="5"/>
  <c r="BB122" i="10" s="1"/>
  <c r="AT144" i="5"/>
  <c r="BC148" i="10" s="1"/>
  <c r="AM35" i="5"/>
  <c r="E175" i="5"/>
  <c r="E155" i="5"/>
  <c r="AL43" i="5"/>
  <c r="AU47" i="10" s="1"/>
  <c r="AM97" i="5"/>
  <c r="AV101" i="10" s="1"/>
  <c r="AM113" i="5"/>
  <c r="AV117" i="10" s="1"/>
  <c r="AP134" i="5"/>
  <c r="AY138" i="10" s="1"/>
  <c r="AO142" i="5"/>
  <c r="AX146" i="10" s="1"/>
  <c r="AR59" i="5"/>
  <c r="D236" i="5"/>
  <c r="D216" i="5"/>
  <c r="AS67" i="5"/>
  <c r="BB71" i="10" s="1"/>
  <c r="AT85" i="5"/>
  <c r="BC89" i="10" s="1"/>
  <c r="Y63" i="10"/>
  <c r="I156" i="5"/>
  <c r="I176" i="5"/>
  <c r="AN131" i="5"/>
  <c r="F179" i="5"/>
  <c r="F159" i="5"/>
  <c r="W44" i="5"/>
  <c r="AC43" i="5"/>
  <c r="AA47" i="10" s="1"/>
  <c r="AI43" i="5"/>
  <c r="AU43" i="5" s="1"/>
  <c r="AQ143" i="5"/>
  <c r="AZ147" i="10" s="1"/>
  <c r="AL132" i="5"/>
  <c r="AU136" i="10" s="1"/>
  <c r="T334" i="15"/>
  <c r="K334" i="15"/>
  <c r="V334" i="15" s="1"/>
  <c r="AF68" i="10"/>
  <c r="AF79" i="10" s="1"/>
  <c r="J226" i="5"/>
  <c r="Z44" i="10"/>
  <c r="AM59" i="5"/>
  <c r="E156" i="5"/>
  <c r="E176" i="5"/>
  <c r="V120" i="15"/>
  <c r="D407" i="15"/>
  <c r="K221" i="15"/>
  <c r="T221" i="15"/>
  <c r="AS112" i="5"/>
  <c r="E228" i="5"/>
  <c r="T269" i="15"/>
  <c r="O173" i="15"/>
  <c r="Q173" i="15" s="1"/>
  <c r="M174" i="15"/>
  <c r="K244" i="15"/>
  <c r="AJ135" i="10"/>
  <c r="K111" i="15"/>
  <c r="T111" i="15"/>
  <c r="V382" i="15"/>
  <c r="BI136" i="10" s="1"/>
  <c r="D488" i="15"/>
  <c r="D468" i="15"/>
  <c r="K132" i="15"/>
  <c r="AK87" i="10"/>
  <c r="K349" i="15"/>
  <c r="S314" i="15"/>
  <c r="AL65" i="10" s="1"/>
  <c r="S76" i="15"/>
  <c r="AJ65" i="10" s="1"/>
  <c r="T76" i="15"/>
  <c r="K193" i="15"/>
  <c r="T193" i="15"/>
  <c r="K177" i="15"/>
  <c r="K203" i="15"/>
  <c r="D445" i="15" s="1"/>
  <c r="K172" i="15"/>
  <c r="D434" i="15" s="1"/>
  <c r="T172" i="15"/>
  <c r="K87" i="15"/>
  <c r="S194" i="15"/>
  <c r="T194" i="15"/>
  <c r="AT35" i="5"/>
  <c r="F235" i="5"/>
  <c r="F215" i="5"/>
  <c r="AP59" i="5"/>
  <c r="E206" i="5"/>
  <c r="E186" i="5"/>
  <c r="AQ121" i="5"/>
  <c r="AZ125" i="10" s="1"/>
  <c r="AC140" i="10"/>
  <c r="AC151" i="10" s="1"/>
  <c r="J199" i="5"/>
  <c r="AS60" i="5"/>
  <c r="BB64" i="10" s="1"/>
  <c r="AS68" i="5"/>
  <c r="BB72" i="10" s="1"/>
  <c r="AR86" i="5"/>
  <c r="BA90" i="10" s="1"/>
  <c r="AD116" i="10"/>
  <c r="AD127" i="10" s="1"/>
  <c r="H228" i="5"/>
  <c r="AR120" i="5"/>
  <c r="BA124" i="10" s="1"/>
  <c r="AS138" i="5"/>
  <c r="BB142" i="10" s="1"/>
  <c r="AM60" i="5"/>
  <c r="AV64" i="10" s="1"/>
  <c r="X87" i="10"/>
  <c r="H177" i="5"/>
  <c r="H157" i="5"/>
  <c r="AS44" i="5"/>
  <c r="BB48" i="10" s="1"/>
  <c r="AP60" i="5"/>
  <c r="AY64" i="10" s="1"/>
  <c r="AP83" i="5"/>
  <c r="E207" i="5"/>
  <c r="E187" i="5"/>
  <c r="AO91" i="5"/>
  <c r="AX95" i="10" s="1"/>
  <c r="AR95" i="5"/>
  <c r="BA99" i="10" s="1"/>
  <c r="AR121" i="5"/>
  <c r="BA125" i="10" s="1"/>
  <c r="AN46" i="5"/>
  <c r="AW50" i="10" s="1"/>
  <c r="AL69" i="5"/>
  <c r="AU73" i="10" s="1"/>
  <c r="AM138" i="5"/>
  <c r="AV142" i="10" s="1"/>
  <c r="AC44" i="10"/>
  <c r="AQ84" i="5"/>
  <c r="AZ88" i="10" s="1"/>
  <c r="AP92" i="5"/>
  <c r="AY96" i="10" s="1"/>
  <c r="AQ115" i="5"/>
  <c r="AZ119" i="10" s="1"/>
  <c r="AO138" i="5"/>
  <c r="AX142" i="10" s="1"/>
  <c r="AE92" i="10"/>
  <c r="AE103" i="10" s="1"/>
  <c r="I227" i="5"/>
  <c r="P290" i="15"/>
  <c r="R290" i="15" s="1"/>
  <c r="U290" i="15" s="1"/>
  <c r="AQ108" i="5"/>
  <c r="AZ112" i="10" s="1"/>
  <c r="AO131" i="5"/>
  <c r="D189" i="5"/>
  <c r="D209" i="5"/>
  <c r="AO139" i="5"/>
  <c r="AX143" i="10" s="1"/>
  <c r="AO63" i="5"/>
  <c r="AX67" i="10" s="1"/>
  <c r="AS64" i="5"/>
  <c r="E226" i="5"/>
  <c r="AR90" i="5"/>
  <c r="BA94" i="10" s="1"/>
  <c r="AR134" i="5"/>
  <c r="BA138" i="10" s="1"/>
  <c r="AS142" i="5"/>
  <c r="BB146" i="10" s="1"/>
  <c r="S53" i="15"/>
  <c r="AJ41" i="10" s="1"/>
  <c r="T53" i="15"/>
  <c r="F195" i="5"/>
  <c r="AP87" i="5"/>
  <c r="AY91" i="10" s="1"/>
  <c r="AO95" i="5"/>
  <c r="AX99" i="10" s="1"/>
  <c r="AB116" i="10"/>
  <c r="AB127" i="10" s="1"/>
  <c r="I198" i="5"/>
  <c r="AM39" i="5"/>
  <c r="AV43" i="10" s="1"/>
  <c r="AL142" i="5"/>
  <c r="AU146" i="10" s="1"/>
  <c r="AP64" i="5"/>
  <c r="E196" i="5"/>
  <c r="AC92" i="10"/>
  <c r="AC103" i="10" s="1"/>
  <c r="J197" i="5"/>
  <c r="AR37" i="5"/>
  <c r="BA41" i="10" s="1"/>
  <c r="AS89" i="5"/>
  <c r="BB93" i="10" s="1"/>
  <c r="AR107" i="5"/>
  <c r="D238" i="5"/>
  <c r="D218" i="5"/>
  <c r="AR115" i="5"/>
  <c r="BA119" i="10" s="1"/>
  <c r="AT133" i="5"/>
  <c r="BC137" i="10" s="1"/>
  <c r="I165" i="5"/>
  <c r="Y44" i="10"/>
  <c r="AN86" i="5"/>
  <c r="AW90" i="10" s="1"/>
  <c r="AL94" i="5"/>
  <c r="AU98" i="10" s="1"/>
  <c r="AM110" i="5"/>
  <c r="AV114" i="10" s="1"/>
  <c r="AN143" i="5"/>
  <c r="AW147" i="10" s="1"/>
  <c r="AV120" i="5"/>
  <c r="AC49" i="10"/>
  <c r="AQ45" i="5"/>
  <c r="AZ49" i="10" s="1"/>
  <c r="AQ43" i="5"/>
  <c r="AZ47" i="10" s="1"/>
  <c r="AO65" i="5"/>
  <c r="AX69" i="10" s="1"/>
  <c r="AP89" i="5"/>
  <c r="AY93" i="10" s="1"/>
  <c r="AO97" i="5"/>
  <c r="AX101" i="10" s="1"/>
  <c r="AN95" i="5"/>
  <c r="AW99" i="10" s="1"/>
  <c r="AM136" i="5"/>
  <c r="E169" i="5"/>
  <c r="AN144" i="5"/>
  <c r="AW148" i="10" s="1"/>
  <c r="AT83" i="5"/>
  <c r="F237" i="5"/>
  <c r="F217" i="5"/>
  <c r="AT91" i="5"/>
  <c r="BC95" i="10" s="1"/>
  <c r="AS117" i="5"/>
  <c r="BB121" i="10" s="1"/>
  <c r="AR135" i="5"/>
  <c r="BA139" i="10" s="1"/>
  <c r="AS143" i="5"/>
  <c r="BB147" i="10" s="1"/>
  <c r="AM73" i="5"/>
  <c r="AV77" i="10" s="1"/>
  <c r="AM88" i="5"/>
  <c r="E167" i="5"/>
  <c r="AM112" i="5"/>
  <c r="E168" i="5"/>
  <c r="AP133" i="5"/>
  <c r="AY137" i="10" s="1"/>
  <c r="D225" i="5"/>
  <c r="AR40" i="5"/>
  <c r="AN35" i="5"/>
  <c r="F175" i="5"/>
  <c r="F155" i="5"/>
  <c r="AM89" i="5"/>
  <c r="AV93" i="10" s="1"/>
  <c r="AL97" i="5"/>
  <c r="AU101" i="10" s="1"/>
  <c r="AE63" i="10"/>
  <c r="I216" i="5"/>
  <c r="I236" i="5"/>
  <c r="AR111" i="5"/>
  <c r="BA115" i="10" s="1"/>
  <c r="AS119" i="5"/>
  <c r="BB123" i="10" s="1"/>
  <c r="AR145" i="5"/>
  <c r="BA149" i="10" s="1"/>
  <c r="AL90" i="5"/>
  <c r="AU94" i="10" s="1"/>
  <c r="AM131" i="5"/>
  <c r="E179" i="5"/>
  <c r="E159" i="5"/>
  <c r="AP39" i="5"/>
  <c r="AY43" i="10" s="1"/>
  <c r="AO135" i="5"/>
  <c r="AX139" i="10" s="1"/>
  <c r="AM132" i="5"/>
  <c r="AV136" i="10" s="1"/>
  <c r="AN140" i="5"/>
  <c r="AW144" i="10" s="1"/>
  <c r="AU58" i="5"/>
  <c r="S358" i="15"/>
  <c r="T358" i="15"/>
  <c r="T250" i="15"/>
  <c r="K65" i="15"/>
  <c r="AL112" i="5"/>
  <c r="D168" i="5"/>
  <c r="T275" i="15"/>
  <c r="K75" i="15"/>
  <c r="V75" i="15" s="1"/>
  <c r="BG64" i="10" s="1"/>
  <c r="T75" i="15"/>
  <c r="T104" i="15"/>
  <c r="N100" i="15"/>
  <c r="P99" i="15"/>
  <c r="R99" i="15" s="1"/>
  <c r="T271" i="15"/>
  <c r="S382" i="15"/>
  <c r="AL136" i="10" s="1"/>
  <c r="AK135" i="10"/>
  <c r="K240" i="15"/>
  <c r="V240" i="15" s="1"/>
  <c r="BH112" i="10" s="1"/>
  <c r="T240" i="15"/>
  <c r="S122" i="15"/>
  <c r="AJ113" i="10" s="1"/>
  <c r="T122" i="15"/>
  <c r="V122" i="15"/>
  <c r="BG113" i="10" s="1"/>
  <c r="K370" i="15"/>
  <c r="K217" i="15"/>
  <c r="V217" i="15" s="1"/>
  <c r="BH88" i="10" s="1"/>
  <c r="T217" i="15"/>
  <c r="T105" i="15"/>
  <c r="AL87" i="10"/>
  <c r="T272" i="15"/>
  <c r="V263" i="15"/>
  <c r="BH136" i="10" s="1"/>
  <c r="K275" i="15"/>
  <c r="AK111" i="10"/>
  <c r="E437" i="15"/>
  <c r="M124" i="15"/>
  <c r="O123" i="15"/>
  <c r="Q123" i="15" s="1"/>
  <c r="U243" i="15"/>
  <c r="M363" i="15"/>
  <c r="O362" i="15"/>
  <c r="Q362" i="15" s="1"/>
  <c r="U134" i="15"/>
  <c r="U123" i="15"/>
  <c r="K216" i="15"/>
  <c r="T216" i="15"/>
  <c r="N219" i="15"/>
  <c r="P218" i="15"/>
  <c r="R218" i="15" s="1"/>
  <c r="U218" i="15" s="1"/>
  <c r="S336" i="15"/>
  <c r="AL88" i="10" s="1"/>
  <c r="T336" i="15"/>
  <c r="T103" i="15"/>
  <c r="K344" i="15"/>
  <c r="K314" i="15"/>
  <c r="V314" i="15" s="1"/>
  <c r="BI65" i="10" s="1"/>
  <c r="T314" i="15"/>
  <c r="AL63" i="10"/>
  <c r="K326" i="15"/>
  <c r="K317" i="15"/>
  <c r="K85" i="15"/>
  <c r="K204" i="15"/>
  <c r="K293" i="15"/>
  <c r="S52" i="15"/>
  <c r="T52" i="15"/>
  <c r="U54" i="15"/>
  <c r="K302" i="15"/>
  <c r="K296" i="15"/>
  <c r="O196" i="15"/>
  <c r="Q196" i="15" s="1"/>
  <c r="M197" i="15"/>
  <c r="K57" i="15"/>
  <c r="AC63" i="10"/>
  <c r="J186" i="5"/>
  <c r="J206" i="5"/>
  <c r="AP67" i="5"/>
  <c r="AY71" i="10" s="1"/>
  <c r="AQ113" i="5"/>
  <c r="AZ117" i="10" s="1"/>
  <c r="AQ136" i="5"/>
  <c r="F199" i="5"/>
  <c r="AE116" i="10"/>
  <c r="AE127" i="10" s="1"/>
  <c r="I228" i="5"/>
  <c r="AT138" i="5"/>
  <c r="BC142" i="10" s="1"/>
  <c r="Z87" i="10"/>
  <c r="J177" i="5"/>
  <c r="J157" i="5"/>
  <c r="AM91" i="5"/>
  <c r="AV95" i="10" s="1"/>
  <c r="AN137" i="5"/>
  <c r="AW141" i="10" s="1"/>
  <c r="AL145" i="5"/>
  <c r="AU149" i="10" s="1"/>
  <c r="AR35" i="5"/>
  <c r="D215" i="5"/>
  <c r="D235" i="5"/>
  <c r="AA87" i="10"/>
  <c r="H207" i="5"/>
  <c r="H187" i="5"/>
  <c r="AO145" i="5"/>
  <c r="AX149" i="10" s="1"/>
  <c r="AS61" i="5"/>
  <c r="BB65" i="10" s="1"/>
  <c r="AR69" i="5"/>
  <c r="BA73" i="10" s="1"/>
  <c r="AL38" i="5"/>
  <c r="AU42" i="10" s="1"/>
  <c r="AM84" i="5"/>
  <c r="AV88" i="10" s="1"/>
  <c r="AL107" i="5"/>
  <c r="D158" i="5"/>
  <c r="D178" i="5"/>
  <c r="AL115" i="5"/>
  <c r="AU119" i="10" s="1"/>
  <c r="AQ69" i="5"/>
  <c r="AZ73" i="10" s="1"/>
  <c r="AQ107" i="5"/>
  <c r="F208" i="5"/>
  <c r="F188" i="5"/>
  <c r="AR88" i="5"/>
  <c r="D227" i="5"/>
  <c r="AS96" i="5"/>
  <c r="BB100" i="10" s="1"/>
  <c r="AS132" i="5"/>
  <c r="BB136" i="10" s="1"/>
  <c r="K60" i="15"/>
  <c r="AP62" i="5"/>
  <c r="AY66" i="10" s="1"/>
  <c r="AP85" i="5"/>
  <c r="AY89" i="10" s="1"/>
  <c r="AO93" i="5"/>
  <c r="AX97" i="10" s="1"/>
  <c r="AC135" i="10"/>
  <c r="J189" i="5"/>
  <c r="J209" i="5"/>
  <c r="AQ139" i="5"/>
  <c r="AZ143" i="10" s="1"/>
  <c r="AQ71" i="5"/>
  <c r="AZ75" i="10" s="1"/>
  <c r="AP86" i="5"/>
  <c r="AY90" i="10" s="1"/>
  <c r="AQ109" i="5"/>
  <c r="AZ113" i="10" s="1"/>
  <c r="AQ117" i="5"/>
  <c r="AZ121" i="10" s="1"/>
  <c r="AQ132" i="5"/>
  <c r="AZ136" i="10" s="1"/>
  <c r="AD68" i="10"/>
  <c r="AD79" i="10" s="1"/>
  <c r="H226" i="5"/>
  <c r="AS72" i="5"/>
  <c r="BB76" i="10" s="1"/>
  <c r="AT142" i="5"/>
  <c r="BC146" i="10" s="1"/>
  <c r="AP40" i="5"/>
  <c r="E195" i="5"/>
  <c r="U51" i="15"/>
  <c r="M55" i="15"/>
  <c r="O54" i="15"/>
  <c r="Q54" i="15" s="1"/>
  <c r="AQ119" i="5"/>
  <c r="AZ123" i="10" s="1"/>
  <c r="AL108" i="5"/>
  <c r="AU112" i="10" s="1"/>
  <c r="AM116" i="5"/>
  <c r="AV120" i="10" s="1"/>
  <c r="AM133" i="5"/>
  <c r="AV137" i="10" s="1"/>
  <c r="AP120" i="5"/>
  <c r="AY124" i="10" s="1"/>
  <c r="AM47" i="5"/>
  <c r="AV51" i="10" s="1"/>
  <c r="AM85" i="5"/>
  <c r="AV89" i="10" s="1"/>
  <c r="AL93" i="5"/>
  <c r="AU97" i="10" s="1"/>
  <c r="AN109" i="5"/>
  <c r="AW113" i="10" s="1"/>
  <c r="AA68" i="10"/>
  <c r="AA79" i="10" s="1"/>
  <c r="H196" i="5"/>
  <c r="AA92" i="10"/>
  <c r="AA103" i="10" s="1"/>
  <c r="H197" i="5"/>
  <c r="AO96" i="5"/>
  <c r="AX100" i="10" s="1"/>
  <c r="AR63" i="5"/>
  <c r="BA67" i="10" s="1"/>
  <c r="AS71" i="5"/>
  <c r="BB75" i="10" s="1"/>
  <c r="AT89" i="5"/>
  <c r="BC93" i="10" s="1"/>
  <c r="AF111" i="10"/>
  <c r="J238" i="5"/>
  <c r="J218" i="5"/>
  <c r="AL40" i="5"/>
  <c r="D165" i="5"/>
  <c r="AL135" i="5"/>
  <c r="AU139" i="10" s="1"/>
  <c r="AV112" i="5"/>
  <c r="Y47" i="5"/>
  <c r="AK46" i="5"/>
  <c r="AW46" i="5" s="1"/>
  <c r="J185" i="5"/>
  <c r="AC39" i="10"/>
  <c r="X68" i="10"/>
  <c r="H166" i="5"/>
  <c r="AM87" i="5"/>
  <c r="AV91" i="10" s="1"/>
  <c r="AN119" i="5"/>
  <c r="AW123" i="10" s="1"/>
  <c r="Z140" i="10"/>
  <c r="J169" i="5"/>
  <c r="AO36" i="5"/>
  <c r="AX40" i="10" s="1"/>
  <c r="AR39" i="5"/>
  <c r="BA43" i="10" s="1"/>
  <c r="AE87" i="10"/>
  <c r="I217" i="5"/>
  <c r="I237" i="5"/>
  <c r="AT117" i="5"/>
  <c r="BC121" i="10" s="1"/>
  <c r="AT143" i="5"/>
  <c r="BC147" i="10" s="1"/>
  <c r="AL65" i="5"/>
  <c r="AU69" i="10" s="1"/>
  <c r="Z92" i="10"/>
  <c r="J167" i="5"/>
  <c r="Z116" i="10"/>
  <c r="J168" i="5"/>
  <c r="AL120" i="5"/>
  <c r="AU124" i="10" s="1"/>
  <c r="AP37" i="5"/>
  <c r="AY41" i="10" s="1"/>
  <c r="AF44" i="10"/>
  <c r="AR92" i="5"/>
  <c r="BA96" i="10" s="1"/>
  <c r="AT110" i="5"/>
  <c r="BC114" i="10" s="1"/>
  <c r="AS136" i="5"/>
  <c r="E229" i="5"/>
  <c r="AL35" i="5"/>
  <c r="D175" i="5"/>
  <c r="D155" i="5"/>
  <c r="AM66" i="5"/>
  <c r="AV70" i="10" s="1"/>
  <c r="AN121" i="5"/>
  <c r="AW125" i="10" s="1"/>
  <c r="AO134" i="5"/>
  <c r="AX138" i="10" s="1"/>
  <c r="AQ142" i="5"/>
  <c r="AZ146" i="10" s="1"/>
  <c r="AS49" i="5"/>
  <c r="BB53" i="10" s="1"/>
  <c r="AS59" i="5"/>
  <c r="E236" i="5"/>
  <c r="E216" i="5"/>
  <c r="AR67" i="5"/>
  <c r="BA71" i="10" s="1"/>
  <c r="AT119" i="5"/>
  <c r="BC123" i="10" s="1"/>
  <c r="AS145" i="5"/>
  <c r="BB149" i="10" s="1"/>
  <c r="AN44" i="5"/>
  <c r="AW48" i="10" s="1"/>
  <c r="AL67" i="5"/>
  <c r="AU71" i="10" s="1"/>
  <c r="AL131" i="5"/>
  <c r="D159" i="5"/>
  <c r="D179" i="5"/>
  <c r="AP47" i="5"/>
  <c r="AY51" i="10" s="1"/>
  <c r="AQ135" i="5"/>
  <c r="AZ139" i="10" s="1"/>
  <c r="AP143" i="5"/>
  <c r="AY147" i="10" s="1"/>
  <c r="AW58" i="5"/>
  <c r="V96" i="15"/>
  <c r="V50" i="15"/>
  <c r="K371" i="15"/>
  <c r="AL83" i="5"/>
  <c r="D157" i="5"/>
  <c r="D177" i="5"/>
  <c r="Y111" i="10"/>
  <c r="I178" i="5"/>
  <c r="I158" i="5"/>
  <c r="AQ131" i="5"/>
  <c r="F209" i="5"/>
  <c r="F189" i="5"/>
  <c r="AQ35" i="5"/>
  <c r="F205" i="5"/>
  <c r="F185" i="5"/>
  <c r="AD87" i="10"/>
  <c r="H237" i="5"/>
  <c r="H217" i="5"/>
  <c r="AE44" i="10"/>
  <c r="AE55" i="10" s="1"/>
  <c r="I225" i="5"/>
  <c r="AD140" i="10"/>
  <c r="AD151" i="10" s="1"/>
  <c r="H229" i="5"/>
  <c r="K215" i="15"/>
  <c r="V215" i="15" s="1"/>
  <c r="T215" i="15"/>
  <c r="V245" i="15"/>
  <c r="BH117" i="10" s="1"/>
  <c r="AP136" i="5"/>
  <c r="E199" i="5"/>
  <c r="T268" i="15"/>
  <c r="S144" i="15"/>
  <c r="T144" i="15"/>
  <c r="V246" i="15"/>
  <c r="BH118" i="10" s="1"/>
  <c r="V143" i="15"/>
  <c r="D428" i="15"/>
  <c r="D408" i="15"/>
  <c r="K242" i="15"/>
  <c r="V242" i="15" s="1"/>
  <c r="BH114" i="10" s="1"/>
  <c r="K335" i="15"/>
  <c r="T335" i="15"/>
  <c r="V74" i="15"/>
  <c r="D405" i="15"/>
  <c r="D425" i="15"/>
  <c r="K84" i="15"/>
  <c r="T315" i="15"/>
  <c r="T270" i="15"/>
  <c r="T360" i="15"/>
  <c r="T273" i="15"/>
  <c r="K274" i="15"/>
  <c r="K239" i="15"/>
  <c r="T239" i="15"/>
  <c r="V243" i="15"/>
  <c r="BH115" i="10" s="1"/>
  <c r="T361" i="15"/>
  <c r="N247" i="15"/>
  <c r="P246" i="15"/>
  <c r="R246" i="15" s="1"/>
  <c r="S246" i="15" s="1"/>
  <c r="AK118" i="10" s="1"/>
  <c r="N265" i="15"/>
  <c r="P264" i="15"/>
  <c r="R264" i="15" s="1"/>
  <c r="K218" i="15"/>
  <c r="T218" i="15"/>
  <c r="T106" i="15"/>
  <c r="S98" i="15"/>
  <c r="M338" i="15"/>
  <c r="O337" i="15"/>
  <c r="Q337" i="15" s="1"/>
  <c r="T101" i="15"/>
  <c r="K346" i="15"/>
  <c r="K312" i="15"/>
  <c r="T312" i="15"/>
  <c r="P314" i="15"/>
  <c r="R314" i="15" s="1"/>
  <c r="U314" i="15" s="1"/>
  <c r="N315" i="15"/>
  <c r="K195" i="15"/>
  <c r="T195" i="15"/>
  <c r="K199" i="15"/>
  <c r="K319" i="15"/>
  <c r="AJ63" i="10"/>
  <c r="K64" i="15"/>
  <c r="AQ59" i="5"/>
  <c r="F206" i="5"/>
  <c r="F186" i="5"/>
  <c r="AT94" i="5"/>
  <c r="BC98" i="10" s="1"/>
  <c r="AR112" i="5"/>
  <c r="D228" i="5"/>
  <c r="AS120" i="5"/>
  <c r="BB124" i="10" s="1"/>
  <c r="AM83" i="5"/>
  <c r="E177" i="5"/>
  <c r="E157" i="5"/>
  <c r="AN91" i="5"/>
  <c r="AW95" i="10" s="1"/>
  <c r="AM145" i="5"/>
  <c r="AV149" i="10" s="1"/>
  <c r="K178" i="15"/>
  <c r="AO83" i="5"/>
  <c r="D187" i="5"/>
  <c r="D207" i="5"/>
  <c r="AQ145" i="5"/>
  <c r="AZ149" i="10" s="1"/>
  <c r="AR113" i="5"/>
  <c r="BA117" i="10" s="1"/>
  <c r="AF135" i="10"/>
  <c r="J219" i="5"/>
  <c r="J239" i="5"/>
  <c r="AR139" i="5"/>
  <c r="BA143" i="10" s="1"/>
  <c r="AM107" i="5"/>
  <c r="E178" i="5"/>
  <c r="E158" i="5"/>
  <c r="AA44" i="10"/>
  <c r="AB111" i="10"/>
  <c r="I208" i="5"/>
  <c r="I188" i="5"/>
  <c r="AF92" i="10"/>
  <c r="AF103" i="10" s="1"/>
  <c r="J227" i="5"/>
  <c r="AT96" i="5"/>
  <c r="BC100" i="10" s="1"/>
  <c r="AO62" i="5"/>
  <c r="AX66" i="10" s="1"/>
  <c r="AA135" i="10"/>
  <c r="H189" i="5"/>
  <c r="H209" i="5"/>
  <c r="AR64" i="5"/>
  <c r="D226" i="5"/>
  <c r="AR116" i="5"/>
  <c r="BA120" i="10" s="1"/>
  <c r="AS134" i="5"/>
  <c r="BB138" i="10" s="1"/>
  <c r="AR38" i="5"/>
  <c r="BA42" i="10" s="1"/>
  <c r="N56" i="15"/>
  <c r="P55" i="15"/>
  <c r="R55" i="15" s="1"/>
  <c r="U55" i="15" s="1"/>
  <c r="K175" i="15"/>
  <c r="AO42" i="5"/>
  <c r="AX46" i="10" s="1"/>
  <c r="AQ72" i="5"/>
  <c r="AZ76" i="10" s="1"/>
  <c r="AO88" i="5"/>
  <c r="D197" i="5"/>
  <c r="AE111" i="10"/>
  <c r="I238" i="5"/>
  <c r="I218" i="5"/>
  <c r="AS115" i="5"/>
  <c r="BB119" i="10" s="1"/>
  <c r="AR141" i="5"/>
  <c r="BA145" i="10" s="1"/>
  <c r="X44" i="10"/>
  <c r="AM48" i="5"/>
  <c r="AV52" i="10" s="1"/>
  <c r="AL86" i="5"/>
  <c r="AU90" i="10" s="1"/>
  <c r="AM94" i="5"/>
  <c r="AV98" i="10" s="1"/>
  <c r="AN135" i="5"/>
  <c r="AW139" i="10" s="1"/>
  <c r="AM143" i="5"/>
  <c r="AV147" i="10" s="1"/>
  <c r="AM106" i="5"/>
  <c r="D185" i="5"/>
  <c r="D205" i="5"/>
  <c r="AO35" i="5"/>
  <c r="AP43" i="5"/>
  <c r="AY47" i="10" s="1"/>
  <c r="AQ73" i="5"/>
  <c r="AZ77" i="10" s="1"/>
  <c r="AO89" i="5"/>
  <c r="AX93" i="10" s="1"/>
  <c r="AQ97" i="5"/>
  <c r="AZ101" i="10" s="1"/>
  <c r="AN41" i="5"/>
  <c r="AW45" i="10" s="1"/>
  <c r="AL64" i="5"/>
  <c r="D166" i="5"/>
  <c r="AL72" i="5"/>
  <c r="AU76" i="10" s="1"/>
  <c r="AN87" i="5"/>
  <c r="AW91" i="10" s="1"/>
  <c r="AL111" i="5"/>
  <c r="AU115" i="10" s="1"/>
  <c r="AL119" i="5"/>
  <c r="AU123" i="10" s="1"/>
  <c r="AN136" i="5"/>
  <c r="F169" i="5"/>
  <c r="AW138" i="5"/>
  <c r="AQ36" i="5"/>
  <c r="AZ40" i="10" s="1"/>
  <c r="AQ66" i="5"/>
  <c r="AZ70" i="10" s="1"/>
  <c r="AT39" i="5"/>
  <c r="BC43" i="10" s="1"/>
  <c r="AT73" i="5"/>
  <c r="BC77" i="10" s="1"/>
  <c r="AS83" i="5"/>
  <c r="E237" i="5"/>
  <c r="E217" i="5"/>
  <c r="AT109" i="5"/>
  <c r="BC113" i="10" s="1"/>
  <c r="AS135" i="5"/>
  <c r="BB139" i="10" s="1"/>
  <c r="AN96" i="5"/>
  <c r="AW100" i="10" s="1"/>
  <c r="AN112" i="5"/>
  <c r="F168" i="5"/>
  <c r="AN120" i="5"/>
  <c r="AW124" i="10" s="1"/>
  <c r="AP45" i="5"/>
  <c r="AY49" i="10" s="1"/>
  <c r="AT40" i="5"/>
  <c r="F225" i="5"/>
  <c r="AS48" i="5"/>
  <c r="BB52" i="10" s="1"/>
  <c r="AT136" i="5"/>
  <c r="F229" i="5"/>
  <c r="Z39" i="10"/>
  <c r="J155" i="5"/>
  <c r="AL89" i="5"/>
  <c r="AU93" i="10" s="1"/>
  <c r="AN97" i="5"/>
  <c r="AW101" i="10" s="1"/>
  <c r="AT41" i="5"/>
  <c r="BC45" i="10" s="1"/>
  <c r="AF63" i="10"/>
  <c r="J216" i="5"/>
  <c r="J236" i="5"/>
  <c r="AR93" i="5"/>
  <c r="BA97" i="10" s="1"/>
  <c r="AS111" i="5"/>
  <c r="BB115" i="10" s="1"/>
  <c r="AS137" i="5"/>
  <c r="BB141" i="10" s="1"/>
  <c r="AL36" i="5"/>
  <c r="AU40" i="10" s="1"/>
  <c r="AN59" i="5"/>
  <c r="F156" i="5"/>
  <c r="F176" i="5"/>
  <c r="AM90" i="5"/>
  <c r="AV94" i="10" s="1"/>
  <c r="AT42" i="5"/>
  <c r="BC46" i="10" s="1"/>
  <c r="AN132" i="5"/>
  <c r="AW136" i="10" s="1"/>
  <c r="S261" i="15"/>
  <c r="U96" i="15"/>
  <c r="U56" i="10" l="1"/>
  <c r="T54" i="10"/>
  <c r="V54" i="10"/>
  <c r="U54" i="10"/>
  <c r="U55" i="10"/>
  <c r="V56" i="10"/>
  <c r="V55" i="10"/>
  <c r="T55" i="10"/>
  <c r="T56" i="10"/>
  <c r="AE56" i="10"/>
  <c r="BH39" i="10"/>
  <c r="BC39" i="10"/>
  <c r="M215" i="5"/>
  <c r="Q215" i="5" s="1"/>
  <c r="BA63" i="10"/>
  <c r="K216" i="5"/>
  <c r="O216" i="5" s="1"/>
  <c r="K236" i="5"/>
  <c r="O236" i="5" s="1"/>
  <c r="AX68" i="10"/>
  <c r="AX79" i="10" s="1"/>
  <c r="K196" i="5"/>
  <c r="O196" i="5" s="1"/>
  <c r="BB140" i="10"/>
  <c r="BB151" i="10" s="1"/>
  <c r="L229" i="5"/>
  <c r="P229" i="5" s="1"/>
  <c r="AZ111" i="10"/>
  <c r="M208" i="5"/>
  <c r="Q208" i="5" s="1"/>
  <c r="M188" i="5"/>
  <c r="Q188" i="5" s="1"/>
  <c r="T362" i="15"/>
  <c r="AK126" i="10"/>
  <c r="U99" i="15"/>
  <c r="S99" i="15"/>
  <c r="W45" i="5"/>
  <c r="AF44" i="5"/>
  <c r="AI44" i="5"/>
  <c r="AU44" i="5" s="1"/>
  <c r="Z44" i="5"/>
  <c r="AC44" i="5"/>
  <c r="Y78" i="10"/>
  <c r="Y80" i="10"/>
  <c r="AV39" i="10"/>
  <c r="L155" i="5"/>
  <c r="P155" i="5" s="1"/>
  <c r="L175" i="5"/>
  <c r="P175" i="5" s="1"/>
  <c r="AO43" i="5"/>
  <c r="AX47" i="10" s="1"/>
  <c r="AX140" i="10"/>
  <c r="AX151" i="10" s="1"/>
  <c r="K199" i="5"/>
  <c r="O199" i="5" s="1"/>
  <c r="X152" i="10"/>
  <c r="X150" i="10"/>
  <c r="AF102" i="10"/>
  <c r="AF104" i="10"/>
  <c r="M253" i="15"/>
  <c r="O253" i="15" s="1"/>
  <c r="Q253" i="15" s="1"/>
  <c r="O252" i="15"/>
  <c r="Q252" i="15" s="1"/>
  <c r="BA140" i="10"/>
  <c r="BA151" i="10" s="1"/>
  <c r="K229" i="5"/>
  <c r="O229" i="5" s="1"/>
  <c r="X103" i="10"/>
  <c r="X128" i="10"/>
  <c r="X126" i="10"/>
  <c r="BA135" i="10"/>
  <c r="K239" i="5"/>
  <c r="O239" i="5" s="1"/>
  <c r="K219" i="5"/>
  <c r="O219" i="5" s="1"/>
  <c r="S290" i="15"/>
  <c r="BC92" i="10"/>
  <c r="BC103" i="10" s="1"/>
  <c r="M227" i="5"/>
  <c r="Q227" i="5" s="1"/>
  <c r="AZ92" i="10"/>
  <c r="AZ103" i="10" s="1"/>
  <c r="M197" i="5"/>
  <c r="Q197" i="5" s="1"/>
  <c r="AL135" i="10"/>
  <c r="AM135" i="10" s="1"/>
  <c r="V381" i="15"/>
  <c r="AU111" i="10"/>
  <c r="K178" i="5"/>
  <c r="O178" i="5" s="1"/>
  <c r="K158" i="5"/>
  <c r="O158" i="5" s="1"/>
  <c r="Y79" i="10"/>
  <c r="AW87" i="10"/>
  <c r="M157" i="5"/>
  <c r="Q157" i="5" s="1"/>
  <c r="M177" i="5"/>
  <c r="Q177" i="5" s="1"/>
  <c r="AZ140" i="10"/>
  <c r="AZ151" i="10" s="1"/>
  <c r="M199" i="5"/>
  <c r="Q199" i="5" s="1"/>
  <c r="M198" i="15"/>
  <c r="O197" i="15"/>
  <c r="Q197" i="15" s="1"/>
  <c r="AJ40" i="10"/>
  <c r="V52" i="15"/>
  <c r="BG40" i="10" s="1"/>
  <c r="M364" i="15"/>
  <c r="O363" i="15"/>
  <c r="Q363" i="15" s="1"/>
  <c r="N101" i="15"/>
  <c r="P100" i="15"/>
  <c r="R100" i="15" s="1"/>
  <c r="BB68" i="10"/>
  <c r="BB79" i="10" s="1"/>
  <c r="L226" i="5"/>
  <c r="P226" i="5" s="1"/>
  <c r="AK64" i="10"/>
  <c r="V194" i="15"/>
  <c r="BH64" i="10" s="1"/>
  <c r="M175" i="15"/>
  <c r="O174" i="15"/>
  <c r="Q174" i="15" s="1"/>
  <c r="D446" i="15"/>
  <c r="AV63" i="10"/>
  <c r="L176" i="5"/>
  <c r="P176" i="5" s="1"/>
  <c r="L156" i="5"/>
  <c r="P156" i="5" s="1"/>
  <c r="BA87" i="10"/>
  <c r="K237" i="5"/>
  <c r="O237" i="5" s="1"/>
  <c r="K217" i="5"/>
  <c r="O217" i="5" s="1"/>
  <c r="AU140" i="10"/>
  <c r="K169" i="5"/>
  <c r="O169" i="5" s="1"/>
  <c r="BG39" i="10"/>
  <c r="S145" i="15"/>
  <c r="T145" i="15"/>
  <c r="AL64" i="10"/>
  <c r="V313" i="15"/>
  <c r="BI64" i="10" s="1"/>
  <c r="AU92" i="10"/>
  <c r="K167" i="5"/>
  <c r="O167" i="5" s="1"/>
  <c r="AX111" i="10"/>
  <c r="K208" i="5"/>
  <c r="O208" i="5" s="1"/>
  <c r="K188" i="5"/>
  <c r="O188" i="5" s="1"/>
  <c r="AB80" i="10"/>
  <c r="AB78" i="10"/>
  <c r="T251" i="15"/>
  <c r="BB92" i="10"/>
  <c r="BB103" i="10" s="1"/>
  <c r="L227" i="5"/>
  <c r="P227" i="5" s="1"/>
  <c r="N78" i="15"/>
  <c r="P77" i="15"/>
  <c r="R77" i="15" s="1"/>
  <c r="U77" i="15" s="1"/>
  <c r="AU63" i="10"/>
  <c r="K176" i="5"/>
  <c r="O176" i="5" s="1"/>
  <c r="K156" i="5"/>
  <c r="O156" i="5" s="1"/>
  <c r="AY39" i="10"/>
  <c r="L205" i="5"/>
  <c r="P205" i="5" s="1"/>
  <c r="L185" i="5"/>
  <c r="P185" i="5" s="1"/>
  <c r="AY135" i="10"/>
  <c r="L209" i="5"/>
  <c r="P209" i="5" s="1"/>
  <c r="L189" i="5"/>
  <c r="P189" i="5" s="1"/>
  <c r="BG87" i="10"/>
  <c r="AY111" i="10"/>
  <c r="L208" i="5"/>
  <c r="P208" i="5" s="1"/>
  <c r="L188" i="5"/>
  <c r="P188" i="5" s="1"/>
  <c r="Y127" i="10"/>
  <c r="BC68" i="10"/>
  <c r="BC79" i="10" s="1"/>
  <c r="M226" i="5"/>
  <c r="Q226" i="5" s="1"/>
  <c r="BC135" i="10"/>
  <c r="M239" i="5"/>
  <c r="Q239" i="5" s="1"/>
  <c r="M219" i="5"/>
  <c r="Q219" i="5" s="1"/>
  <c r="AX44" i="10"/>
  <c r="D474" i="15"/>
  <c r="AX87" i="10"/>
  <c r="K207" i="5"/>
  <c r="O207" i="5" s="1"/>
  <c r="K187" i="5"/>
  <c r="O187" i="5" s="1"/>
  <c r="AU135" i="10"/>
  <c r="K179" i="5"/>
  <c r="O179" i="5" s="1"/>
  <c r="K159" i="5"/>
  <c r="O159" i="5" s="1"/>
  <c r="N220" i="15"/>
  <c r="P219" i="15"/>
  <c r="R219" i="15" s="1"/>
  <c r="AV140" i="10"/>
  <c r="L169" i="5"/>
  <c r="P169" i="5" s="1"/>
  <c r="AY68" i="10"/>
  <c r="AY79" i="10" s="1"/>
  <c r="L196" i="5"/>
  <c r="P196" i="5" s="1"/>
  <c r="V53" i="15"/>
  <c r="BG41" i="10" s="1"/>
  <c r="T173" i="15"/>
  <c r="Y104" i="10"/>
  <c r="Y102" i="10"/>
  <c r="AM87" i="10"/>
  <c r="AN87" i="10" s="1"/>
  <c r="M147" i="15"/>
  <c r="O146" i="15"/>
  <c r="Q146" i="15" s="1"/>
  <c r="BC63" i="10"/>
  <c r="M216" i="5"/>
  <c r="Q216" i="5" s="1"/>
  <c r="M236" i="5"/>
  <c r="Q236" i="5" s="1"/>
  <c r="Z79" i="10"/>
  <c r="AA126" i="10"/>
  <c r="AA128" i="10"/>
  <c r="AD126" i="10"/>
  <c r="AD128" i="10"/>
  <c r="Z128" i="10"/>
  <c r="Z126" i="10"/>
  <c r="AW68" i="10"/>
  <c r="M166" i="5"/>
  <c r="Q166" i="5" s="1"/>
  <c r="AW116" i="10"/>
  <c r="M168" i="5"/>
  <c r="Q168" i="5" s="1"/>
  <c r="AJ136" i="10"/>
  <c r="AM136" i="10" s="1"/>
  <c r="V144" i="15"/>
  <c r="BG136" i="10" s="1"/>
  <c r="BJ136" i="10" s="1"/>
  <c r="BM136" i="10" s="1"/>
  <c r="BQ136" i="10" s="1"/>
  <c r="BC140" i="10"/>
  <c r="BC151" i="10" s="1"/>
  <c r="M229" i="5"/>
  <c r="Q229" i="5" s="1"/>
  <c r="BG63" i="10"/>
  <c r="AD102" i="10"/>
  <c r="AD104" i="10"/>
  <c r="BG135" i="10"/>
  <c r="Z103" i="10"/>
  <c r="Z104" i="10"/>
  <c r="Z102" i="10"/>
  <c r="BC44" i="10"/>
  <c r="P315" i="15"/>
  <c r="R315" i="15" s="1"/>
  <c r="N316" i="15"/>
  <c r="AY140" i="10"/>
  <c r="AY151" i="10" s="1"/>
  <c r="L199" i="5"/>
  <c r="P199" i="5" s="1"/>
  <c r="AZ135" i="10"/>
  <c r="M209" i="5"/>
  <c r="Q209" i="5" s="1"/>
  <c r="M189" i="5"/>
  <c r="Q189" i="5" s="1"/>
  <c r="AU44" i="10"/>
  <c r="M56" i="15"/>
  <c r="O55" i="15"/>
  <c r="Q55" i="15" s="1"/>
  <c r="AL111" i="10"/>
  <c r="AM111" i="10" s="1"/>
  <c r="AV135" i="10"/>
  <c r="L159" i="5"/>
  <c r="P159" i="5" s="1"/>
  <c r="L179" i="5"/>
  <c r="P179" i="5" s="1"/>
  <c r="AV116" i="10"/>
  <c r="L168" i="5"/>
  <c r="P168" i="5" s="1"/>
  <c r="Y103" i="10"/>
  <c r="V289" i="15"/>
  <c r="D464" i="15"/>
  <c r="D484" i="15"/>
  <c r="AB102" i="10"/>
  <c r="AB104" i="10"/>
  <c r="N174" i="15"/>
  <c r="P173" i="15"/>
  <c r="R173" i="15" s="1"/>
  <c r="U173" i="15" s="1"/>
  <c r="AC102" i="10"/>
  <c r="AC104" i="10"/>
  <c r="V336" i="15"/>
  <c r="BI88" i="10" s="1"/>
  <c r="AE152" i="10"/>
  <c r="AE150" i="10"/>
  <c r="S291" i="15"/>
  <c r="T291" i="15"/>
  <c r="AW44" i="10"/>
  <c r="AY92" i="10"/>
  <c r="AY103" i="10" s="1"/>
  <c r="L197" i="5"/>
  <c r="P197" i="5" s="1"/>
  <c r="U383" i="15"/>
  <c r="S383" i="15"/>
  <c r="D417" i="15"/>
  <c r="Y152" i="10"/>
  <c r="Y150" i="10"/>
  <c r="BC111" i="10"/>
  <c r="M238" i="5"/>
  <c r="Q238" i="5" s="1"/>
  <c r="M218" i="5"/>
  <c r="Q218" i="5" s="1"/>
  <c r="AK39" i="10"/>
  <c r="BB87" i="10"/>
  <c r="L237" i="5"/>
  <c r="P237" i="5" s="1"/>
  <c r="L217" i="5"/>
  <c r="P217" i="5" s="1"/>
  <c r="D477" i="15"/>
  <c r="AE102" i="10"/>
  <c r="AE104" i="10"/>
  <c r="D444" i="15"/>
  <c r="AV87" i="10"/>
  <c r="L177" i="5"/>
  <c r="P177" i="5" s="1"/>
  <c r="L157" i="5"/>
  <c r="P157" i="5" s="1"/>
  <c r="AE126" i="10"/>
  <c r="AE128" i="10"/>
  <c r="N57" i="15"/>
  <c r="P56" i="15"/>
  <c r="R56" i="15" s="1"/>
  <c r="U56" i="15" s="1"/>
  <c r="S337" i="15"/>
  <c r="T337" i="15"/>
  <c r="U264" i="15"/>
  <c r="S264" i="15"/>
  <c r="V335" i="15"/>
  <c r="D466" i="15"/>
  <c r="D486" i="15"/>
  <c r="BB63" i="10"/>
  <c r="L236" i="5"/>
  <c r="P236" i="5" s="1"/>
  <c r="L216" i="5"/>
  <c r="P216" i="5" s="1"/>
  <c r="X79" i="10"/>
  <c r="AC152" i="10"/>
  <c r="AC150" i="10"/>
  <c r="BA39" i="10"/>
  <c r="K215" i="5"/>
  <c r="O215" i="5" s="1"/>
  <c r="V216" i="15"/>
  <c r="D436" i="15"/>
  <c r="D456" i="15"/>
  <c r="S123" i="15"/>
  <c r="T123" i="15"/>
  <c r="AW39" i="10"/>
  <c r="M155" i="5"/>
  <c r="Q155" i="5" s="1"/>
  <c r="BA111" i="10"/>
  <c r="K238" i="5"/>
  <c r="O238" i="5" s="1"/>
  <c r="K218" i="5"/>
  <c r="O218" i="5" s="1"/>
  <c r="AY63" i="10"/>
  <c r="L186" i="5"/>
  <c r="P186" i="5" s="1"/>
  <c r="L206" i="5"/>
  <c r="P206" i="5" s="1"/>
  <c r="V193" i="15"/>
  <c r="D435" i="15"/>
  <c r="D455" i="15"/>
  <c r="D427" i="15"/>
  <c r="AW135" i="10"/>
  <c r="M179" i="5"/>
  <c r="Q179" i="5" s="1"/>
  <c r="M159" i="5"/>
  <c r="Q159" i="5" s="1"/>
  <c r="S172" i="15"/>
  <c r="AK41" i="10" s="1"/>
  <c r="AK63" i="10"/>
  <c r="D487" i="15"/>
  <c r="D416" i="15"/>
  <c r="Z80" i="10"/>
  <c r="Z78" i="10"/>
  <c r="AD78" i="10"/>
  <c r="AD80" i="10"/>
  <c r="AW111" i="10"/>
  <c r="M178" i="5"/>
  <c r="Q178" i="5" s="1"/>
  <c r="M158" i="5"/>
  <c r="Q158" i="5" s="1"/>
  <c r="M293" i="15"/>
  <c r="O292" i="15"/>
  <c r="Q292" i="15" s="1"/>
  <c r="AD152" i="10"/>
  <c r="AD150" i="10"/>
  <c r="AV68" i="10"/>
  <c r="L166" i="5"/>
  <c r="P166" i="5" s="1"/>
  <c r="AY116" i="10"/>
  <c r="AY127" i="10" s="1"/>
  <c r="L198" i="5"/>
  <c r="P198" i="5" s="1"/>
  <c r="M318" i="15"/>
  <c r="O317" i="15"/>
  <c r="Q317" i="15" s="1"/>
  <c r="V76" i="15"/>
  <c r="BG65" i="10" s="1"/>
  <c r="N385" i="15"/>
  <c r="P384" i="15"/>
  <c r="R384" i="15" s="1"/>
  <c r="BB44" i="10"/>
  <c r="BB55" i="10" s="1"/>
  <c r="L225" i="5"/>
  <c r="P225" i="5" s="1"/>
  <c r="AW92" i="10"/>
  <c r="M167" i="5"/>
  <c r="Q167" i="5" s="1"/>
  <c r="V261" i="15"/>
  <c r="U359" i="15"/>
  <c r="S359" i="15"/>
  <c r="D448" i="15"/>
  <c r="AW63" i="10"/>
  <c r="M156" i="5"/>
  <c r="Q156" i="5" s="1"/>
  <c r="M176" i="5"/>
  <c r="Q176" i="5" s="1"/>
  <c r="AW140" i="10"/>
  <c r="M169" i="5"/>
  <c r="Q169" i="5" s="1"/>
  <c r="X151" i="10"/>
  <c r="X80" i="10"/>
  <c r="X78" i="10"/>
  <c r="Z127" i="10"/>
  <c r="BA116" i="10"/>
  <c r="BA127" i="10" s="1"/>
  <c r="K228" i="5"/>
  <c r="O228" i="5" s="1"/>
  <c r="AA104" i="10"/>
  <c r="AA102" i="10"/>
  <c r="AU87" i="10"/>
  <c r="K177" i="5"/>
  <c r="O177" i="5" s="1"/>
  <c r="K157" i="5"/>
  <c r="O157" i="5" s="1"/>
  <c r="Y48" i="5"/>
  <c r="AE47" i="5"/>
  <c r="AK47" i="5"/>
  <c r="AW47" i="5" s="1"/>
  <c r="AB47" i="5"/>
  <c r="AH47" i="5"/>
  <c r="T196" i="15"/>
  <c r="D475" i="15"/>
  <c r="K166" i="5"/>
  <c r="O166" i="5" s="1"/>
  <c r="AU68" i="10"/>
  <c r="AF152" i="10"/>
  <c r="AF150" i="10"/>
  <c r="N266" i="15"/>
  <c r="P265" i="15"/>
  <c r="R265" i="15" s="1"/>
  <c r="BA92" i="10"/>
  <c r="BA103" i="10" s="1"/>
  <c r="K227" i="5"/>
  <c r="O227" i="5" s="1"/>
  <c r="S218" i="15"/>
  <c r="V218" i="15" s="1"/>
  <c r="BH89" i="10" s="1"/>
  <c r="M125" i="15"/>
  <c r="O124" i="15"/>
  <c r="Q124" i="15" s="1"/>
  <c r="AE80" i="10"/>
  <c r="AE78" i="10"/>
  <c r="AV92" i="10"/>
  <c r="L167" i="5"/>
  <c r="P167" i="5" s="1"/>
  <c r="AY87" i="10"/>
  <c r="L207" i="5"/>
  <c r="P207" i="5" s="1"/>
  <c r="L187" i="5"/>
  <c r="P187" i="5" s="1"/>
  <c r="BB116" i="10"/>
  <c r="BB127" i="10" s="1"/>
  <c r="L228" i="5"/>
  <c r="P228" i="5" s="1"/>
  <c r="BG111" i="10"/>
  <c r="AZ116" i="10"/>
  <c r="AZ127" i="10" s="1"/>
  <c r="M198" i="5"/>
  <c r="Q198" i="5" s="1"/>
  <c r="BB135" i="10"/>
  <c r="L219" i="5"/>
  <c r="P219" i="5" s="1"/>
  <c r="L239" i="5"/>
  <c r="P239" i="5" s="1"/>
  <c r="AX63" i="10"/>
  <c r="K206" i="5"/>
  <c r="O206" i="5" s="1"/>
  <c r="K186" i="5"/>
  <c r="O186" i="5" s="1"/>
  <c r="O78" i="15"/>
  <c r="Q78" i="15" s="1"/>
  <c r="M79" i="15"/>
  <c r="Y56" i="10"/>
  <c r="Y54" i="10"/>
  <c r="Y151" i="10"/>
  <c r="AZ68" i="10"/>
  <c r="AZ79" i="10" s="1"/>
  <c r="M196" i="5"/>
  <c r="Q196" i="5" s="1"/>
  <c r="D476" i="15"/>
  <c r="Z150" i="10"/>
  <c r="Z152" i="10"/>
  <c r="X127" i="10"/>
  <c r="T316" i="15"/>
  <c r="AX116" i="10"/>
  <c r="AX127" i="10" s="1"/>
  <c r="K198" i="5"/>
  <c r="O198" i="5" s="1"/>
  <c r="D414" i="15"/>
  <c r="AB54" i="10"/>
  <c r="AB56" i="10"/>
  <c r="N293" i="15"/>
  <c r="P292" i="15"/>
  <c r="R292" i="15" s="1"/>
  <c r="U292" i="15" s="1"/>
  <c r="AB150" i="10"/>
  <c r="AB152" i="10"/>
  <c r="AC126" i="10"/>
  <c r="AC128" i="10"/>
  <c r="D415" i="15"/>
  <c r="N361" i="15"/>
  <c r="P360" i="15"/>
  <c r="R360" i="15" s="1"/>
  <c r="N248" i="15"/>
  <c r="P247" i="15"/>
  <c r="R247" i="15" s="1"/>
  <c r="AY44" i="10"/>
  <c r="AY55" i="10" s="1"/>
  <c r="L195" i="5"/>
  <c r="P195" i="5" s="1"/>
  <c r="BB39" i="10"/>
  <c r="L215" i="5"/>
  <c r="P215" i="5" s="1"/>
  <c r="L235" i="5"/>
  <c r="P235" i="5" s="1"/>
  <c r="P195" i="15"/>
  <c r="R195" i="15" s="1"/>
  <c r="N196" i="15"/>
  <c r="AD54" i="10"/>
  <c r="BA68" i="10"/>
  <c r="BA79" i="10" s="1"/>
  <c r="K226" i="5"/>
  <c r="O226" i="5" s="1"/>
  <c r="S54" i="15"/>
  <c r="T54" i="15"/>
  <c r="AX39" i="10"/>
  <c r="K185" i="5"/>
  <c r="O185" i="5" s="1"/>
  <c r="AV111" i="10"/>
  <c r="L178" i="5"/>
  <c r="P178" i="5" s="1"/>
  <c r="L158" i="5"/>
  <c r="P158" i="5" s="1"/>
  <c r="AZ63" i="10"/>
  <c r="M186" i="5"/>
  <c r="Q186" i="5" s="1"/>
  <c r="M206" i="5"/>
  <c r="Q206" i="5" s="1"/>
  <c r="M339" i="15"/>
  <c r="O338" i="15"/>
  <c r="Q338" i="15" s="1"/>
  <c r="AZ39" i="10"/>
  <c r="M185" i="5"/>
  <c r="Q185" i="5" s="1"/>
  <c r="AF80" i="10"/>
  <c r="AF78" i="10"/>
  <c r="Z54" i="10"/>
  <c r="AX92" i="10"/>
  <c r="AX103" i="10" s="1"/>
  <c r="K197" i="5"/>
  <c r="O197" i="5" s="1"/>
  <c r="AA150" i="10"/>
  <c r="AA152" i="10"/>
  <c r="AB126" i="10"/>
  <c r="AB128" i="10"/>
  <c r="V312" i="15"/>
  <c r="D485" i="15"/>
  <c r="D465" i="15"/>
  <c r="AJ88" i="10"/>
  <c r="AM88" i="10" s="1"/>
  <c r="V98" i="15"/>
  <c r="BG88" i="10" s="1"/>
  <c r="V239" i="15"/>
  <c r="D437" i="15"/>
  <c r="D457" i="15"/>
  <c r="Y128" i="10"/>
  <c r="Y126" i="10"/>
  <c r="AU39" i="10"/>
  <c r="K155" i="5"/>
  <c r="O155" i="5" s="1"/>
  <c r="Z151" i="10"/>
  <c r="AC54" i="10"/>
  <c r="AF126" i="10"/>
  <c r="AF128" i="10"/>
  <c r="AC78" i="10"/>
  <c r="AC80" i="10"/>
  <c r="AU116" i="10"/>
  <c r="K168" i="5"/>
  <c r="O168" i="5" s="1"/>
  <c r="BA44" i="10"/>
  <c r="BC87" i="10"/>
  <c r="M237" i="5"/>
  <c r="Q237" i="5" s="1"/>
  <c r="M217" i="5"/>
  <c r="Q217" i="5" s="1"/>
  <c r="Y55" i="10"/>
  <c r="AX135" i="10"/>
  <c r="K209" i="5"/>
  <c r="O209" i="5" s="1"/>
  <c r="K189" i="5"/>
  <c r="O189" i="5" s="1"/>
  <c r="X104" i="10"/>
  <c r="X102" i="10"/>
  <c r="V172" i="15"/>
  <c r="BH41" i="10" s="1"/>
  <c r="V244" i="15"/>
  <c r="D447" i="15"/>
  <c r="S77" i="15"/>
  <c r="T77" i="15"/>
  <c r="V358" i="15"/>
  <c r="D458" i="15"/>
  <c r="X54" i="10"/>
  <c r="AF54" i="10"/>
  <c r="BC116" i="10"/>
  <c r="BC127" i="10" s="1"/>
  <c r="M228" i="5"/>
  <c r="Q228" i="5" s="1"/>
  <c r="D454" i="15"/>
  <c r="AV44" i="10"/>
  <c r="L165" i="5"/>
  <c r="P165" i="5" s="1"/>
  <c r="AZ87" i="10"/>
  <c r="M207" i="5"/>
  <c r="Q207" i="5" s="1"/>
  <c r="M187" i="5"/>
  <c r="Q187" i="5" s="1"/>
  <c r="BB111" i="10"/>
  <c r="L238" i="5"/>
  <c r="P238" i="5" s="1"/>
  <c r="L218" i="5"/>
  <c r="P218" i="5" s="1"/>
  <c r="AA80" i="10"/>
  <c r="AA78" i="10"/>
  <c r="BJ88" i="10" l="1"/>
  <c r="BM88" i="10" s="1"/>
  <c r="BQ88" i="10" s="1"/>
  <c r="BJ64" i="10"/>
  <c r="BL64" i="10" s="1"/>
  <c r="BP64" i="10" s="1"/>
  <c r="BK64" i="10"/>
  <c r="BO64" i="10" s="1"/>
  <c r="AO135" i="10"/>
  <c r="AP135" i="10"/>
  <c r="AT135" i="10" s="1"/>
  <c r="BL136" i="10"/>
  <c r="BP136" i="10" s="1"/>
  <c r="BK136" i="10"/>
  <c r="BO136" i="10" s="1"/>
  <c r="BL88" i="10"/>
  <c r="BP88" i="10" s="1"/>
  <c r="AM64" i="10"/>
  <c r="AN64" i="10" s="1"/>
  <c r="AR64" i="10" s="1"/>
  <c r="AO111" i="10"/>
  <c r="AP111" i="10"/>
  <c r="AN111" i="10"/>
  <c r="AS135" i="10"/>
  <c r="S265" i="15"/>
  <c r="U265" i="15"/>
  <c r="U100" i="15"/>
  <c r="S100" i="15"/>
  <c r="T197" i="15"/>
  <c r="X48" i="10"/>
  <c r="AL44" i="5"/>
  <c r="BA78" i="10"/>
  <c r="BA80" i="10"/>
  <c r="U195" i="15"/>
  <c r="S195" i="15"/>
  <c r="AL41" i="10"/>
  <c r="V291" i="15"/>
  <c r="BI41" i="10" s="1"/>
  <c r="BJ41" i="10" s="1"/>
  <c r="AJ137" i="10"/>
  <c r="V145" i="15"/>
  <c r="AZ128" i="10"/>
  <c r="AZ126" i="10"/>
  <c r="S124" i="15"/>
  <c r="T124" i="15"/>
  <c r="BI39" i="10"/>
  <c r="BJ39" i="10" s="1"/>
  <c r="AY54" i="10"/>
  <c r="AY56" i="10"/>
  <c r="S78" i="15"/>
  <c r="T78" i="15"/>
  <c r="AM63" i="10"/>
  <c r="BA54" i="10"/>
  <c r="P174" i="15"/>
  <c r="R174" i="15" s="1"/>
  <c r="U174" i="15" s="1"/>
  <c r="N175" i="15"/>
  <c r="N317" i="15"/>
  <c r="P316" i="15"/>
  <c r="R316" i="15" s="1"/>
  <c r="AP87" i="10"/>
  <c r="S174" i="15"/>
  <c r="T174" i="15"/>
  <c r="N102" i="15"/>
  <c r="P101" i="15"/>
  <c r="R101" i="15" s="1"/>
  <c r="O198" i="15"/>
  <c r="Q198" i="15" s="1"/>
  <c r="M199" i="15"/>
  <c r="T252" i="15"/>
  <c r="AJ66" i="10"/>
  <c r="V77" i="15"/>
  <c r="AZ54" i="10"/>
  <c r="S338" i="15"/>
  <c r="T338" i="15"/>
  <c r="M340" i="15"/>
  <c r="O339" i="15"/>
  <c r="Q339" i="15" s="1"/>
  <c r="AW151" i="10"/>
  <c r="AK137" i="10"/>
  <c r="V264" i="15"/>
  <c r="BB54" i="10"/>
  <c r="BB56" i="10"/>
  <c r="N386" i="15"/>
  <c r="P385" i="15"/>
  <c r="R385" i="15" s="1"/>
  <c r="AV127" i="10"/>
  <c r="U315" i="15"/>
  <c r="S315" i="15"/>
  <c r="AU152" i="10"/>
  <c r="AU150" i="10"/>
  <c r="AU103" i="10"/>
  <c r="M176" i="15"/>
  <c r="O175" i="15"/>
  <c r="Q175" i="15" s="1"/>
  <c r="BI135" i="10"/>
  <c r="T253" i="15"/>
  <c r="AD48" i="10"/>
  <c r="AR44" i="5"/>
  <c r="AJ89" i="10"/>
  <c r="V99" i="15"/>
  <c r="BB152" i="10"/>
  <c r="BB150" i="10"/>
  <c r="N58" i="15"/>
  <c r="P57" i="15"/>
  <c r="R57" i="15" s="1"/>
  <c r="U57" i="15" s="1"/>
  <c r="S247" i="15"/>
  <c r="U247" i="15"/>
  <c r="AY104" i="10"/>
  <c r="AY102" i="10"/>
  <c r="M126" i="15"/>
  <c r="O125" i="15"/>
  <c r="Q125" i="15" s="1"/>
  <c r="BA128" i="10"/>
  <c r="BA126" i="10"/>
  <c r="AU54" i="10"/>
  <c r="AN88" i="10"/>
  <c r="AR88" i="10" s="1"/>
  <c r="AP88" i="10"/>
  <c r="AT88" i="10" s="1"/>
  <c r="AO88" i="10"/>
  <c r="AS88" i="10" s="1"/>
  <c r="P293" i="15"/>
  <c r="R293" i="15" s="1"/>
  <c r="U293" i="15" s="1"/>
  <c r="N294" i="15"/>
  <c r="BH63" i="10"/>
  <c r="BC128" i="10"/>
  <c r="BC126" i="10"/>
  <c r="BM64" i="10"/>
  <c r="BQ64" i="10" s="1"/>
  <c r="AW127" i="10"/>
  <c r="BC78" i="10"/>
  <c r="BC80" i="10"/>
  <c r="S173" i="15"/>
  <c r="BA102" i="10"/>
  <c r="BA104" i="10"/>
  <c r="AW102" i="10"/>
  <c r="AW104" i="10"/>
  <c r="AL40" i="10"/>
  <c r="V290" i="15"/>
  <c r="BI40" i="10" s="1"/>
  <c r="BJ40" i="10" s="1"/>
  <c r="AN135" i="10"/>
  <c r="AV54" i="10"/>
  <c r="AV56" i="10"/>
  <c r="W46" i="5"/>
  <c r="AC45" i="5"/>
  <c r="AI45" i="5"/>
  <c r="AU45" i="5" s="1"/>
  <c r="Z45" i="5"/>
  <c r="AF45" i="5"/>
  <c r="BC54" i="10"/>
  <c r="M57" i="15"/>
  <c r="O56" i="15"/>
  <c r="Q56" i="15" s="1"/>
  <c r="AX128" i="10"/>
  <c r="AX126" i="10"/>
  <c r="AC51" i="10"/>
  <c r="AQ47" i="5"/>
  <c r="AU151" i="10"/>
  <c r="BH111" i="10"/>
  <c r="F437" i="15"/>
  <c r="H437" i="15" s="1"/>
  <c r="N249" i="15"/>
  <c r="P248" i="15"/>
  <c r="R248" i="15" s="1"/>
  <c r="U384" i="15"/>
  <c r="S384" i="15"/>
  <c r="AJ114" i="10"/>
  <c r="V123" i="15"/>
  <c r="U360" i="15"/>
  <c r="S360" i="15"/>
  <c r="BC102" i="10"/>
  <c r="BC104" i="10"/>
  <c r="N362" i="15"/>
  <c r="P361" i="15"/>
  <c r="R361" i="15" s="1"/>
  <c r="AV103" i="10"/>
  <c r="AZ78" i="10"/>
  <c r="AZ80" i="10"/>
  <c r="AX54" i="10"/>
  <c r="AX78" i="10"/>
  <c r="AX80" i="10"/>
  <c r="AU104" i="10"/>
  <c r="AU102" i="10"/>
  <c r="AW78" i="10"/>
  <c r="AW80" i="10"/>
  <c r="T317" i="15"/>
  <c r="AV79" i="10"/>
  <c r="AW128" i="10"/>
  <c r="AW126" i="10"/>
  <c r="BH87" i="10"/>
  <c r="BB80" i="10"/>
  <c r="BB78" i="10"/>
  <c r="AL89" i="10"/>
  <c r="V337" i="15"/>
  <c r="BI89" i="10" s="1"/>
  <c r="BB104" i="10"/>
  <c r="BB102" i="10"/>
  <c r="AV151" i="10"/>
  <c r="AY150" i="10"/>
  <c r="AY152" i="10"/>
  <c r="AU80" i="10"/>
  <c r="AU78" i="10"/>
  <c r="T363" i="15"/>
  <c r="AA48" i="10"/>
  <c r="AO44" i="5"/>
  <c r="AX48" i="10" s="1"/>
  <c r="AR87" i="10"/>
  <c r="AV126" i="10"/>
  <c r="AV128" i="10"/>
  <c r="O79" i="15"/>
  <c r="Q79" i="15" s="1"/>
  <c r="M80" i="15"/>
  <c r="S292" i="15"/>
  <c r="T292" i="15"/>
  <c r="BI87" i="10"/>
  <c r="M294" i="15"/>
  <c r="O293" i="15"/>
  <c r="Q293" i="15" s="1"/>
  <c r="BI111" i="10"/>
  <c r="AF51" i="10"/>
  <c r="AT47" i="5"/>
  <c r="O318" i="15"/>
  <c r="Q318" i="15" s="1"/>
  <c r="M319" i="15"/>
  <c r="AW152" i="10"/>
  <c r="AW150" i="10"/>
  <c r="AV104" i="10"/>
  <c r="AV102" i="10"/>
  <c r="BK88" i="10"/>
  <c r="BO88" i="10" s="1"/>
  <c r="AV152" i="10"/>
  <c r="AV150" i="10"/>
  <c r="S146" i="15"/>
  <c r="T146" i="15"/>
  <c r="AO87" i="10"/>
  <c r="U219" i="15"/>
  <c r="S219" i="15"/>
  <c r="AX102" i="10"/>
  <c r="AX104" i="10"/>
  <c r="AY126" i="10"/>
  <c r="AY128" i="10"/>
  <c r="M365" i="15"/>
  <c r="O364" i="15"/>
  <c r="Q364" i="15" s="1"/>
  <c r="AP136" i="10"/>
  <c r="AT136" i="10" s="1"/>
  <c r="AN136" i="10"/>
  <c r="AR136" i="10" s="1"/>
  <c r="AO136" i="10"/>
  <c r="AS136" i="10" s="1"/>
  <c r="AV55" i="10"/>
  <c r="N267" i="15"/>
  <c r="P266" i="15"/>
  <c r="R266" i="15" s="1"/>
  <c r="AU127" i="10"/>
  <c r="Y49" i="5"/>
  <c r="AK48" i="5"/>
  <c r="AW48" i="5" s="1"/>
  <c r="AE48" i="5"/>
  <c r="AB48" i="5"/>
  <c r="AH48" i="5"/>
  <c r="AM39" i="10"/>
  <c r="AK89" i="10"/>
  <c r="BB126" i="10"/>
  <c r="BB128" i="10"/>
  <c r="AW103" i="10"/>
  <c r="AZ104" i="10"/>
  <c r="AZ102" i="10"/>
  <c r="BH116" i="10"/>
  <c r="AX152" i="10"/>
  <c r="AX150" i="10"/>
  <c r="BI63" i="10"/>
  <c r="AJ42" i="10"/>
  <c r="V54" i="15"/>
  <c r="BG42" i="10" s="1"/>
  <c r="N197" i="15"/>
  <c r="P196" i="15"/>
  <c r="R196" i="15" s="1"/>
  <c r="AU79" i="10"/>
  <c r="Z51" i="10"/>
  <c r="AN47" i="5"/>
  <c r="V359" i="15"/>
  <c r="BI112" i="10" s="1"/>
  <c r="BJ112" i="10" s="1"/>
  <c r="AL112" i="10"/>
  <c r="AM112" i="10" s="1"/>
  <c r="AY78" i="10"/>
  <c r="AY80" i="10"/>
  <c r="AW54" i="10"/>
  <c r="AL137" i="10"/>
  <c r="V383" i="15"/>
  <c r="BI137" i="10" s="1"/>
  <c r="S55" i="15"/>
  <c r="T55" i="15"/>
  <c r="AZ152" i="10"/>
  <c r="AZ150" i="10"/>
  <c r="AW79" i="10"/>
  <c r="M148" i="15"/>
  <c r="O147" i="15"/>
  <c r="Q147" i="15" s="1"/>
  <c r="N221" i="15"/>
  <c r="P220" i="15"/>
  <c r="R220" i="15" s="1"/>
  <c r="BC152" i="10"/>
  <c r="BC150" i="10"/>
  <c r="P78" i="15"/>
  <c r="R78" i="15" s="1"/>
  <c r="U78" i="15" s="1"/>
  <c r="N79" i="15"/>
  <c r="AV78" i="10"/>
  <c r="AV80" i="10"/>
  <c r="AU128" i="10"/>
  <c r="AU126" i="10"/>
  <c r="BA152" i="10"/>
  <c r="BA150" i="10"/>
  <c r="BJ111" i="10" l="1"/>
  <c r="BL111" i="10" s="1"/>
  <c r="BJ87" i="10"/>
  <c r="BK87" i="10" s="1"/>
  <c r="AO64" i="10"/>
  <c r="AS64" i="10" s="1"/>
  <c r="AP64" i="10"/>
  <c r="AT64" i="10" s="1"/>
  <c r="AM137" i="10"/>
  <c r="AO137" i="10" s="1"/>
  <c r="BL41" i="10"/>
  <c r="BP41" i="10" s="1"/>
  <c r="BM41" i="10"/>
  <c r="BQ41" i="10" s="1"/>
  <c r="BK41" i="10"/>
  <c r="BO41" i="10" s="1"/>
  <c r="T364" i="15"/>
  <c r="N59" i="15"/>
  <c r="P58" i="15"/>
  <c r="R58" i="15" s="1"/>
  <c r="U58" i="15" s="1"/>
  <c r="O319" i="15"/>
  <c r="Q319" i="15" s="1"/>
  <c r="M320" i="15"/>
  <c r="M177" i="15"/>
  <c r="O176" i="15"/>
  <c r="Q176" i="15" s="1"/>
  <c r="BA48" i="10"/>
  <c r="M366" i="15"/>
  <c r="O365" i="15"/>
  <c r="Q365" i="15" s="1"/>
  <c r="N363" i="15"/>
  <c r="P362" i="15"/>
  <c r="R362" i="15" s="1"/>
  <c r="S125" i="15"/>
  <c r="T125" i="15"/>
  <c r="S339" i="15"/>
  <c r="T339" i="15"/>
  <c r="N198" i="15"/>
  <c r="P197" i="15"/>
  <c r="R197" i="15" s="1"/>
  <c r="M127" i="15"/>
  <c r="O126" i="15"/>
  <c r="Q126" i="15" s="1"/>
  <c r="U316" i="15"/>
  <c r="S316" i="15"/>
  <c r="AS111" i="10"/>
  <c r="AM40" i="10"/>
  <c r="AO39" i="10"/>
  <c r="AP39" i="10"/>
  <c r="AN39" i="10"/>
  <c r="AK43" i="10"/>
  <c r="V174" i="15"/>
  <c r="BH43" i="10" s="1"/>
  <c r="AF52" i="10"/>
  <c r="AT48" i="5"/>
  <c r="BC52" i="10" s="1"/>
  <c r="AL138" i="10"/>
  <c r="V384" i="15"/>
  <c r="BI138" i="10" s="1"/>
  <c r="AL66" i="10"/>
  <c r="E465" i="15"/>
  <c r="V315" i="15"/>
  <c r="AT87" i="10"/>
  <c r="AT111" i="10"/>
  <c r="Z52" i="10"/>
  <c r="AN48" i="5"/>
  <c r="AW52" i="10" s="1"/>
  <c r="T318" i="15"/>
  <c r="AK65" i="10"/>
  <c r="V195" i="15"/>
  <c r="AC52" i="10"/>
  <c r="AQ48" i="5"/>
  <c r="AZ52" i="10" s="1"/>
  <c r="AL42" i="10"/>
  <c r="V292" i="15"/>
  <c r="BI42" i="10" s="1"/>
  <c r="S248" i="15"/>
  <c r="U248" i="15"/>
  <c r="AO45" i="5"/>
  <c r="AA49" i="10"/>
  <c r="O199" i="15"/>
  <c r="Q199" i="15" s="1"/>
  <c r="M200" i="15"/>
  <c r="P317" i="15"/>
  <c r="R317" i="15" s="1"/>
  <c r="N318" i="15"/>
  <c r="AK138" i="10"/>
  <c r="V265" i="15"/>
  <c r="BH138" i="10" s="1"/>
  <c r="BG114" i="10"/>
  <c r="AS87" i="10"/>
  <c r="N387" i="15"/>
  <c r="P386" i="15"/>
  <c r="R386" i="15" s="1"/>
  <c r="BM40" i="10"/>
  <c r="BQ40" i="10" s="1"/>
  <c r="BL40" i="10"/>
  <c r="BP40" i="10" s="1"/>
  <c r="BK40" i="10"/>
  <c r="BO40" i="10" s="1"/>
  <c r="AP112" i="10"/>
  <c r="AT112" i="10" s="1"/>
  <c r="AO112" i="10"/>
  <c r="AS112" i="10" s="1"/>
  <c r="AN112" i="10"/>
  <c r="AR112" i="10" s="1"/>
  <c r="X49" i="10"/>
  <c r="AL45" i="5"/>
  <c r="AU49" i="10" s="1"/>
  <c r="BL112" i="10"/>
  <c r="BP112" i="10" s="1"/>
  <c r="BK112" i="10"/>
  <c r="BO112" i="10" s="1"/>
  <c r="BM112" i="10"/>
  <c r="BQ112" i="10" s="1"/>
  <c r="M341" i="15"/>
  <c r="O340" i="15"/>
  <c r="Q340" i="15" s="1"/>
  <c r="AJ115" i="10"/>
  <c r="AJ126" i="10" s="1"/>
  <c r="V124" i="15"/>
  <c r="BG115" i="10" s="1"/>
  <c r="E407" i="15"/>
  <c r="P221" i="15"/>
  <c r="R221" i="15" s="1"/>
  <c r="N222" i="15"/>
  <c r="AW51" i="10"/>
  <c r="S147" i="15"/>
  <c r="T147" i="15"/>
  <c r="M81" i="15"/>
  <c r="O80" i="15"/>
  <c r="Q80" i="15" s="1"/>
  <c r="AL113" i="10"/>
  <c r="AM113" i="10" s="1"/>
  <c r="V360" i="15"/>
  <c r="N250" i="15"/>
  <c r="P249" i="15"/>
  <c r="R249" i="15" s="1"/>
  <c r="W47" i="5"/>
  <c r="AI46" i="5"/>
  <c r="AU46" i="5" s="1"/>
  <c r="AC46" i="5"/>
  <c r="Z46" i="5"/>
  <c r="AF46" i="5"/>
  <c r="AK42" i="10"/>
  <c r="V173" i="15"/>
  <c r="E405" i="15"/>
  <c r="BH137" i="10"/>
  <c r="AL90" i="10"/>
  <c r="V338" i="15"/>
  <c r="T198" i="15"/>
  <c r="N176" i="15"/>
  <c r="P175" i="15"/>
  <c r="R175" i="15" s="1"/>
  <c r="U175" i="15" s="1"/>
  <c r="AJ90" i="10"/>
  <c r="V100" i="15"/>
  <c r="BH126" i="10"/>
  <c r="N295" i="15"/>
  <c r="P294" i="15"/>
  <c r="R294" i="15" s="1"/>
  <c r="U294" i="15" s="1"/>
  <c r="BG66" i="10"/>
  <c r="F405" i="15"/>
  <c r="H405" i="15" s="1"/>
  <c r="U361" i="15"/>
  <c r="S361" i="15"/>
  <c r="AR135" i="10"/>
  <c r="AR111" i="10"/>
  <c r="U220" i="15"/>
  <c r="S220" i="15"/>
  <c r="AJ138" i="10"/>
  <c r="V146" i="15"/>
  <c r="BG138" i="10" s="1"/>
  <c r="E434" i="15"/>
  <c r="AZ51" i="10"/>
  <c r="P79" i="15"/>
  <c r="R79" i="15" s="1"/>
  <c r="U79" i="15" s="1"/>
  <c r="N80" i="15"/>
  <c r="S266" i="15"/>
  <c r="E438" i="15" s="1"/>
  <c r="U266" i="15"/>
  <c r="S79" i="15"/>
  <c r="T79" i="15"/>
  <c r="M58" i="15"/>
  <c r="O57" i="15"/>
  <c r="Q57" i="15" s="1"/>
  <c r="BG89" i="10"/>
  <c r="U101" i="15"/>
  <c r="S101" i="15"/>
  <c r="AJ43" i="10"/>
  <c r="AJ54" i="10" s="1"/>
  <c r="V55" i="15"/>
  <c r="E404" i="15"/>
  <c r="BL39" i="10"/>
  <c r="BP39" i="10" s="1"/>
  <c r="U385" i="15"/>
  <c r="S385" i="15"/>
  <c r="E468" i="15" s="1"/>
  <c r="AD49" i="10"/>
  <c r="AR45" i="5"/>
  <c r="BA49" i="10" s="1"/>
  <c r="S175" i="15"/>
  <c r="T175" i="15"/>
  <c r="AO63" i="10"/>
  <c r="AP63" i="10"/>
  <c r="AN63" i="10"/>
  <c r="U196" i="15"/>
  <c r="S196" i="15"/>
  <c r="BJ135" i="10"/>
  <c r="BJ63" i="10"/>
  <c r="AJ67" i="10"/>
  <c r="V78" i="15"/>
  <c r="BG67" i="10" s="1"/>
  <c r="S293" i="15"/>
  <c r="T293" i="15"/>
  <c r="BM39" i="10"/>
  <c r="BQ39" i="10" s="1"/>
  <c r="M295" i="15"/>
  <c r="O294" i="15"/>
  <c r="Q294" i="15" s="1"/>
  <c r="S56" i="15"/>
  <c r="T56" i="15"/>
  <c r="M149" i="15"/>
  <c r="O148" i="15"/>
  <c r="Q148" i="15" s="1"/>
  <c r="AE49" i="5"/>
  <c r="AK49" i="5"/>
  <c r="AW49" i="5" s="1"/>
  <c r="AB49" i="5"/>
  <c r="J165" i="5" s="1"/>
  <c r="AH49" i="5"/>
  <c r="BC51" i="10"/>
  <c r="N268" i="15"/>
  <c r="P267" i="15"/>
  <c r="R267" i="15" s="1"/>
  <c r="AK90" i="10"/>
  <c r="V219" i="15"/>
  <c r="BK39" i="10"/>
  <c r="AK119" i="10"/>
  <c r="V247" i="15"/>
  <c r="AM89" i="10"/>
  <c r="N103" i="15"/>
  <c r="P102" i="15"/>
  <c r="R102" i="15" s="1"/>
  <c r="BG137" i="10"/>
  <c r="AU48" i="10"/>
  <c r="BK111" i="10" l="1"/>
  <c r="BM111" i="10"/>
  <c r="BQ111" i="10" s="1"/>
  <c r="BM87" i="10"/>
  <c r="BQ87" i="10" s="1"/>
  <c r="BL87" i="10"/>
  <c r="BP87" i="10" s="1"/>
  <c r="AN137" i="10"/>
  <c r="AR137" i="10" s="1"/>
  <c r="AP137" i="10"/>
  <c r="AT137" i="10" s="1"/>
  <c r="BJ138" i="10"/>
  <c r="BM138" i="10" s="1"/>
  <c r="BQ138" i="10" s="1"/>
  <c r="AM138" i="10"/>
  <c r="AP138" i="10" s="1"/>
  <c r="AK66" i="10"/>
  <c r="AM66" i="10" s="1"/>
  <c r="V196" i="15"/>
  <c r="BH66" i="10" s="1"/>
  <c r="AA50" i="10"/>
  <c r="AO46" i="5"/>
  <c r="S126" i="15"/>
  <c r="T126" i="15"/>
  <c r="BJ89" i="10"/>
  <c r="M128" i="15"/>
  <c r="O127" i="15"/>
  <c r="Q127" i="15" s="1"/>
  <c r="BH42" i="10"/>
  <c r="F434" i="15"/>
  <c r="H434" i="15" s="1"/>
  <c r="S249" i="15"/>
  <c r="U249" i="15"/>
  <c r="AK120" i="10"/>
  <c r="V248" i="15"/>
  <c r="BH120" i="10" s="1"/>
  <c r="AJ68" i="10"/>
  <c r="V79" i="15"/>
  <c r="O81" i="15"/>
  <c r="Q81" i="15" s="1"/>
  <c r="M82" i="15"/>
  <c r="N364" i="15"/>
  <c r="P363" i="15"/>
  <c r="R363" i="15" s="1"/>
  <c r="M178" i="15"/>
  <c r="O177" i="15"/>
  <c r="Q177" i="15" s="1"/>
  <c r="U102" i="15"/>
  <c r="S102" i="15"/>
  <c r="AC53" i="10"/>
  <c r="AC56" i="10" s="1"/>
  <c r="AQ49" i="5"/>
  <c r="J205" i="5"/>
  <c r="AJ91" i="10"/>
  <c r="V101" i="15"/>
  <c r="E406" i="15"/>
  <c r="AL114" i="10"/>
  <c r="V361" i="15"/>
  <c r="BI114" i="10" s="1"/>
  <c r="BJ114" i="10" s="1"/>
  <c r="O320" i="15"/>
  <c r="Q320" i="15" s="1"/>
  <c r="M321" i="15"/>
  <c r="S148" i="15"/>
  <c r="T148" i="15"/>
  <c r="T365" i="15"/>
  <c r="T319" i="15"/>
  <c r="AF53" i="10"/>
  <c r="AT49" i="5"/>
  <c r="AL139" i="10"/>
  <c r="AL150" i="10" s="1"/>
  <c r="V385" i="15"/>
  <c r="BI139" i="10" s="1"/>
  <c r="BI150" i="10" s="1"/>
  <c r="N177" i="15"/>
  <c r="P176" i="15"/>
  <c r="R176" i="15" s="1"/>
  <c r="U176" i="15" s="1"/>
  <c r="U362" i="15"/>
  <c r="S362" i="15"/>
  <c r="BJ137" i="10"/>
  <c r="S294" i="15"/>
  <c r="T294" i="15"/>
  <c r="N296" i="15"/>
  <c r="P295" i="15"/>
  <c r="R295" i="15" s="1"/>
  <c r="U295" i="15" s="1"/>
  <c r="N223" i="15"/>
  <c r="P222" i="15"/>
  <c r="R222" i="15" s="1"/>
  <c r="P318" i="15"/>
  <c r="R318" i="15" s="1"/>
  <c r="N319" i="15"/>
  <c r="S176" i="15"/>
  <c r="T176" i="15"/>
  <c r="AR63" i="10"/>
  <c r="J225" i="5"/>
  <c r="U221" i="15"/>
  <c r="S221" i="15"/>
  <c r="U197" i="15"/>
  <c r="S197" i="15"/>
  <c r="BO111" i="10"/>
  <c r="J175" i="5"/>
  <c r="BI90" i="10"/>
  <c r="F466" i="15"/>
  <c r="H466" i="15" s="1"/>
  <c r="M201" i="15"/>
  <c r="O200" i="15"/>
  <c r="Q200" i="15" s="1"/>
  <c r="AS39" i="10"/>
  <c r="S267" i="15"/>
  <c r="U267" i="15"/>
  <c r="BG90" i="10"/>
  <c r="BI66" i="10"/>
  <c r="F465" i="15"/>
  <c r="H465" i="15" s="1"/>
  <c r="AL91" i="10"/>
  <c r="AL102" i="10" s="1"/>
  <c r="V339" i="15"/>
  <c r="BI91" i="10" s="1"/>
  <c r="E466" i="15"/>
  <c r="M367" i="15"/>
  <c r="O366" i="15"/>
  <c r="Q366" i="15" s="1"/>
  <c r="BO87" i="10"/>
  <c r="AK44" i="10"/>
  <c r="V175" i="15"/>
  <c r="AM65" i="10"/>
  <c r="U317" i="15"/>
  <c r="S317" i="15"/>
  <c r="AR39" i="10"/>
  <c r="BH90" i="10"/>
  <c r="BM63" i="10"/>
  <c r="BK63" i="10"/>
  <c r="BL63" i="10"/>
  <c r="AT39" i="10"/>
  <c r="BP111" i="10"/>
  <c r="P103" i="15"/>
  <c r="R103" i="15" s="1"/>
  <c r="N104" i="15"/>
  <c r="BK135" i="10"/>
  <c r="BL135" i="10"/>
  <c r="BM135" i="10"/>
  <c r="S57" i="15"/>
  <c r="T57" i="15"/>
  <c r="J195" i="5"/>
  <c r="N251" i="15"/>
  <c r="P250" i="15"/>
  <c r="R250" i="15" s="1"/>
  <c r="F407" i="15"/>
  <c r="H407" i="15" s="1"/>
  <c r="BH119" i="10"/>
  <c r="P80" i="15"/>
  <c r="R80" i="15" s="1"/>
  <c r="U80" i="15" s="1"/>
  <c r="N81" i="15"/>
  <c r="BG126" i="10"/>
  <c r="N269" i="15"/>
  <c r="P268" i="15"/>
  <c r="R268" i="15" s="1"/>
  <c r="AM90" i="10"/>
  <c r="AD50" i="10"/>
  <c r="AR46" i="5"/>
  <c r="BA50" i="10" s="1"/>
  <c r="BI113" i="10"/>
  <c r="S340" i="15"/>
  <c r="T340" i="15"/>
  <c r="U386" i="15"/>
  <c r="S386" i="15"/>
  <c r="AX49" i="10"/>
  <c r="E435" i="15"/>
  <c r="AL67" i="10"/>
  <c r="AL78" i="10" s="1"/>
  <c r="V316" i="15"/>
  <c r="BI67" i="10" s="1"/>
  <c r="P59" i="15"/>
  <c r="R59" i="15" s="1"/>
  <c r="U59" i="15" s="1"/>
  <c r="N60" i="15"/>
  <c r="S80" i="15"/>
  <c r="T80" i="15"/>
  <c r="Z53" i="10"/>
  <c r="AN49" i="5"/>
  <c r="AW53" i="10" s="1"/>
  <c r="AW56" i="10" s="1"/>
  <c r="AN89" i="10"/>
  <c r="AP89" i="10"/>
  <c r="AO89" i="10"/>
  <c r="M296" i="15"/>
  <c r="O295" i="15"/>
  <c r="Q295" i="15" s="1"/>
  <c r="W48" i="5"/>
  <c r="AC47" i="5"/>
  <c r="AI47" i="5"/>
  <c r="AU47" i="5" s="1"/>
  <c r="AF47" i="5"/>
  <c r="Z47" i="5"/>
  <c r="AS137" i="10"/>
  <c r="AT63" i="10"/>
  <c r="AK139" i="10"/>
  <c r="V266" i="15"/>
  <c r="AK91" i="10"/>
  <c r="AK102" i="10" s="1"/>
  <c r="V220" i="15"/>
  <c r="BH91" i="10" s="1"/>
  <c r="E436" i="15"/>
  <c r="AK54" i="10"/>
  <c r="P198" i="15"/>
  <c r="R198" i="15" s="1"/>
  <c r="N199" i="15"/>
  <c r="AS63" i="10"/>
  <c r="AJ139" i="10"/>
  <c r="AJ150" i="10" s="1"/>
  <c r="V147" i="15"/>
  <c r="E408" i="15"/>
  <c r="T199" i="15"/>
  <c r="M150" i="15"/>
  <c r="O149" i="15"/>
  <c r="Q149" i="15" s="1"/>
  <c r="M59" i="15"/>
  <c r="O58" i="15"/>
  <c r="Q58" i="15" s="1"/>
  <c r="AL43" i="10"/>
  <c r="AL54" i="10" s="1"/>
  <c r="V293" i="15"/>
  <c r="BI43" i="10" s="1"/>
  <c r="E464" i="15"/>
  <c r="M175" i="5"/>
  <c r="Q175" i="5" s="1"/>
  <c r="F408" i="15"/>
  <c r="H408" i="15" s="1"/>
  <c r="BO39" i="10"/>
  <c r="AJ44" i="10"/>
  <c r="V56" i="15"/>
  <c r="BG43" i="10"/>
  <c r="F404" i="15"/>
  <c r="H404" i="15" s="1"/>
  <c r="F468" i="15"/>
  <c r="H468" i="15" s="1"/>
  <c r="M195" i="5"/>
  <c r="Q195" i="5" s="1"/>
  <c r="J235" i="5"/>
  <c r="BG78" i="10"/>
  <c r="X50" i="10"/>
  <c r="AL46" i="5"/>
  <c r="AP113" i="10"/>
  <c r="AO113" i="10"/>
  <c r="AS113" i="10" s="1"/>
  <c r="AN113" i="10"/>
  <c r="AR113" i="10" s="1"/>
  <c r="M165" i="5"/>
  <c r="Q165" i="5" s="1"/>
  <c r="M342" i="15"/>
  <c r="O341" i="15"/>
  <c r="Q341" i="15" s="1"/>
  <c r="N388" i="15"/>
  <c r="P387" i="15"/>
  <c r="R387" i="15" s="1"/>
  <c r="BH65" i="10"/>
  <c r="AM41" i="10"/>
  <c r="AP40" i="10"/>
  <c r="AT40" i="10" s="1"/>
  <c r="AO40" i="10"/>
  <c r="AS40" i="10" s="1"/>
  <c r="AN40" i="10"/>
  <c r="AR40" i="10" s="1"/>
  <c r="AJ116" i="10"/>
  <c r="V125" i="15"/>
  <c r="AJ78" i="10"/>
  <c r="AO138" i="10" l="1"/>
  <c r="AS138" i="10" s="1"/>
  <c r="BL138" i="10"/>
  <c r="BP138" i="10" s="1"/>
  <c r="Z56" i="10"/>
  <c r="BJ66" i="10"/>
  <c r="BM66" i="10" s="1"/>
  <c r="BQ66" i="10" s="1"/>
  <c r="BK138" i="10"/>
  <c r="BO138" i="10" s="1"/>
  <c r="AN138" i="10"/>
  <c r="AR138" i="10" s="1"/>
  <c r="BJ90" i="10"/>
  <c r="BM90" i="10" s="1"/>
  <c r="BQ90" i="10" s="1"/>
  <c r="AW55" i="10"/>
  <c r="BK114" i="10"/>
  <c r="BO114" i="10" s="1"/>
  <c r="BM114" i="10"/>
  <c r="BQ114" i="10" s="1"/>
  <c r="BL114" i="10"/>
  <c r="BP114" i="10" s="1"/>
  <c r="AM42" i="10"/>
  <c r="AO41" i="10"/>
  <c r="AP41" i="10"/>
  <c r="AN41" i="10"/>
  <c r="U363" i="15"/>
  <c r="S363" i="15"/>
  <c r="AL115" i="10"/>
  <c r="AM115" i="10" s="1"/>
  <c r="V362" i="15"/>
  <c r="F467" i="15" s="1"/>
  <c r="H467" i="15" s="1"/>
  <c r="BG44" i="10"/>
  <c r="AJ92" i="10"/>
  <c r="V102" i="15"/>
  <c r="S295" i="15"/>
  <c r="T295" i="15"/>
  <c r="BJ113" i="10"/>
  <c r="AK45" i="10"/>
  <c r="V176" i="15"/>
  <c r="O82" i="15"/>
  <c r="Q82" i="15" s="1"/>
  <c r="M83" i="15"/>
  <c r="BI78" i="10"/>
  <c r="T81" i="15"/>
  <c r="AT138" i="10"/>
  <c r="AJ117" i="10"/>
  <c r="V126" i="15"/>
  <c r="BG117" i="10" s="1"/>
  <c r="BQ63" i="10"/>
  <c r="N365" i="15"/>
  <c r="P364" i="15"/>
  <c r="R364" i="15" s="1"/>
  <c r="BG116" i="10"/>
  <c r="AL68" i="10"/>
  <c r="V317" i="15"/>
  <c r="U198" i="15"/>
  <c r="S198" i="15"/>
  <c r="BP135" i="10"/>
  <c r="BH44" i="10"/>
  <c r="N178" i="15"/>
  <c r="P177" i="15"/>
  <c r="R177" i="15" s="1"/>
  <c r="U177" i="15" s="1"/>
  <c r="F464" i="15"/>
  <c r="H464" i="15" s="1"/>
  <c r="U318" i="15"/>
  <c r="S318" i="15"/>
  <c r="M179" i="15"/>
  <c r="O178" i="15"/>
  <c r="Q178" i="15" s="1"/>
  <c r="AX50" i="10"/>
  <c r="BI54" i="10"/>
  <c r="N389" i="15"/>
  <c r="P388" i="15"/>
  <c r="R388" i="15" s="1"/>
  <c r="M151" i="15"/>
  <c r="O150" i="15"/>
  <c r="Q150" i="15" s="1"/>
  <c r="AJ69" i="10"/>
  <c r="V80" i="15"/>
  <c r="BG69" i="10" s="1"/>
  <c r="U103" i="15"/>
  <c r="S103" i="15"/>
  <c r="AN65" i="10"/>
  <c r="AO65" i="10"/>
  <c r="AP65" i="10"/>
  <c r="AK67" i="10"/>
  <c r="V197" i="15"/>
  <c r="W49" i="5"/>
  <c r="AI48" i="5"/>
  <c r="AU48" i="5" s="1"/>
  <c r="Z48" i="5"/>
  <c r="AF48" i="5"/>
  <c r="AC48" i="5"/>
  <c r="S341" i="15"/>
  <c r="T341" i="15"/>
  <c r="AK92" i="10"/>
  <c r="V221" i="15"/>
  <c r="M343" i="15"/>
  <c r="O342" i="15"/>
  <c r="Q342" i="15" s="1"/>
  <c r="M297" i="15"/>
  <c r="O296" i="15"/>
  <c r="Q296" i="15" s="1"/>
  <c r="AL140" i="10"/>
  <c r="V386" i="15"/>
  <c r="O367" i="15"/>
  <c r="Q367" i="15" s="1"/>
  <c r="M368" i="15"/>
  <c r="N320" i="15"/>
  <c r="P319" i="15"/>
  <c r="R319" i="15" s="1"/>
  <c r="AJ140" i="10"/>
  <c r="V148" i="15"/>
  <c r="BG139" i="10"/>
  <c r="U250" i="15"/>
  <c r="S250" i="15"/>
  <c r="F436" i="15"/>
  <c r="H436" i="15" s="1"/>
  <c r="U222" i="15"/>
  <c r="S222" i="15"/>
  <c r="M322" i="15"/>
  <c r="O321" i="15"/>
  <c r="Q321" i="15" s="1"/>
  <c r="AM91" i="10"/>
  <c r="AJ102" i="10"/>
  <c r="S127" i="15"/>
  <c r="T127" i="15"/>
  <c r="BK66" i="10"/>
  <c r="BO66" i="10" s="1"/>
  <c r="AR89" i="10"/>
  <c r="AC55" i="10"/>
  <c r="N61" i="15"/>
  <c r="P60" i="15"/>
  <c r="R60" i="15" s="1"/>
  <c r="U60" i="15" s="1"/>
  <c r="AM114" i="10"/>
  <c r="BH54" i="10"/>
  <c r="BJ42" i="10"/>
  <c r="AU50" i="10"/>
  <c r="BQ135" i="10"/>
  <c r="T177" i="15"/>
  <c r="AL44" i="10"/>
  <c r="V294" i="15"/>
  <c r="BG68" i="10"/>
  <c r="BJ65" i="10"/>
  <c r="AM139" i="10"/>
  <c r="AD51" i="10"/>
  <c r="AR47" i="5"/>
  <c r="Z55" i="10"/>
  <c r="U268" i="15"/>
  <c r="S268" i="15"/>
  <c r="N252" i="15"/>
  <c r="P251" i="15"/>
  <c r="R251" i="15" s="1"/>
  <c r="BH102" i="10"/>
  <c r="T200" i="15"/>
  <c r="N224" i="15"/>
  <c r="P223" i="15"/>
  <c r="R223" i="15" s="1"/>
  <c r="BC53" i="10"/>
  <c r="M225" i="5"/>
  <c r="Q225" i="5" s="1"/>
  <c r="M235" i="5"/>
  <c r="Q235" i="5" s="1"/>
  <c r="T320" i="15"/>
  <c r="AK121" i="10"/>
  <c r="V249" i="15"/>
  <c r="M129" i="15"/>
  <c r="O128" i="15"/>
  <c r="Q128" i="15" s="1"/>
  <c r="AA51" i="10"/>
  <c r="AO47" i="5"/>
  <c r="BO63" i="10"/>
  <c r="N297" i="15"/>
  <c r="P296" i="15"/>
  <c r="R296" i="15" s="1"/>
  <c r="U296" i="15" s="1"/>
  <c r="AJ45" i="10"/>
  <c r="V57" i="15"/>
  <c r="BG45" i="10" s="1"/>
  <c r="BK89" i="10"/>
  <c r="BM89" i="10"/>
  <c r="BL89" i="10"/>
  <c r="N200" i="15"/>
  <c r="P199" i="15"/>
  <c r="R199" i="15" s="1"/>
  <c r="T366" i="15"/>
  <c r="BI102" i="10"/>
  <c r="BH139" i="10"/>
  <c r="F438" i="15"/>
  <c r="H438" i="15" s="1"/>
  <c r="AK140" i="10"/>
  <c r="V267" i="15"/>
  <c r="AK150" i="10"/>
  <c r="BO135" i="10"/>
  <c r="BG91" i="10"/>
  <c r="BJ91" i="10" s="1"/>
  <c r="S58" i="15"/>
  <c r="T58" i="15"/>
  <c r="X51" i="10"/>
  <c r="AL47" i="5"/>
  <c r="AU51" i="10" s="1"/>
  <c r="AO90" i="10"/>
  <c r="AS90" i="10" s="1"/>
  <c r="AN90" i="10"/>
  <c r="AR90" i="10" s="1"/>
  <c r="AP90" i="10"/>
  <c r="AT90" i="10" s="1"/>
  <c r="M60" i="15"/>
  <c r="O59" i="15"/>
  <c r="Q59" i="15" s="1"/>
  <c r="AS89" i="10"/>
  <c r="U387" i="15"/>
  <c r="S387" i="15"/>
  <c r="AT113" i="10"/>
  <c r="BJ43" i="10"/>
  <c r="BG54" i="10"/>
  <c r="S149" i="15"/>
  <c r="T149" i="15"/>
  <c r="AT89" i="10"/>
  <c r="AL92" i="10"/>
  <c r="V340" i="15"/>
  <c r="N270" i="15"/>
  <c r="P269" i="15"/>
  <c r="R269" i="15" s="1"/>
  <c r="P81" i="15"/>
  <c r="R81" i="15" s="1"/>
  <c r="U81" i="15" s="1"/>
  <c r="N82" i="15"/>
  <c r="N105" i="15"/>
  <c r="P104" i="15"/>
  <c r="R104" i="15" s="1"/>
  <c r="BP63" i="10"/>
  <c r="F406" i="15"/>
  <c r="H406" i="15" s="1"/>
  <c r="M202" i="15"/>
  <c r="O201" i="15"/>
  <c r="Q201" i="15" s="1"/>
  <c r="BM137" i="10"/>
  <c r="BQ137" i="10" s="1"/>
  <c r="BL137" i="10"/>
  <c r="BP137" i="10" s="1"/>
  <c r="BK137" i="10"/>
  <c r="BO137" i="10" s="1"/>
  <c r="AF55" i="10"/>
  <c r="AF56" i="10"/>
  <c r="E467" i="15"/>
  <c r="AZ53" i="10"/>
  <c r="M205" i="5"/>
  <c r="Q205" i="5" s="1"/>
  <c r="AO66" i="10"/>
  <c r="AS66" i="10" s="1"/>
  <c r="AN66" i="10"/>
  <c r="AR66" i="10" s="1"/>
  <c r="AP66" i="10"/>
  <c r="AT66" i="10" s="1"/>
  <c r="AL126" i="10" l="1"/>
  <c r="BL66" i="10"/>
  <c r="BP66" i="10" s="1"/>
  <c r="BL90" i="10"/>
  <c r="BP90" i="10" s="1"/>
  <c r="BK90" i="10"/>
  <c r="BO90" i="10" s="1"/>
  <c r="O202" i="15"/>
  <c r="Q202" i="15" s="1"/>
  <c r="M203" i="15"/>
  <c r="BP89" i="10"/>
  <c r="BK65" i="10"/>
  <c r="BL65" i="10"/>
  <c r="BM65" i="10"/>
  <c r="BM42" i="10"/>
  <c r="BQ42" i="10" s="1"/>
  <c r="BL42" i="10"/>
  <c r="BP42" i="10" s="1"/>
  <c r="BK42" i="10"/>
  <c r="BJ54" i="10"/>
  <c r="AR65" i="10"/>
  <c r="BC56" i="10"/>
  <c r="BC55" i="10"/>
  <c r="AI49" i="5"/>
  <c r="AU49" i="5" s="1"/>
  <c r="AC49" i="5"/>
  <c r="AF49" i="5"/>
  <c r="Z49" i="5"/>
  <c r="BO89" i="10"/>
  <c r="N225" i="15"/>
  <c r="P224" i="15"/>
  <c r="R224" i="15" s="1"/>
  <c r="N62" i="15"/>
  <c r="P61" i="15"/>
  <c r="R61" i="15" s="1"/>
  <c r="U61" i="15" s="1"/>
  <c r="BI140" i="10"/>
  <c r="N390" i="15"/>
  <c r="P389" i="15"/>
  <c r="R389" i="15" s="1"/>
  <c r="BQ89" i="10"/>
  <c r="BM102" i="10"/>
  <c r="BQ102" i="10" s="1"/>
  <c r="M323" i="15"/>
  <c r="O322" i="15"/>
  <c r="Q322" i="15" s="1"/>
  <c r="AJ93" i="10"/>
  <c r="V103" i="15"/>
  <c r="BH67" i="10"/>
  <c r="F435" i="15"/>
  <c r="H435" i="15" s="1"/>
  <c r="N271" i="15"/>
  <c r="P270" i="15"/>
  <c r="R270" i="15" s="1"/>
  <c r="BH140" i="10"/>
  <c r="AZ55" i="10"/>
  <c r="AZ56" i="10"/>
  <c r="AK68" i="10"/>
  <c r="V198" i="15"/>
  <c r="AL141" i="10"/>
  <c r="V387" i="15"/>
  <c r="BI141" i="10" s="1"/>
  <c r="AM140" i="10"/>
  <c r="U269" i="15"/>
  <c r="S269" i="15"/>
  <c r="U223" i="15"/>
  <c r="S223" i="15"/>
  <c r="AK93" i="10"/>
  <c r="V222" i="15"/>
  <c r="N179" i="15"/>
  <c r="P178" i="15"/>
  <c r="R178" i="15" s="1"/>
  <c r="U178" i="15" s="1"/>
  <c r="BJ44" i="10"/>
  <c r="AJ141" i="10"/>
  <c r="V149" i="15"/>
  <c r="BA51" i="10"/>
  <c r="AN114" i="10"/>
  <c r="AO114" i="10"/>
  <c r="AP114" i="10"/>
  <c r="AM126" i="10"/>
  <c r="AJ118" i="10"/>
  <c r="V127" i="15"/>
  <c r="S296" i="15"/>
  <c r="T296" i="15"/>
  <c r="AL93" i="10"/>
  <c r="V341" i="15"/>
  <c r="BI93" i="10" s="1"/>
  <c r="AK78" i="10"/>
  <c r="AM67" i="10"/>
  <c r="BK113" i="10"/>
  <c r="BM113" i="10"/>
  <c r="BL113" i="10"/>
  <c r="M298" i="15"/>
  <c r="O297" i="15"/>
  <c r="Q297" i="15" s="1"/>
  <c r="AP115" i="10"/>
  <c r="AT115" i="10" s="1"/>
  <c r="AO115" i="10"/>
  <c r="AS115" i="10" s="1"/>
  <c r="AN115" i="10"/>
  <c r="AR115" i="10" s="1"/>
  <c r="AK141" i="10"/>
  <c r="V268" i="15"/>
  <c r="P320" i="15"/>
  <c r="R320" i="15" s="1"/>
  <c r="N321" i="15"/>
  <c r="S150" i="15"/>
  <c r="T150" i="15"/>
  <c r="O179" i="15"/>
  <c r="Q179" i="15" s="1"/>
  <c r="M180" i="15"/>
  <c r="U364" i="15"/>
  <c r="S364" i="15"/>
  <c r="O83" i="15"/>
  <c r="Q83" i="15" s="1"/>
  <c r="M84" i="15"/>
  <c r="AL45" i="10"/>
  <c r="V295" i="15"/>
  <c r="BI45" i="10" s="1"/>
  <c r="AL116" i="10"/>
  <c r="V363" i="15"/>
  <c r="AT41" i="10"/>
  <c r="N83" i="15"/>
  <c r="P82" i="15"/>
  <c r="R82" i="15" s="1"/>
  <c r="U82" i="15" s="1"/>
  <c r="T321" i="15"/>
  <c r="BK91" i="10"/>
  <c r="BO91" i="10" s="1"/>
  <c r="BL91" i="10"/>
  <c r="BP91" i="10" s="1"/>
  <c r="BM91" i="10"/>
  <c r="BQ91" i="10" s="1"/>
  <c r="BH150" i="10"/>
  <c r="S81" i="15"/>
  <c r="U251" i="15"/>
  <c r="S251" i="15"/>
  <c r="BJ139" i="10"/>
  <c r="BG150" i="10"/>
  <c r="T178" i="15"/>
  <c r="AR41" i="10"/>
  <c r="AP139" i="10"/>
  <c r="AO139" i="10"/>
  <c r="AN139" i="10"/>
  <c r="AM150" i="10"/>
  <c r="S342" i="15"/>
  <c r="T342" i="15"/>
  <c r="U104" i="15"/>
  <c r="S104" i="15"/>
  <c r="BI44" i="10"/>
  <c r="S177" i="15"/>
  <c r="M369" i="15"/>
  <c r="O368" i="15"/>
  <c r="Q368" i="15" s="1"/>
  <c r="M344" i="15"/>
  <c r="O343" i="15"/>
  <c r="Q343" i="15" s="1"/>
  <c r="AD52" i="10"/>
  <c r="AR48" i="5"/>
  <c r="BA52" i="10" s="1"/>
  <c r="AT65" i="10"/>
  <c r="M152" i="15"/>
  <c r="O151" i="15"/>
  <c r="Q151" i="15" s="1"/>
  <c r="AL69" i="10"/>
  <c r="V318" i="15"/>
  <c r="BI69" i="10" s="1"/>
  <c r="N366" i="15"/>
  <c r="P365" i="15"/>
  <c r="R365" i="15" s="1"/>
  <c r="T82" i="15"/>
  <c r="BG92" i="10"/>
  <c r="AS41" i="10"/>
  <c r="M61" i="15"/>
  <c r="O60" i="15"/>
  <c r="Q60" i="15" s="1"/>
  <c r="BH121" i="10"/>
  <c r="AK122" i="10"/>
  <c r="V250" i="15"/>
  <c r="BH122" i="10" s="1"/>
  <c r="AM92" i="10"/>
  <c r="U199" i="15"/>
  <c r="S199" i="15"/>
  <c r="BI115" i="10"/>
  <c r="BI92" i="10"/>
  <c r="P200" i="15"/>
  <c r="R200" i="15" s="1"/>
  <c r="N201" i="15"/>
  <c r="AX51" i="10"/>
  <c r="P252" i="15"/>
  <c r="R252" i="15" s="1"/>
  <c r="N253" i="15"/>
  <c r="P253" i="15" s="1"/>
  <c r="R253" i="15" s="1"/>
  <c r="U319" i="15"/>
  <c r="S319" i="15"/>
  <c r="AA52" i="10"/>
  <c r="AO48" i="5"/>
  <c r="BG102" i="10"/>
  <c r="BM43" i="10"/>
  <c r="BQ43" i="10" s="1"/>
  <c r="BL43" i="10"/>
  <c r="BP43" i="10" s="1"/>
  <c r="BK43" i="10"/>
  <c r="BO43" i="10" s="1"/>
  <c r="S128" i="15"/>
  <c r="T128" i="15"/>
  <c r="T201" i="15"/>
  <c r="N106" i="15"/>
  <c r="P105" i="15"/>
  <c r="R105" i="15" s="1"/>
  <c r="S59" i="15"/>
  <c r="T59" i="15"/>
  <c r="AJ46" i="10"/>
  <c r="V58" i="15"/>
  <c r="BJ102" i="10"/>
  <c r="P297" i="15"/>
  <c r="R297" i="15" s="1"/>
  <c r="U297" i="15" s="1"/>
  <c r="N298" i="15"/>
  <c r="O129" i="15"/>
  <c r="Q129" i="15" s="1"/>
  <c r="M130" i="15"/>
  <c r="AO91" i="10"/>
  <c r="AP91" i="10"/>
  <c r="AP102" i="10" s="1"/>
  <c r="AT102" i="10" s="1"/>
  <c r="AN91" i="10"/>
  <c r="AR91" i="10" s="1"/>
  <c r="AM102" i="10"/>
  <c r="BG140" i="10"/>
  <c r="T367" i="15"/>
  <c r="BH92" i="10"/>
  <c r="X52" i="10"/>
  <c r="AL48" i="5"/>
  <c r="AU52" i="10" s="1"/>
  <c r="AS65" i="10"/>
  <c r="U388" i="15"/>
  <c r="S388" i="15"/>
  <c r="BI68" i="10"/>
  <c r="BH45" i="10"/>
  <c r="AM43" i="10"/>
  <c r="AN42" i="10"/>
  <c r="AP42" i="10"/>
  <c r="AO42" i="10"/>
  <c r="AM141" i="10" l="1"/>
  <c r="U253" i="15"/>
  <c r="S253" i="15"/>
  <c r="BK139" i="10"/>
  <c r="BL139" i="10"/>
  <c r="BM139" i="10"/>
  <c r="BJ150" i="10"/>
  <c r="AN141" i="10"/>
  <c r="AR141" i="10" s="1"/>
  <c r="AP141" i="10"/>
  <c r="AT141" i="10" s="1"/>
  <c r="AO141" i="10"/>
  <c r="AS141" i="10" s="1"/>
  <c r="AT114" i="10"/>
  <c r="AP126" i="10"/>
  <c r="AT126" i="10" s="1"/>
  <c r="BI116" i="10"/>
  <c r="AJ119" i="10"/>
  <c r="V128" i="15"/>
  <c r="BG119" i="10" s="1"/>
  <c r="M181" i="15"/>
  <c r="O180" i="15"/>
  <c r="Q180" i="15" s="1"/>
  <c r="S129" i="15"/>
  <c r="T129" i="15"/>
  <c r="X53" i="10"/>
  <c r="AL49" i="5"/>
  <c r="AU53" i="10" s="1"/>
  <c r="AL117" i="10"/>
  <c r="V364" i="15"/>
  <c r="BI117" i="10" s="1"/>
  <c r="BJ117" i="10" s="1"/>
  <c r="AK94" i="10"/>
  <c r="V223" i="15"/>
  <c r="M204" i="15"/>
  <c r="O203" i="15"/>
  <c r="Q203" i="15" s="1"/>
  <c r="AM116" i="10"/>
  <c r="BM44" i="10"/>
  <c r="BQ44" i="10" s="1"/>
  <c r="BK44" i="10"/>
  <c r="BL44" i="10"/>
  <c r="BP44" i="10" s="1"/>
  <c r="BJ92" i="10"/>
  <c r="BO113" i="10"/>
  <c r="AR114" i="10"/>
  <c r="AN126" i="10"/>
  <c r="AR126" i="10" s="1"/>
  <c r="N272" i="15"/>
  <c r="P271" i="15"/>
  <c r="R271" i="15" s="1"/>
  <c r="BJ115" i="10"/>
  <c r="BI126" i="10"/>
  <c r="AP67" i="10"/>
  <c r="AN67" i="10"/>
  <c r="AO67" i="10"/>
  <c r="AM78" i="10"/>
  <c r="AD53" i="10"/>
  <c r="AR49" i="5"/>
  <c r="BA53" i="10" s="1"/>
  <c r="BA55" i="10" s="1"/>
  <c r="H225" i="5"/>
  <c r="H235" i="5"/>
  <c r="N391" i="15"/>
  <c r="P390" i="15"/>
  <c r="R390" i="15" s="1"/>
  <c r="U252" i="15"/>
  <c r="S252" i="15"/>
  <c r="BP113" i="10"/>
  <c r="O130" i="15"/>
  <c r="Q130" i="15" s="1"/>
  <c r="M131" i="15"/>
  <c r="BH141" i="10"/>
  <c r="AS114" i="10"/>
  <c r="AO126" i="10"/>
  <c r="AS126" i="10" s="1"/>
  <c r="T202" i="15"/>
  <c r="AJ70" i="10"/>
  <c r="V81" i="15"/>
  <c r="M299" i="15"/>
  <c r="O298" i="15"/>
  <c r="Q298" i="15" s="1"/>
  <c r="O323" i="15"/>
  <c r="Q323" i="15" s="1"/>
  <c r="M324" i="15"/>
  <c r="U105" i="15"/>
  <c r="S105" i="15"/>
  <c r="P201" i="15"/>
  <c r="R201" i="15" s="1"/>
  <c r="N202" i="15"/>
  <c r="BQ54" i="10"/>
  <c r="BL54" i="10"/>
  <c r="BP54" i="10" s="1"/>
  <c r="U200" i="15"/>
  <c r="S200" i="15"/>
  <c r="S82" i="15"/>
  <c r="AJ94" i="10"/>
  <c r="V104" i="15"/>
  <c r="BG94" i="10" s="1"/>
  <c r="P83" i="15"/>
  <c r="R83" i="15" s="1"/>
  <c r="U83" i="15" s="1"/>
  <c r="N84" i="15"/>
  <c r="BG118" i="10"/>
  <c r="N180" i="15"/>
  <c r="P179" i="15"/>
  <c r="R179" i="15" s="1"/>
  <c r="U179" i="15" s="1"/>
  <c r="AM68" i="10"/>
  <c r="N63" i="15"/>
  <c r="P62" i="15"/>
  <c r="R62" i="15" s="1"/>
  <c r="U62" i="15" s="1"/>
  <c r="AA53" i="10"/>
  <c r="AO49" i="5"/>
  <c r="AX53" i="10" s="1"/>
  <c r="H205" i="5"/>
  <c r="H195" i="5"/>
  <c r="BO65" i="10"/>
  <c r="N367" i="15"/>
  <c r="P366" i="15"/>
  <c r="R366" i="15" s="1"/>
  <c r="AL142" i="10"/>
  <c r="V388" i="15"/>
  <c r="BI142" i="10" s="1"/>
  <c r="AM93" i="10"/>
  <c r="BK102" i="10"/>
  <c r="BO102" i="10" s="1"/>
  <c r="AJ47" i="10"/>
  <c r="V59" i="15"/>
  <c r="BG47" i="10" s="1"/>
  <c r="AK46" i="10"/>
  <c r="V177" i="15"/>
  <c r="S297" i="15"/>
  <c r="T297" i="15"/>
  <c r="T322" i="15"/>
  <c r="AT91" i="10"/>
  <c r="S179" i="15"/>
  <c r="T179" i="15"/>
  <c r="AK142" i="10"/>
  <c r="V269" i="15"/>
  <c r="AS91" i="10"/>
  <c r="AO102" i="10"/>
  <c r="AS102" i="10" s="1"/>
  <c r="S343" i="15"/>
  <c r="T343" i="15"/>
  <c r="N107" i="15"/>
  <c r="P106" i="15"/>
  <c r="R106" i="15" s="1"/>
  <c r="M345" i="15"/>
  <c r="O344" i="15"/>
  <c r="Q344" i="15" s="1"/>
  <c r="S178" i="15"/>
  <c r="AJ142" i="10"/>
  <c r="V150" i="15"/>
  <c r="AS42" i="10"/>
  <c r="T368" i="15"/>
  <c r="T83" i="15"/>
  <c r="BH93" i="10"/>
  <c r="BJ67" i="10"/>
  <c r="BH78" i="10"/>
  <c r="U224" i="15"/>
  <c r="S224" i="15"/>
  <c r="BO42" i="10"/>
  <c r="BK54" i="10"/>
  <c r="BO54" i="10" s="1"/>
  <c r="BL102" i="10"/>
  <c r="BP102" i="10" s="1"/>
  <c r="AR42" i="10"/>
  <c r="AL94" i="10"/>
  <c r="V342" i="15"/>
  <c r="BG93" i="10"/>
  <c r="AM44" i="10"/>
  <c r="AN43" i="10"/>
  <c r="AR43" i="10" s="1"/>
  <c r="AO43" i="10"/>
  <c r="AO54" i="10" s="1"/>
  <c r="AS54" i="10" s="1"/>
  <c r="AP43" i="10"/>
  <c r="AM54" i="10"/>
  <c r="AK123" i="10"/>
  <c r="V251" i="15"/>
  <c r="BH123" i="10" s="1"/>
  <c r="AX52" i="10"/>
  <c r="K195" i="5"/>
  <c r="O195" i="5" s="1"/>
  <c r="BQ113" i="10"/>
  <c r="S270" i="15"/>
  <c r="U270" i="15"/>
  <c r="AL70" i="10"/>
  <c r="V319" i="15"/>
  <c r="BI70" i="10" s="1"/>
  <c r="AL46" i="10"/>
  <c r="V296" i="15"/>
  <c r="BH68" i="10"/>
  <c r="BQ65" i="10"/>
  <c r="N299" i="15"/>
  <c r="P298" i="15"/>
  <c r="R298" i="15" s="1"/>
  <c r="U298" i="15" s="1"/>
  <c r="BJ45" i="10"/>
  <c r="BP65" i="10"/>
  <c r="AN92" i="10"/>
  <c r="AP92" i="10"/>
  <c r="AO92" i="10"/>
  <c r="S151" i="15"/>
  <c r="T151" i="15"/>
  <c r="AR139" i="10"/>
  <c r="AN150" i="10"/>
  <c r="AR150" i="10" s="1"/>
  <c r="M85" i="15"/>
  <c r="O84" i="15"/>
  <c r="Q84" i="15" s="1"/>
  <c r="H175" i="5"/>
  <c r="S60" i="15"/>
  <c r="T60" i="15"/>
  <c r="M153" i="15"/>
  <c r="O152" i="15"/>
  <c r="Q152" i="15" s="1"/>
  <c r="AS139" i="10"/>
  <c r="AO150" i="10"/>
  <c r="AS150" i="10" s="1"/>
  <c r="P321" i="15"/>
  <c r="R321" i="15" s="1"/>
  <c r="N322" i="15"/>
  <c r="AT42" i="10"/>
  <c r="H165" i="5"/>
  <c r="BJ140" i="10"/>
  <c r="BG46" i="10"/>
  <c r="AK69" i="10"/>
  <c r="V199" i="15"/>
  <c r="BH69" i="10" s="1"/>
  <c r="BJ69" i="10" s="1"/>
  <c r="M62" i="15"/>
  <c r="O61" i="15"/>
  <c r="Q61" i="15" s="1"/>
  <c r="U365" i="15"/>
  <c r="S365" i="15"/>
  <c r="O369" i="15"/>
  <c r="Q369" i="15" s="1"/>
  <c r="M370" i="15"/>
  <c r="AT139" i="10"/>
  <c r="AP150" i="10"/>
  <c r="AT150" i="10" s="1"/>
  <c r="U320" i="15"/>
  <c r="S320" i="15"/>
  <c r="BG141" i="10"/>
  <c r="AP140" i="10"/>
  <c r="AO140" i="10"/>
  <c r="AN140" i="10"/>
  <c r="AN102" i="10"/>
  <c r="AR102" i="10" s="1"/>
  <c r="U389" i="15"/>
  <c r="S389" i="15"/>
  <c r="N226" i="15"/>
  <c r="P225" i="15"/>
  <c r="R225" i="15" s="1"/>
  <c r="AX55" i="10" l="1"/>
  <c r="BJ93" i="10"/>
  <c r="BK93" i="10" s="1"/>
  <c r="BO93" i="10" s="1"/>
  <c r="AM142" i="10"/>
  <c r="AN54" i="10"/>
  <c r="AR54" i="10" s="1"/>
  <c r="AX56" i="10"/>
  <c r="BA56" i="10"/>
  <c r="AL47" i="10"/>
  <c r="V297" i="15"/>
  <c r="BI47" i="10" s="1"/>
  <c r="AA56" i="10"/>
  <c r="AA55" i="10"/>
  <c r="AR140" i="10"/>
  <c r="AL95" i="10"/>
  <c r="V343" i="15"/>
  <c r="BM115" i="10"/>
  <c r="BK115" i="10"/>
  <c r="BL115" i="10"/>
  <c r="BJ126" i="10"/>
  <c r="AS43" i="10"/>
  <c r="T203" i="15"/>
  <c r="AL71" i="10"/>
  <c r="V320" i="15"/>
  <c r="BI71" i="10" s="1"/>
  <c r="N368" i="15"/>
  <c r="P367" i="15"/>
  <c r="R367" i="15" s="1"/>
  <c r="S61" i="15"/>
  <c r="T61" i="15"/>
  <c r="K165" i="5"/>
  <c r="O165" i="5" s="1"/>
  <c r="M63" i="15"/>
  <c r="O62" i="15"/>
  <c r="Q62" i="15" s="1"/>
  <c r="M325" i="15"/>
  <c r="O324" i="15"/>
  <c r="Q324" i="15" s="1"/>
  <c r="AL118" i="10"/>
  <c r="AM118" i="10" s="1"/>
  <c r="V365" i="15"/>
  <c r="AK70" i="10"/>
  <c r="AM70" i="10" s="1"/>
  <c r="V200" i="15"/>
  <c r="S180" i="15"/>
  <c r="T180" i="15"/>
  <c r="BG70" i="10"/>
  <c r="M182" i="15"/>
  <c r="O181" i="15"/>
  <c r="Q181" i="15" s="1"/>
  <c r="AU55" i="10"/>
  <c r="O131" i="15"/>
  <c r="Q131" i="15" s="1"/>
  <c r="M132" i="15"/>
  <c r="BJ116" i="10"/>
  <c r="AJ48" i="10"/>
  <c r="V60" i="15"/>
  <c r="M346" i="15"/>
  <c r="O345" i="15"/>
  <c r="Q345" i="15" s="1"/>
  <c r="AJ95" i="10"/>
  <c r="V105" i="15"/>
  <c r="AD55" i="10"/>
  <c r="AD56" i="10"/>
  <c r="AS140" i="10"/>
  <c r="AN93" i="10"/>
  <c r="AO93" i="10"/>
  <c r="AS93" i="10" s="1"/>
  <c r="AP93" i="10"/>
  <c r="AJ143" i="10"/>
  <c r="V151" i="15"/>
  <c r="BG143" i="10" s="1"/>
  <c r="BH46" i="10"/>
  <c r="AO68" i="10"/>
  <c r="AP68" i="10"/>
  <c r="AN68" i="10"/>
  <c r="S130" i="15"/>
  <c r="T130" i="15"/>
  <c r="BO44" i="10"/>
  <c r="U225" i="15"/>
  <c r="S225" i="15"/>
  <c r="AS92" i="10"/>
  <c r="AM45" i="10"/>
  <c r="AP44" i="10"/>
  <c r="AN44" i="10"/>
  <c r="AO44" i="10"/>
  <c r="U106" i="15"/>
  <c r="S106" i="15"/>
  <c r="AS67" i="10"/>
  <c r="AO78" i="10"/>
  <c r="AS78" i="10" s="1"/>
  <c r="BM69" i="10"/>
  <c r="BQ69" i="10" s="1"/>
  <c r="BL69" i="10"/>
  <c r="BP69" i="10" s="1"/>
  <c r="BK69" i="10"/>
  <c r="BO69" i="10" s="1"/>
  <c r="BM67" i="10"/>
  <c r="BL67" i="10"/>
  <c r="BK67" i="10"/>
  <c r="BJ78" i="10"/>
  <c r="N108" i="15"/>
  <c r="P107" i="15"/>
  <c r="R107" i="15" s="1"/>
  <c r="AR67" i="10"/>
  <c r="AN78" i="10"/>
  <c r="AR78" i="10" s="1"/>
  <c r="U271" i="15"/>
  <c r="S271" i="15"/>
  <c r="BH94" i="10"/>
  <c r="X55" i="10"/>
  <c r="BP139" i="10"/>
  <c r="BL150" i="10"/>
  <c r="BP150" i="10" s="1"/>
  <c r="N323" i="15"/>
  <c r="P322" i="15"/>
  <c r="R322" i="15" s="1"/>
  <c r="U201" i="15"/>
  <c r="S201" i="15"/>
  <c r="AK124" i="10"/>
  <c r="V252" i="15"/>
  <c r="AM117" i="10"/>
  <c r="U321" i="15"/>
  <c r="S321" i="15"/>
  <c r="AK95" i="10"/>
  <c r="V224" i="15"/>
  <c r="AK48" i="10"/>
  <c r="V179" i="15"/>
  <c r="BH48" i="10" s="1"/>
  <c r="BL140" i="10"/>
  <c r="BK140" i="10"/>
  <c r="BM140" i="10"/>
  <c r="AT140" i="10"/>
  <c r="N85" i="15"/>
  <c r="P84" i="15"/>
  <c r="R84" i="15" s="1"/>
  <c r="U84" i="15" s="1"/>
  <c r="BL45" i="10"/>
  <c r="BP45" i="10" s="1"/>
  <c r="BM45" i="10"/>
  <c r="BQ45" i="10" s="1"/>
  <c r="BK45" i="10"/>
  <c r="BO45" i="10" s="1"/>
  <c r="BJ68" i="10"/>
  <c r="BG142" i="10"/>
  <c r="K225" i="5"/>
  <c r="O225" i="5" s="1"/>
  <c r="K175" i="5"/>
  <c r="O175" i="5" s="1"/>
  <c r="BQ139" i="10"/>
  <c r="BM150" i="10"/>
  <c r="BQ150" i="10" s="1"/>
  <c r="S152" i="15"/>
  <c r="T152" i="15"/>
  <c r="AO142" i="10"/>
  <c r="AS142" i="10" s="1"/>
  <c r="AP142" i="10"/>
  <c r="AT142" i="10" s="1"/>
  <c r="AN142" i="10"/>
  <c r="AR142" i="10" s="1"/>
  <c r="M371" i="15"/>
  <c r="O370" i="15"/>
  <c r="Q370" i="15" s="1"/>
  <c r="M154" i="15"/>
  <c r="O153" i="15"/>
  <c r="Q153" i="15" s="1"/>
  <c r="AR92" i="10"/>
  <c r="BI46" i="10"/>
  <c r="AK47" i="10"/>
  <c r="V178" i="15"/>
  <c r="BH47" i="10" s="1"/>
  <c r="BH142" i="10"/>
  <c r="P180" i="15"/>
  <c r="R180" i="15" s="1"/>
  <c r="U180" i="15" s="1"/>
  <c r="N181" i="15"/>
  <c r="AT67" i="10"/>
  <c r="AP78" i="10"/>
  <c r="AT78" i="10" s="1"/>
  <c r="N273" i="15"/>
  <c r="P272" i="15"/>
  <c r="R272" i="15" s="1"/>
  <c r="BM92" i="10"/>
  <c r="BK92" i="10"/>
  <c r="BL92" i="10"/>
  <c r="AP116" i="10"/>
  <c r="AN116" i="10"/>
  <c r="AO116" i="10"/>
  <c r="AJ120" i="10"/>
  <c r="V129" i="15"/>
  <c r="X56" i="10"/>
  <c r="BO139" i="10"/>
  <c r="BK150" i="10"/>
  <c r="BO150" i="10" s="1"/>
  <c r="AT43" i="10"/>
  <c r="AP54" i="10"/>
  <c r="AT54" i="10" s="1"/>
  <c r="N64" i="15"/>
  <c r="P63" i="15"/>
  <c r="R63" i="15" s="1"/>
  <c r="U63" i="15" s="1"/>
  <c r="U390" i="15"/>
  <c r="S390" i="15"/>
  <c r="N392" i="15"/>
  <c r="P391" i="15"/>
  <c r="R391" i="15" s="1"/>
  <c r="M205" i="15"/>
  <c r="O204" i="15"/>
  <c r="Q204" i="15" s="1"/>
  <c r="E457" i="15"/>
  <c r="T323" i="15"/>
  <c r="N227" i="15"/>
  <c r="P226" i="15"/>
  <c r="R226" i="15" s="1"/>
  <c r="S84" i="15"/>
  <c r="T84" i="15"/>
  <c r="AT92" i="10"/>
  <c r="AL143" i="10"/>
  <c r="V389" i="15"/>
  <c r="BI143" i="10" s="1"/>
  <c r="BJ141" i="10"/>
  <c r="AM69" i="10"/>
  <c r="M86" i="15"/>
  <c r="O85" i="15"/>
  <c r="Q85" i="15" s="1"/>
  <c r="AK143" i="10"/>
  <c r="V270" i="15"/>
  <c r="S83" i="15"/>
  <c r="AU56" i="10"/>
  <c r="AM94" i="10"/>
  <c r="S298" i="15"/>
  <c r="T298" i="15"/>
  <c r="T369" i="15"/>
  <c r="N300" i="15"/>
  <c r="P299" i="15"/>
  <c r="R299" i="15" s="1"/>
  <c r="U299" i="15" s="1"/>
  <c r="BI94" i="10"/>
  <c r="S344" i="15"/>
  <c r="T344" i="15"/>
  <c r="U366" i="15"/>
  <c r="S366" i="15"/>
  <c r="K235" i="5"/>
  <c r="O235" i="5" s="1"/>
  <c r="AJ71" i="10"/>
  <c r="V82" i="15"/>
  <c r="BG71" i="10" s="1"/>
  <c r="P202" i="15"/>
  <c r="R202" i="15" s="1"/>
  <c r="N203" i="15"/>
  <c r="M300" i="15"/>
  <c r="O299" i="15"/>
  <c r="Q299" i="15" s="1"/>
  <c r="BM117" i="10"/>
  <c r="BQ117" i="10" s="1"/>
  <c r="BL117" i="10"/>
  <c r="BP117" i="10" s="1"/>
  <c r="BK117" i="10"/>
  <c r="BO117" i="10" s="1"/>
  <c r="AK125" i="10"/>
  <c r="V253" i="15"/>
  <c r="BH125" i="10" s="1"/>
  <c r="E447" i="15"/>
  <c r="K205" i="5"/>
  <c r="O205" i="5" s="1"/>
  <c r="BL93" i="10" l="1"/>
  <c r="BP93" i="10" s="1"/>
  <c r="BM93" i="10"/>
  <c r="BQ93" i="10" s="1"/>
  <c r="BJ47" i="10"/>
  <c r="BL47" i="10" s="1"/>
  <c r="BP47" i="10" s="1"/>
  <c r="BJ46" i="10"/>
  <c r="BJ94" i="10"/>
  <c r="BL94" i="10"/>
  <c r="BP94" i="10" s="1"/>
  <c r="BM94" i="10"/>
  <c r="BQ94" i="10" s="1"/>
  <c r="BK94" i="10"/>
  <c r="BO94" i="10" s="1"/>
  <c r="AM95" i="10"/>
  <c r="AT44" i="10"/>
  <c r="AO69" i="10"/>
  <c r="AP69" i="10"/>
  <c r="AT69" i="10" s="1"/>
  <c r="AN69" i="10"/>
  <c r="S345" i="15"/>
  <c r="T345" i="15"/>
  <c r="O132" i="15"/>
  <c r="Q132" i="15" s="1"/>
  <c r="M133" i="15"/>
  <c r="U367" i="15"/>
  <c r="S367" i="15"/>
  <c r="AK127" i="10"/>
  <c r="AK128" i="10"/>
  <c r="AR68" i="10"/>
  <c r="M372" i="15"/>
  <c r="O372" i="15" s="1"/>
  <c r="Q372" i="15" s="1"/>
  <c r="O371" i="15"/>
  <c r="Q371" i="15" s="1"/>
  <c r="U322" i="15"/>
  <c r="S322" i="15"/>
  <c r="BP92" i="10"/>
  <c r="N324" i="15"/>
  <c r="P323" i="15"/>
  <c r="R323" i="15" s="1"/>
  <c r="AM46" i="10"/>
  <c r="AN45" i="10"/>
  <c r="AR45" i="10" s="1"/>
  <c r="AP45" i="10"/>
  <c r="AO45" i="10"/>
  <c r="AS45" i="10" s="1"/>
  <c r="O325" i="15"/>
  <c r="Q325" i="15" s="1"/>
  <c r="M326" i="15"/>
  <c r="O326" i="15" s="1"/>
  <c r="Q326" i="15" s="1"/>
  <c r="N182" i="15"/>
  <c r="P181" i="15"/>
  <c r="R181" i="15" s="1"/>
  <c r="U181" i="15" s="1"/>
  <c r="M347" i="15"/>
  <c r="O346" i="15"/>
  <c r="Q346" i="15" s="1"/>
  <c r="N369" i="15"/>
  <c r="P368" i="15"/>
  <c r="R368" i="15" s="1"/>
  <c r="AN70" i="10"/>
  <c r="AR70" i="10" s="1"/>
  <c r="AP70" i="10"/>
  <c r="AT70" i="10" s="1"/>
  <c r="AO70" i="10"/>
  <c r="AS70" i="10" s="1"/>
  <c r="S181" i="15"/>
  <c r="T181" i="15"/>
  <c r="BM47" i="10"/>
  <c r="BQ47" i="10" s="1"/>
  <c r="BK47" i="10"/>
  <c r="BO47" i="10" s="1"/>
  <c r="BP67" i="10"/>
  <c r="BL78" i="10"/>
  <c r="BP78" i="10" s="1"/>
  <c r="AM143" i="10"/>
  <c r="O205" i="15"/>
  <c r="Q205" i="15" s="1"/>
  <c r="M206" i="15"/>
  <c r="S153" i="15"/>
  <c r="T153" i="15"/>
  <c r="AK71" i="10"/>
  <c r="AM71" i="10" s="1"/>
  <c r="V201" i="15"/>
  <c r="BH71" i="10" s="1"/>
  <c r="BJ71" i="10" s="1"/>
  <c r="BQ67" i="10"/>
  <c r="BM78" i="10"/>
  <c r="BQ78" i="10" s="1"/>
  <c r="AT68" i="10"/>
  <c r="BI118" i="10"/>
  <c r="BQ115" i="10"/>
  <c r="BM126" i="10"/>
  <c r="BQ126" i="10" s="1"/>
  <c r="N109" i="15"/>
  <c r="P108" i="15"/>
  <c r="R108" i="15" s="1"/>
  <c r="BP140" i="10"/>
  <c r="S131" i="15"/>
  <c r="T131" i="15"/>
  <c r="BL46" i="10"/>
  <c r="BP46" i="10" s="1"/>
  <c r="BK46" i="10"/>
  <c r="BM46" i="10"/>
  <c r="BQ46" i="10" s="1"/>
  <c r="BO92" i="10"/>
  <c r="AP117" i="10"/>
  <c r="AT117" i="10" s="1"/>
  <c r="AN117" i="10"/>
  <c r="AR117" i="10" s="1"/>
  <c r="AO117" i="10"/>
  <c r="AS117" i="10" s="1"/>
  <c r="BK141" i="10"/>
  <c r="BO141" i="10" s="1"/>
  <c r="BL141" i="10"/>
  <c r="BP141" i="10" s="1"/>
  <c r="BM141" i="10"/>
  <c r="AL144" i="10"/>
  <c r="V390" i="15"/>
  <c r="BQ92" i="10"/>
  <c r="BH124" i="10"/>
  <c r="F447" i="15"/>
  <c r="H447" i="15" s="1"/>
  <c r="F457" i="15"/>
  <c r="H457" i="15" s="1"/>
  <c r="BO67" i="10"/>
  <c r="BK78" i="10"/>
  <c r="BO78" i="10" s="1"/>
  <c r="AJ121" i="10"/>
  <c r="V130" i="15"/>
  <c r="BG121" i="10" s="1"/>
  <c r="BH70" i="10"/>
  <c r="BJ70" i="10" s="1"/>
  <c r="M301" i="15"/>
  <c r="O300" i="15"/>
  <c r="Q300" i="15" s="1"/>
  <c r="AN94" i="10"/>
  <c r="AR94" i="10" s="1"/>
  <c r="AO94" i="10"/>
  <c r="AS94" i="10" s="1"/>
  <c r="AP94" i="10"/>
  <c r="AS116" i="10"/>
  <c r="AJ96" i="10"/>
  <c r="V106" i="15"/>
  <c r="BG96" i="10" s="1"/>
  <c r="M183" i="15"/>
  <c r="O182" i="15"/>
  <c r="Q182" i="15" s="1"/>
  <c r="N301" i="15"/>
  <c r="P300" i="15"/>
  <c r="R300" i="15" s="1"/>
  <c r="U300" i="15" s="1"/>
  <c r="U272" i="15"/>
  <c r="S272" i="15"/>
  <c r="AJ144" i="10"/>
  <c r="V152" i="15"/>
  <c r="BG144" i="10" s="1"/>
  <c r="P85" i="15"/>
  <c r="R85" i="15" s="1"/>
  <c r="U85" i="15" s="1"/>
  <c r="N86" i="15"/>
  <c r="BH95" i="10"/>
  <c r="U202" i="15"/>
  <c r="S202" i="15"/>
  <c r="T85" i="15"/>
  <c r="U391" i="15"/>
  <c r="S391" i="15"/>
  <c r="N65" i="15"/>
  <c r="P65" i="15" s="1"/>
  <c r="R65" i="15" s="1"/>
  <c r="U65" i="15" s="1"/>
  <c r="P64" i="15"/>
  <c r="R64" i="15" s="1"/>
  <c r="U64" i="15" s="1"/>
  <c r="AT116" i="10"/>
  <c r="N274" i="15"/>
  <c r="P273" i="15"/>
  <c r="R273" i="15" s="1"/>
  <c r="M155" i="15"/>
  <c r="O154" i="15"/>
  <c r="Q154" i="15" s="1"/>
  <c r="BJ142" i="10"/>
  <c r="AS44" i="10"/>
  <c r="AK96" i="10"/>
  <c r="V225" i="15"/>
  <c r="BH96" i="10" s="1"/>
  <c r="AS68" i="10"/>
  <c r="BL116" i="10"/>
  <c r="BM116" i="10"/>
  <c r="BK116" i="10"/>
  <c r="AO118" i="10"/>
  <c r="AS118" i="10" s="1"/>
  <c r="AN118" i="10"/>
  <c r="AR118" i="10" s="1"/>
  <c r="AP118" i="10"/>
  <c r="AT118" i="10" s="1"/>
  <c r="BI95" i="10"/>
  <c r="BG120" i="10"/>
  <c r="BO140" i="10"/>
  <c r="AK144" i="10"/>
  <c r="V271" i="15"/>
  <c r="BH144" i="10" s="1"/>
  <c r="T324" i="15"/>
  <c r="AJ73" i="10"/>
  <c r="V84" i="15"/>
  <c r="BG73" i="10" s="1"/>
  <c r="AR93" i="10"/>
  <c r="AK49" i="10"/>
  <c r="V180" i="15"/>
  <c r="AL119" i="10"/>
  <c r="V366" i="15"/>
  <c r="BI119" i="10" s="1"/>
  <c r="BJ119" i="10" s="1"/>
  <c r="U226" i="15"/>
  <c r="S226" i="15"/>
  <c r="S62" i="15"/>
  <c r="T62" i="15"/>
  <c r="S299" i="15"/>
  <c r="T299" i="15"/>
  <c r="AL48" i="10"/>
  <c r="V298" i="15"/>
  <c r="N228" i="15"/>
  <c r="P227" i="15"/>
  <c r="R227" i="15" s="1"/>
  <c r="M64" i="15"/>
  <c r="O63" i="15"/>
  <c r="Q63" i="15" s="1"/>
  <c r="BP115" i="10"/>
  <c r="BL126" i="10"/>
  <c r="BP126" i="10" s="1"/>
  <c r="BH143" i="10"/>
  <c r="BJ143" i="10" s="1"/>
  <c r="T204" i="15"/>
  <c r="BG48" i="10"/>
  <c r="BO115" i="10"/>
  <c r="BK126" i="10"/>
  <c r="BO126" i="10" s="1"/>
  <c r="N204" i="15"/>
  <c r="P203" i="15"/>
  <c r="R203" i="15" s="1"/>
  <c r="AR116" i="10"/>
  <c r="AL96" i="10"/>
  <c r="V344" i="15"/>
  <c r="AJ72" i="10"/>
  <c r="V83" i="15"/>
  <c r="BG72" i="10" s="1"/>
  <c r="O86" i="15"/>
  <c r="Q86" i="15" s="1"/>
  <c r="M87" i="15"/>
  <c r="N393" i="15"/>
  <c r="P392" i="15"/>
  <c r="R392" i="15" s="1"/>
  <c r="T370" i="15"/>
  <c r="BM68" i="10"/>
  <c r="BL68" i="10"/>
  <c r="BK68" i="10"/>
  <c r="BQ140" i="10"/>
  <c r="AL72" i="10"/>
  <c r="V321" i="15"/>
  <c r="U107" i="15"/>
  <c r="S107" i="15"/>
  <c r="AR44" i="10"/>
  <c r="AT93" i="10"/>
  <c r="BG95" i="10"/>
  <c r="AJ49" i="10"/>
  <c r="V61" i="15"/>
  <c r="BG49" i="10" s="1"/>
  <c r="BO116" i="10" l="1"/>
  <c r="AK72" i="10"/>
  <c r="V202" i="15"/>
  <c r="BI144" i="10"/>
  <c r="N325" i="15"/>
  <c r="P324" i="15"/>
  <c r="R324" i="15" s="1"/>
  <c r="O133" i="15"/>
  <c r="Q133" i="15" s="1"/>
  <c r="M134" i="15"/>
  <c r="O134" i="15" s="1"/>
  <c r="Q134" i="15" s="1"/>
  <c r="U203" i="15"/>
  <c r="S203" i="15"/>
  <c r="S154" i="15"/>
  <c r="T154" i="15"/>
  <c r="S132" i="15"/>
  <c r="T132" i="15"/>
  <c r="BJ48" i="10"/>
  <c r="AK97" i="10"/>
  <c r="V226" i="15"/>
  <c r="BH97" i="10" s="1"/>
  <c r="BO46" i="10"/>
  <c r="BI96" i="10"/>
  <c r="BL119" i="10"/>
  <c r="BP119" i="10" s="1"/>
  <c r="BK119" i="10"/>
  <c r="BO119" i="10" s="1"/>
  <c r="BM119" i="10"/>
  <c r="BQ119" i="10" s="1"/>
  <c r="M156" i="15"/>
  <c r="O155" i="15"/>
  <c r="Q155" i="15" s="1"/>
  <c r="U368" i="15"/>
  <c r="S368" i="15"/>
  <c r="AJ122" i="10"/>
  <c r="V131" i="15"/>
  <c r="BG122" i="10" s="1"/>
  <c r="BP68" i="10"/>
  <c r="BL71" i="10"/>
  <c r="BP71" i="10" s="1"/>
  <c r="BK71" i="10"/>
  <c r="BO71" i="10" s="1"/>
  <c r="BM71" i="10"/>
  <c r="BQ71" i="10" s="1"/>
  <c r="BK143" i="10"/>
  <c r="BO143" i="10" s="1"/>
  <c r="BM143" i="10"/>
  <c r="BQ143" i="10" s="1"/>
  <c r="BL143" i="10"/>
  <c r="BP143" i="10" s="1"/>
  <c r="N275" i="15"/>
  <c r="P274" i="15"/>
  <c r="R274" i="15" s="1"/>
  <c r="N87" i="15"/>
  <c r="P86" i="15"/>
  <c r="R86" i="15" s="1"/>
  <c r="U86" i="15" s="1"/>
  <c r="S346" i="15"/>
  <c r="T346" i="15"/>
  <c r="AL73" i="10"/>
  <c r="AL79" i="10" s="1"/>
  <c r="V322" i="15"/>
  <c r="BI73" i="10" s="1"/>
  <c r="BM142" i="10"/>
  <c r="BL142" i="10"/>
  <c r="BP142" i="10" s="1"/>
  <c r="BK142" i="10"/>
  <c r="BO142" i="10" s="1"/>
  <c r="AK145" i="10"/>
  <c r="V272" i="15"/>
  <c r="AN71" i="10"/>
  <c r="AR71" i="10" s="1"/>
  <c r="AP71" i="10"/>
  <c r="AO71" i="10"/>
  <c r="BQ116" i="10"/>
  <c r="S63" i="15"/>
  <c r="T63" i="15"/>
  <c r="BP116" i="10"/>
  <c r="T325" i="15"/>
  <c r="U392" i="15"/>
  <c r="S392" i="15"/>
  <c r="U273" i="15"/>
  <c r="S273" i="15"/>
  <c r="N370" i="15"/>
  <c r="P369" i="15"/>
  <c r="R369" i="15" s="1"/>
  <c r="BH49" i="10"/>
  <c r="T182" i="15"/>
  <c r="AT45" i="10"/>
  <c r="O87" i="15"/>
  <c r="Q87" i="15" s="1"/>
  <c r="M88" i="15"/>
  <c r="O88" i="15" s="1"/>
  <c r="Q88" i="15" s="1"/>
  <c r="M184" i="15"/>
  <c r="O184" i="15" s="1"/>
  <c r="Q184" i="15" s="1"/>
  <c r="O183" i="15"/>
  <c r="Q183" i="15" s="1"/>
  <c r="BJ118" i="10"/>
  <c r="AN143" i="10"/>
  <c r="AO143" i="10"/>
  <c r="AP143" i="10"/>
  <c r="M348" i="15"/>
  <c r="O347" i="15"/>
  <c r="Q347" i="15" s="1"/>
  <c r="AR69" i="10"/>
  <c r="BK70" i="10"/>
  <c r="BO70" i="10" s="1"/>
  <c r="BM70" i="10"/>
  <c r="BL70" i="10"/>
  <c r="BP70" i="10" s="1"/>
  <c r="T326" i="15"/>
  <c r="AJ97" i="10"/>
  <c r="V107" i="15"/>
  <c r="P204" i="15"/>
  <c r="R204" i="15" s="1"/>
  <c r="N205" i="15"/>
  <c r="AL49" i="10"/>
  <c r="V299" i="15"/>
  <c r="BI49" i="10" s="1"/>
  <c r="BQ141" i="10"/>
  <c r="O206" i="15"/>
  <c r="Q206" i="15" s="1"/>
  <c r="M207" i="15"/>
  <c r="O207" i="15" s="1"/>
  <c r="Q207" i="15" s="1"/>
  <c r="AM119" i="10"/>
  <c r="AT94" i="10"/>
  <c r="T205" i="15"/>
  <c r="AL97" i="10"/>
  <c r="V345" i="15"/>
  <c r="BI97" i="10" s="1"/>
  <c r="AJ50" i="10"/>
  <c r="V62" i="15"/>
  <c r="BG50" i="10" s="1"/>
  <c r="U227" i="15"/>
  <c r="S227" i="15"/>
  <c r="S85" i="15"/>
  <c r="BJ96" i="10"/>
  <c r="U108" i="15"/>
  <c r="S108" i="15"/>
  <c r="AK50" i="10"/>
  <c r="V181" i="15"/>
  <c r="BH50" i="10" s="1"/>
  <c r="AM47" i="10"/>
  <c r="AN46" i="10"/>
  <c r="AO46" i="10"/>
  <c r="AP46" i="10"/>
  <c r="T371" i="15"/>
  <c r="AL120" i="10"/>
  <c r="AM120" i="10" s="1"/>
  <c r="V367" i="15"/>
  <c r="BI120" i="10" s="1"/>
  <c r="BJ120" i="10" s="1"/>
  <c r="AJ145" i="10"/>
  <c r="V153" i="15"/>
  <c r="BG145" i="10" s="1"/>
  <c r="AL145" i="10"/>
  <c r="V391" i="15"/>
  <c r="BI145" i="10" s="1"/>
  <c r="BJ95" i="10"/>
  <c r="BO68" i="10"/>
  <c r="M65" i="15"/>
  <c r="O65" i="15" s="1"/>
  <c r="Q65" i="15" s="1"/>
  <c r="O64" i="15"/>
  <c r="Q64" i="15" s="1"/>
  <c r="P301" i="15"/>
  <c r="R301" i="15" s="1"/>
  <c r="U301" i="15" s="1"/>
  <c r="N302" i="15"/>
  <c r="BH128" i="10"/>
  <c r="BH127" i="10"/>
  <c r="AO95" i="10"/>
  <c r="AN95" i="10"/>
  <c r="AP95" i="10"/>
  <c r="AT95" i="10" s="1"/>
  <c r="N394" i="15"/>
  <c r="P393" i="15"/>
  <c r="R393" i="15" s="1"/>
  <c r="BQ68" i="10"/>
  <c r="S86" i="15"/>
  <c r="T86" i="15"/>
  <c r="N229" i="15"/>
  <c r="P228" i="15"/>
  <c r="R228" i="15" s="1"/>
  <c r="BJ144" i="10"/>
  <c r="S300" i="15"/>
  <c r="T300" i="15"/>
  <c r="BG79" i="10"/>
  <c r="BI72" i="10"/>
  <c r="BI48" i="10"/>
  <c r="AJ79" i="10"/>
  <c r="AM144" i="10"/>
  <c r="AM96" i="10"/>
  <c r="O301" i="15"/>
  <c r="Q301" i="15" s="1"/>
  <c r="M302" i="15"/>
  <c r="N110" i="15"/>
  <c r="P109" i="15"/>
  <c r="R109" i="15" s="1"/>
  <c r="P182" i="15"/>
  <c r="R182" i="15" s="1"/>
  <c r="U182" i="15" s="1"/>
  <c r="N183" i="15"/>
  <c r="U323" i="15"/>
  <c r="S323" i="15"/>
  <c r="T372" i="15"/>
  <c r="AS69" i="10"/>
  <c r="BI79" i="10" l="1"/>
  <c r="T184" i="15"/>
  <c r="AO119" i="10"/>
  <c r="AN119" i="10"/>
  <c r="AP119" i="10"/>
  <c r="S134" i="15"/>
  <c r="T134" i="15"/>
  <c r="S64" i="15"/>
  <c r="T64" i="15"/>
  <c r="AT143" i="10"/>
  <c r="S274" i="15"/>
  <c r="U274" i="15"/>
  <c r="AJ123" i="10"/>
  <c r="V132" i="15"/>
  <c r="BG123" i="10" s="1"/>
  <c r="U109" i="15"/>
  <c r="S109" i="15"/>
  <c r="N230" i="15"/>
  <c r="P230" i="15" s="1"/>
  <c r="R230" i="15" s="1"/>
  <c r="P229" i="15"/>
  <c r="R229" i="15" s="1"/>
  <c r="U204" i="15"/>
  <c r="S204" i="15"/>
  <c r="AS143" i="10"/>
  <c r="AP144" i="10"/>
  <c r="AT144" i="10" s="1"/>
  <c r="AN144" i="10"/>
  <c r="AR144" i="10" s="1"/>
  <c r="AO144" i="10"/>
  <c r="AS144" i="10" s="1"/>
  <c r="BL144" i="10"/>
  <c r="BP144" i="10" s="1"/>
  <c r="BM144" i="10"/>
  <c r="BQ144" i="10" s="1"/>
  <c r="BK144" i="10"/>
  <c r="AJ51" i="10"/>
  <c r="V63" i="15"/>
  <c r="S155" i="15"/>
  <c r="T155" i="15"/>
  <c r="AK79" i="10"/>
  <c r="M157" i="15"/>
  <c r="O157" i="15" s="1"/>
  <c r="Q157" i="15" s="1"/>
  <c r="O156" i="15"/>
  <c r="Q156" i="15" s="1"/>
  <c r="AJ98" i="10"/>
  <c r="V108" i="15"/>
  <c r="BG98" i="10" s="1"/>
  <c r="T88" i="15"/>
  <c r="T207" i="15"/>
  <c r="T87" i="15"/>
  <c r="AL74" i="10"/>
  <c r="V323" i="15"/>
  <c r="AS46" i="10"/>
  <c r="AK98" i="10"/>
  <c r="V227" i="15"/>
  <c r="BH98" i="10" s="1"/>
  <c r="AM97" i="10"/>
  <c r="U369" i="15"/>
  <c r="S369" i="15"/>
  <c r="AM72" i="10"/>
  <c r="AR46" i="10"/>
  <c r="N371" i="15"/>
  <c r="P370" i="15"/>
  <c r="R370" i="15" s="1"/>
  <c r="AS71" i="10"/>
  <c r="AJ146" i="10"/>
  <c r="V154" i="15"/>
  <c r="AO120" i="10"/>
  <c r="AS120" i="10" s="1"/>
  <c r="AN120" i="10"/>
  <c r="AR120" i="10" s="1"/>
  <c r="AP120" i="10"/>
  <c r="AT120" i="10" s="1"/>
  <c r="S183" i="15"/>
  <c r="T183" i="15"/>
  <c r="N88" i="15"/>
  <c r="P88" i="15" s="1"/>
  <c r="R88" i="15" s="1"/>
  <c r="U88" i="15" s="1"/>
  <c r="P87" i="15"/>
  <c r="R87" i="15" s="1"/>
  <c r="U87" i="15" s="1"/>
  <c r="U228" i="15"/>
  <c r="S228" i="15"/>
  <c r="S133" i="15"/>
  <c r="T133" i="15"/>
  <c r="S65" i="15"/>
  <c r="T65" i="15"/>
  <c r="U324" i="15"/>
  <c r="S324" i="15"/>
  <c r="AS95" i="10"/>
  <c r="BG97" i="10"/>
  <c r="AR143" i="10"/>
  <c r="BJ49" i="10"/>
  <c r="T206" i="15"/>
  <c r="O302" i="15"/>
  <c r="Q302" i="15" s="1"/>
  <c r="M303" i="15"/>
  <c r="O303" i="15" s="1"/>
  <c r="Q303" i="15" s="1"/>
  <c r="AM145" i="10"/>
  <c r="AJ74" i="10"/>
  <c r="V85" i="15"/>
  <c r="BK118" i="10"/>
  <c r="BM118" i="10"/>
  <c r="BL118" i="10"/>
  <c r="N184" i="15"/>
  <c r="P184" i="15" s="1"/>
  <c r="R184" i="15" s="1"/>
  <c r="U184" i="15" s="1"/>
  <c r="P183" i="15"/>
  <c r="R183" i="15" s="1"/>
  <c r="U183" i="15" s="1"/>
  <c r="BK95" i="10"/>
  <c r="BM95" i="10"/>
  <c r="BL95" i="10"/>
  <c r="AT71" i="10"/>
  <c r="BL48" i="10"/>
  <c r="BP48" i="10" s="1"/>
  <c r="BM48" i="10"/>
  <c r="BQ48" i="10" s="1"/>
  <c r="BK48" i="10"/>
  <c r="AK73" i="10"/>
  <c r="AM73" i="10" s="1"/>
  <c r="V203" i="15"/>
  <c r="BH73" i="10" s="1"/>
  <c r="BJ73" i="10" s="1"/>
  <c r="N395" i="15"/>
  <c r="P395" i="15" s="1"/>
  <c r="R395" i="15" s="1"/>
  <c r="P394" i="15"/>
  <c r="R394" i="15" s="1"/>
  <c r="BH145" i="10"/>
  <c r="BJ145" i="10" s="1"/>
  <c r="N206" i="15"/>
  <c r="P205" i="15"/>
  <c r="R205" i="15" s="1"/>
  <c r="AL146" i="10"/>
  <c r="V392" i="15"/>
  <c r="BI146" i="10" s="1"/>
  <c r="BM120" i="10"/>
  <c r="BQ120" i="10" s="1"/>
  <c r="BK120" i="10"/>
  <c r="BO120" i="10" s="1"/>
  <c r="BL120" i="10"/>
  <c r="BP120" i="10" s="1"/>
  <c r="AR95" i="10"/>
  <c r="BQ70" i="10"/>
  <c r="N276" i="15"/>
  <c r="P276" i="15" s="1"/>
  <c r="R276" i="15" s="1"/>
  <c r="P275" i="15"/>
  <c r="R275" i="15" s="1"/>
  <c r="N111" i="15"/>
  <c r="P111" i="15" s="1"/>
  <c r="R111" i="15" s="1"/>
  <c r="P110" i="15"/>
  <c r="R110" i="15" s="1"/>
  <c r="AT46" i="10"/>
  <c r="P325" i="15"/>
  <c r="R325" i="15" s="1"/>
  <c r="N326" i="15"/>
  <c r="P326" i="15" s="1"/>
  <c r="R326" i="15" s="1"/>
  <c r="AJ75" i="10"/>
  <c r="V86" i="15"/>
  <c r="BG75" i="10" s="1"/>
  <c r="BM96" i="10"/>
  <c r="BQ96" i="10" s="1"/>
  <c r="BL96" i="10"/>
  <c r="BP96" i="10" s="1"/>
  <c r="BK96" i="10"/>
  <c r="BO96" i="10" s="1"/>
  <c r="S301" i="15"/>
  <c r="T301" i="15"/>
  <c r="AM48" i="10"/>
  <c r="AO47" i="10"/>
  <c r="AS47" i="10" s="1"/>
  <c r="AP47" i="10"/>
  <c r="AT47" i="10" s="1"/>
  <c r="AN47" i="10"/>
  <c r="AR47" i="10" s="1"/>
  <c r="S347" i="15"/>
  <c r="T347" i="15"/>
  <c r="AK146" i="10"/>
  <c r="V273" i="15"/>
  <c r="BH146" i="10" s="1"/>
  <c r="BQ142" i="10"/>
  <c r="AL98" i="10"/>
  <c r="V346" i="15"/>
  <c r="BI98" i="10" s="1"/>
  <c r="AL121" i="10"/>
  <c r="AM121" i="10" s="1"/>
  <c r="V368" i="15"/>
  <c r="AO96" i="10"/>
  <c r="AS96" i="10" s="1"/>
  <c r="AN96" i="10"/>
  <c r="AR96" i="10" s="1"/>
  <c r="AP96" i="10"/>
  <c r="AT96" i="10" s="1"/>
  <c r="AL50" i="10"/>
  <c r="V300" i="15"/>
  <c r="U393" i="15"/>
  <c r="S393" i="15"/>
  <c r="N303" i="15"/>
  <c r="P303" i="15" s="1"/>
  <c r="R303" i="15" s="1"/>
  <c r="U303" i="15" s="1"/>
  <c r="P302" i="15"/>
  <c r="R302" i="15" s="1"/>
  <c r="U302" i="15" s="1"/>
  <c r="M349" i="15"/>
  <c r="O349" i="15" s="1"/>
  <c r="Q349" i="15" s="1"/>
  <c r="O348" i="15"/>
  <c r="Q348" i="15" s="1"/>
  <c r="S182" i="15"/>
  <c r="BH72" i="10"/>
  <c r="AM98" i="10" l="1"/>
  <c r="BJ98" i="10"/>
  <c r="BM145" i="10"/>
  <c r="BL145" i="10"/>
  <c r="BK145" i="10"/>
  <c r="BO145" i="10" s="1"/>
  <c r="AP145" i="10"/>
  <c r="AT145" i="10" s="1"/>
  <c r="AO145" i="10"/>
  <c r="AS145" i="10" s="1"/>
  <c r="AN145" i="10"/>
  <c r="AR145" i="10" s="1"/>
  <c r="BP95" i="10"/>
  <c r="BM49" i="10"/>
  <c r="BQ49" i="10" s="1"/>
  <c r="BL49" i="10"/>
  <c r="BP49" i="10" s="1"/>
  <c r="BK49" i="10"/>
  <c r="BO49" i="10" s="1"/>
  <c r="AL147" i="10"/>
  <c r="V393" i="15"/>
  <c r="BI147" i="10" s="1"/>
  <c r="U110" i="15"/>
  <c r="S110" i="15"/>
  <c r="BQ95" i="10"/>
  <c r="AL122" i="10"/>
  <c r="AM122" i="10" s="1"/>
  <c r="V369" i="15"/>
  <c r="BI122" i="10" s="1"/>
  <c r="BJ122" i="10" s="1"/>
  <c r="BL98" i="10"/>
  <c r="BP98" i="10" s="1"/>
  <c r="BM98" i="10"/>
  <c r="BQ98" i="10" s="1"/>
  <c r="BK98" i="10"/>
  <c r="BO98" i="10" s="1"/>
  <c r="N207" i="15"/>
  <c r="P207" i="15" s="1"/>
  <c r="R207" i="15" s="1"/>
  <c r="P206" i="15"/>
  <c r="R206" i="15" s="1"/>
  <c r="BQ118" i="10"/>
  <c r="AJ147" i="10"/>
  <c r="V155" i="15"/>
  <c r="BG147" i="10" s="1"/>
  <c r="U111" i="15"/>
  <c r="S111" i="15"/>
  <c r="BI74" i="10"/>
  <c r="AM49" i="10"/>
  <c r="AO48" i="10"/>
  <c r="AP48" i="10"/>
  <c r="AN48" i="10"/>
  <c r="AR48" i="10" s="1"/>
  <c r="U205" i="15"/>
  <c r="S205" i="15"/>
  <c r="BP118" i="10"/>
  <c r="AL75" i="10"/>
  <c r="V324" i="15"/>
  <c r="BI75" i="10" s="1"/>
  <c r="BJ72" i="10"/>
  <c r="BH79" i="10"/>
  <c r="AK147" i="10"/>
  <c r="V274" i="15"/>
  <c r="BH147" i="10" s="1"/>
  <c r="E448" i="15"/>
  <c r="BI121" i="10"/>
  <c r="AL51" i="10"/>
  <c r="V301" i="15"/>
  <c r="BI51" i="10" s="1"/>
  <c r="AR119" i="10"/>
  <c r="BO95" i="10"/>
  <c r="AJ53" i="10"/>
  <c r="V65" i="15"/>
  <c r="E424" i="15"/>
  <c r="E414" i="15"/>
  <c r="BG51" i="10"/>
  <c r="F414" i="15"/>
  <c r="H414" i="15" s="1"/>
  <c r="AS119" i="10"/>
  <c r="BI50" i="10"/>
  <c r="BJ50" i="10" s="1"/>
  <c r="U370" i="15"/>
  <c r="S370" i="15"/>
  <c r="BG74" i="10"/>
  <c r="BJ97" i="10"/>
  <c r="AJ124" i="10"/>
  <c r="V133" i="15"/>
  <c r="BG124" i="10" s="1"/>
  <c r="N372" i="15"/>
  <c r="P372" i="15" s="1"/>
  <c r="R372" i="15" s="1"/>
  <c r="P371" i="15"/>
  <c r="R371" i="15" s="1"/>
  <c r="AN97" i="10"/>
  <c r="AR97" i="10" s="1"/>
  <c r="AP97" i="10"/>
  <c r="AO97" i="10"/>
  <c r="AS97" i="10" s="1"/>
  <c r="S156" i="15"/>
  <c r="T156" i="15"/>
  <c r="BO144" i="10"/>
  <c r="E417" i="15"/>
  <c r="AJ52" i="10"/>
  <c r="V64" i="15"/>
  <c r="BG52" i="10" s="1"/>
  <c r="S184" i="15"/>
  <c r="BG146" i="10"/>
  <c r="AO73" i="10"/>
  <c r="AS73" i="10" s="1"/>
  <c r="AP73" i="10"/>
  <c r="AT73" i="10" s="1"/>
  <c r="AN73" i="10"/>
  <c r="AR73" i="10" s="1"/>
  <c r="AN72" i="10"/>
  <c r="AP72" i="10"/>
  <c r="AO72" i="10"/>
  <c r="AM79" i="10"/>
  <c r="U229" i="15"/>
  <c r="S229" i="15"/>
  <c r="AK51" i="10"/>
  <c r="V182" i="15"/>
  <c r="S302" i="15"/>
  <c r="T302" i="15"/>
  <c r="U230" i="15"/>
  <c r="S230" i="15"/>
  <c r="AO121" i="10"/>
  <c r="AS121" i="10" s="1"/>
  <c r="AN121" i="10"/>
  <c r="AR121" i="10" s="1"/>
  <c r="AP121" i="10"/>
  <c r="AT121" i="10" s="1"/>
  <c r="AK52" i="10"/>
  <c r="V183" i="15"/>
  <c r="BH52" i="10" s="1"/>
  <c r="AJ99" i="10"/>
  <c r="V109" i="15"/>
  <c r="BG99" i="10" s="1"/>
  <c r="S348" i="15"/>
  <c r="T348" i="15"/>
  <c r="AP98" i="10"/>
  <c r="AT98" i="10" s="1"/>
  <c r="AO98" i="10"/>
  <c r="AS98" i="10" s="1"/>
  <c r="AN98" i="10"/>
  <c r="AR98" i="10" s="1"/>
  <c r="U326" i="15"/>
  <c r="S326" i="15"/>
  <c r="U394" i="15"/>
  <c r="S394" i="15"/>
  <c r="U325" i="15"/>
  <c r="S325" i="15"/>
  <c r="S87" i="15"/>
  <c r="BM73" i="10"/>
  <c r="BQ73" i="10" s="1"/>
  <c r="BL73" i="10"/>
  <c r="BP73" i="10" s="1"/>
  <c r="BK73" i="10"/>
  <c r="BO73" i="10" s="1"/>
  <c r="S303" i="15"/>
  <c r="T303" i="15"/>
  <c r="AM146" i="10"/>
  <c r="AT119" i="10"/>
  <c r="BO118" i="10"/>
  <c r="S88" i="15"/>
  <c r="AL99" i="10"/>
  <c r="V347" i="15"/>
  <c r="BI99" i="10" s="1"/>
  <c r="BO48" i="10"/>
  <c r="U275" i="15"/>
  <c r="S275" i="15"/>
  <c r="S349" i="15"/>
  <c r="T349" i="15"/>
  <c r="U276" i="15"/>
  <c r="S276" i="15"/>
  <c r="U395" i="15"/>
  <c r="S395" i="15"/>
  <c r="AK99" i="10"/>
  <c r="V228" i="15"/>
  <c r="BH99" i="10" s="1"/>
  <c r="S157" i="15"/>
  <c r="T157" i="15"/>
  <c r="AK74" i="10"/>
  <c r="AM74" i="10" s="1"/>
  <c r="V204" i="15"/>
  <c r="AJ125" i="10"/>
  <c r="V134" i="15"/>
  <c r="E427" i="15"/>
  <c r="AJ76" i="10" l="1"/>
  <c r="V87" i="15"/>
  <c r="BG76" i="10" s="1"/>
  <c r="AL148" i="10"/>
  <c r="V394" i="15"/>
  <c r="BI148" i="10" s="1"/>
  <c r="AK100" i="10"/>
  <c r="V229" i="15"/>
  <c r="BH100" i="10" s="1"/>
  <c r="AJ128" i="10"/>
  <c r="AP122" i="10"/>
  <c r="AT122" i="10" s="1"/>
  <c r="AO122" i="10"/>
  <c r="AS122" i="10" s="1"/>
  <c r="AN122" i="10"/>
  <c r="AR122" i="10" s="1"/>
  <c r="AN146" i="10"/>
  <c r="AR146" i="10" s="1"/>
  <c r="AP146" i="10"/>
  <c r="AO146" i="10"/>
  <c r="AJ148" i="10"/>
  <c r="V156" i="15"/>
  <c r="BG148" i="10" s="1"/>
  <c r="U207" i="15"/>
  <c r="S207" i="15"/>
  <c r="AM99" i="10"/>
  <c r="AJ56" i="10"/>
  <c r="AJ55" i="10"/>
  <c r="AJ149" i="10"/>
  <c r="V157" i="15"/>
  <c r="E428" i="15"/>
  <c r="AL123" i="10"/>
  <c r="AM123" i="10" s="1"/>
  <c r="V370" i="15"/>
  <c r="BI123" i="10" s="1"/>
  <c r="BJ123" i="10" s="1"/>
  <c r="BM122" i="10"/>
  <c r="BQ122" i="10" s="1"/>
  <c r="BK122" i="10"/>
  <c r="BO122" i="10" s="1"/>
  <c r="BL122" i="10"/>
  <c r="BP122" i="10" s="1"/>
  <c r="AK75" i="10"/>
  <c r="AM75" i="10" s="1"/>
  <c r="V205" i="15"/>
  <c r="BH75" i="10" s="1"/>
  <c r="BJ75" i="10" s="1"/>
  <c r="E445" i="15"/>
  <c r="AK148" i="10"/>
  <c r="V275" i="15"/>
  <c r="BH148" i="10" s="1"/>
  <c r="E458" i="15"/>
  <c r="AL77" i="10"/>
  <c r="V326" i="15"/>
  <c r="E485" i="15"/>
  <c r="E475" i="15"/>
  <c r="AK101" i="10"/>
  <c r="V230" i="15"/>
  <c r="E456" i="15"/>
  <c r="E446" i="15"/>
  <c r="BJ146" i="10"/>
  <c r="U206" i="15"/>
  <c r="S206" i="15"/>
  <c r="AO74" i="10"/>
  <c r="AS74" i="10" s="1"/>
  <c r="AN74" i="10"/>
  <c r="AR74" i="10" s="1"/>
  <c r="AP74" i="10"/>
  <c r="AT74" i="10" s="1"/>
  <c r="AS72" i="10"/>
  <c r="AO79" i="10"/>
  <c r="AS79" i="10" s="1"/>
  <c r="BL50" i="10"/>
  <c r="BP50" i="10" s="1"/>
  <c r="BM50" i="10"/>
  <c r="BQ50" i="10" s="1"/>
  <c r="BK50" i="10"/>
  <c r="BO50" i="10" s="1"/>
  <c r="BM72" i="10"/>
  <c r="BK72" i="10"/>
  <c r="BL72" i="10"/>
  <c r="BJ79" i="10"/>
  <c r="E418" i="15"/>
  <c r="AL149" i="10"/>
  <c r="V395" i="15"/>
  <c r="E488" i="15"/>
  <c r="E478" i="15"/>
  <c r="AL53" i="10"/>
  <c r="V303" i="15"/>
  <c r="E484" i="15"/>
  <c r="E474" i="15"/>
  <c r="AT72" i="10"/>
  <c r="AP79" i="10"/>
  <c r="AT79" i="10" s="1"/>
  <c r="BJ147" i="10"/>
  <c r="AL76" i="10"/>
  <c r="V325" i="15"/>
  <c r="BI76" i="10" s="1"/>
  <c r="AL52" i="10"/>
  <c r="V302" i="15"/>
  <c r="AR72" i="10"/>
  <c r="AN79" i="10"/>
  <c r="AR79" i="10" s="1"/>
  <c r="BM97" i="10"/>
  <c r="BL97" i="10"/>
  <c r="BK97" i="10"/>
  <c r="AS48" i="10"/>
  <c r="AM147" i="10"/>
  <c r="AJ100" i="10"/>
  <c r="V110" i="15"/>
  <c r="BG100" i="10" s="1"/>
  <c r="BP145" i="10"/>
  <c r="BG125" i="10"/>
  <c r="F427" i="15"/>
  <c r="H427" i="15" s="1"/>
  <c r="F417" i="15"/>
  <c r="H417" i="15" s="1"/>
  <c r="U371" i="15"/>
  <c r="S371" i="15"/>
  <c r="AL101" i="10"/>
  <c r="V349" i="15"/>
  <c r="E486" i="15"/>
  <c r="E476" i="15"/>
  <c r="U372" i="15"/>
  <c r="S372" i="15"/>
  <c r="AJ101" i="10"/>
  <c r="V111" i="15"/>
  <c r="E426" i="15"/>
  <c r="E416" i="15"/>
  <c r="AL100" i="10"/>
  <c r="V348" i="15"/>
  <c r="BI100" i="10" s="1"/>
  <c r="BH74" i="10"/>
  <c r="BJ74" i="10" s="1"/>
  <c r="AJ77" i="10"/>
  <c r="V88" i="15"/>
  <c r="E425" i="15"/>
  <c r="E415" i="15"/>
  <c r="BJ99" i="10"/>
  <c r="AK53" i="10"/>
  <c r="V184" i="15"/>
  <c r="F444" i="15" s="1"/>
  <c r="H444" i="15" s="1"/>
  <c r="E444" i="15"/>
  <c r="E454" i="15"/>
  <c r="AJ127" i="10"/>
  <c r="BG53" i="10"/>
  <c r="F424" i="15"/>
  <c r="H424" i="15" s="1"/>
  <c r="AT48" i="10"/>
  <c r="AK149" i="10"/>
  <c r="V276" i="15"/>
  <c r="BH51" i="10"/>
  <c r="BJ51" i="10" s="1"/>
  <c r="AT97" i="10"/>
  <c r="BJ121" i="10"/>
  <c r="AM50" i="10"/>
  <c r="AP49" i="10"/>
  <c r="AT49" i="10" s="1"/>
  <c r="AO49" i="10"/>
  <c r="AS49" i="10" s="1"/>
  <c r="AN49" i="10"/>
  <c r="BQ145" i="10"/>
  <c r="AJ103" i="10" l="1"/>
  <c r="AL80" i="10"/>
  <c r="BL74" i="10"/>
  <c r="BP74" i="10" s="1"/>
  <c r="BM74" i="10"/>
  <c r="BQ74" i="10" s="1"/>
  <c r="BK74" i="10"/>
  <c r="BO74" i="10" s="1"/>
  <c r="BL51" i="10"/>
  <c r="BP51" i="10" s="1"/>
  <c r="BM51" i="10"/>
  <c r="BQ51" i="10" s="1"/>
  <c r="BK51" i="10"/>
  <c r="BO51" i="10" s="1"/>
  <c r="AR49" i="10"/>
  <c r="BI149" i="10"/>
  <c r="F488" i="15"/>
  <c r="H488" i="15" s="1"/>
  <c r="F478" i="15"/>
  <c r="H478" i="15" s="1"/>
  <c r="AS146" i="10"/>
  <c r="AL152" i="10"/>
  <c r="AL151" i="10"/>
  <c r="AK76" i="10"/>
  <c r="AM76" i="10" s="1"/>
  <c r="V206" i="15"/>
  <c r="BH76" i="10" s="1"/>
  <c r="BJ76" i="10" s="1"/>
  <c r="AN99" i="10"/>
  <c r="AR99" i="10" s="1"/>
  <c r="AP99" i="10"/>
  <c r="AO99" i="10"/>
  <c r="AT146" i="10"/>
  <c r="BH149" i="10"/>
  <c r="F458" i="15"/>
  <c r="H458" i="15" s="1"/>
  <c r="F448" i="15"/>
  <c r="H448" i="15" s="1"/>
  <c r="BI52" i="10"/>
  <c r="BJ52" i="10" s="1"/>
  <c r="F474" i="15"/>
  <c r="H474" i="15" s="1"/>
  <c r="AK77" i="10"/>
  <c r="V207" i="15"/>
  <c r="E455" i="15"/>
  <c r="AM51" i="10"/>
  <c r="AO50" i="10"/>
  <c r="AP50" i="10"/>
  <c r="AT50" i="10" s="1"/>
  <c r="AN50" i="10"/>
  <c r="AR50" i="10" s="1"/>
  <c r="AL104" i="10"/>
  <c r="AL103" i="10"/>
  <c r="BG77" i="10"/>
  <c r="F425" i="15"/>
  <c r="H425" i="15" s="1"/>
  <c r="F415" i="15"/>
  <c r="H415" i="15" s="1"/>
  <c r="BQ72" i="10"/>
  <c r="BM79" i="10"/>
  <c r="BQ79" i="10" s="1"/>
  <c r="AK56" i="10"/>
  <c r="AK55" i="10"/>
  <c r="AK104" i="10"/>
  <c r="AK103" i="10"/>
  <c r="AN123" i="10"/>
  <c r="AP123" i="10"/>
  <c r="AO123" i="10"/>
  <c r="AP75" i="10"/>
  <c r="AT75" i="10" s="1"/>
  <c r="AN75" i="10"/>
  <c r="AR75" i="10" s="1"/>
  <c r="AO75" i="10"/>
  <c r="AS75" i="10" s="1"/>
  <c r="AK152" i="10"/>
  <c r="AK151" i="10"/>
  <c r="BG101" i="10"/>
  <c r="F426" i="15"/>
  <c r="H426" i="15" s="1"/>
  <c r="F416" i="15"/>
  <c r="H416" i="15" s="1"/>
  <c r="BO97" i="10"/>
  <c r="BL146" i="10"/>
  <c r="BM146" i="10"/>
  <c r="BK146" i="10"/>
  <c r="BG149" i="10"/>
  <c r="F428" i="15"/>
  <c r="H428" i="15" s="1"/>
  <c r="F418" i="15"/>
  <c r="H418" i="15" s="1"/>
  <c r="BL121" i="10"/>
  <c r="BM121" i="10"/>
  <c r="BK121" i="10"/>
  <c r="AL124" i="10"/>
  <c r="AM124" i="10" s="1"/>
  <c r="V371" i="15"/>
  <c r="BI124" i="10" s="1"/>
  <c r="BJ124" i="10" s="1"/>
  <c r="BP72" i="10"/>
  <c r="BL79" i="10"/>
  <c r="BP79" i="10" s="1"/>
  <c r="BH53" i="10"/>
  <c r="F454" i="15"/>
  <c r="H454" i="15" s="1"/>
  <c r="AP147" i="10"/>
  <c r="AT147" i="10" s="1"/>
  <c r="AO147" i="10"/>
  <c r="AS147" i="10" s="1"/>
  <c r="AN147" i="10"/>
  <c r="AR147" i="10" s="1"/>
  <c r="BH101" i="10"/>
  <c r="F456" i="15"/>
  <c r="H456" i="15" s="1"/>
  <c r="F446" i="15"/>
  <c r="H446" i="15" s="1"/>
  <c r="BL123" i="10"/>
  <c r="BP123" i="10" s="1"/>
  <c r="BM123" i="10"/>
  <c r="BQ123" i="10" s="1"/>
  <c r="BK123" i="10"/>
  <c r="BO123" i="10" s="1"/>
  <c r="BM99" i="10"/>
  <c r="BQ99" i="10" s="1"/>
  <c r="BK99" i="10"/>
  <c r="BO99" i="10" s="1"/>
  <c r="BL99" i="10"/>
  <c r="BP99" i="10" s="1"/>
  <c r="BG128" i="10"/>
  <c r="BG127" i="10"/>
  <c r="BM75" i="10"/>
  <c r="BQ75" i="10" s="1"/>
  <c r="BK75" i="10"/>
  <c r="BO75" i="10" s="1"/>
  <c r="BL75" i="10"/>
  <c r="BP75" i="10" s="1"/>
  <c r="BG56" i="10"/>
  <c r="BI101" i="10"/>
  <c r="F486" i="15"/>
  <c r="H486" i="15" s="1"/>
  <c r="F476" i="15"/>
  <c r="H476" i="15" s="1"/>
  <c r="BI77" i="10"/>
  <c r="BI80" i="10" s="1"/>
  <c r="F485" i="15"/>
  <c r="H485" i="15" s="1"/>
  <c r="F475" i="15"/>
  <c r="H475" i="15" s="1"/>
  <c r="BI53" i="10"/>
  <c r="F484" i="15"/>
  <c r="H484" i="15" s="1"/>
  <c r="BJ148" i="10"/>
  <c r="AJ80" i="10"/>
  <c r="AM101" i="10"/>
  <c r="AJ104" i="10"/>
  <c r="BJ100" i="10"/>
  <c r="BP97" i="10"/>
  <c r="AL56" i="10"/>
  <c r="AL55" i="10"/>
  <c r="AM149" i="10"/>
  <c r="AJ152" i="10"/>
  <c r="AJ151" i="10"/>
  <c r="AM148" i="10"/>
  <c r="AM151" i="10" s="1"/>
  <c r="F445" i="15"/>
  <c r="H445" i="15" s="1"/>
  <c r="AL125" i="10"/>
  <c r="V372" i="15"/>
  <c r="E487" i="15"/>
  <c r="E477" i="15"/>
  <c r="AM100" i="10"/>
  <c r="BQ97" i="10"/>
  <c r="BM147" i="10"/>
  <c r="BQ147" i="10" s="1"/>
  <c r="BK147" i="10"/>
  <c r="BO147" i="10" s="1"/>
  <c r="BL147" i="10"/>
  <c r="BP147" i="10" s="1"/>
  <c r="BO72" i="10"/>
  <c r="BK79" i="10"/>
  <c r="BO79" i="10" s="1"/>
  <c r="BG55" i="10"/>
  <c r="BJ53" i="10" l="1"/>
  <c r="AK80" i="10"/>
  <c r="BL53" i="10"/>
  <c r="BP53" i="10" s="1"/>
  <c r="BM53" i="10"/>
  <c r="BQ53" i="10" s="1"/>
  <c r="BK53" i="10"/>
  <c r="BJ56" i="10"/>
  <c r="BJ55" i="10"/>
  <c r="BP146" i="10"/>
  <c r="BH152" i="10"/>
  <c r="BH151" i="10"/>
  <c r="BO121" i="10"/>
  <c r="BM100" i="10"/>
  <c r="BK100" i="10"/>
  <c r="BL100" i="10"/>
  <c r="BP121" i="10"/>
  <c r="BH77" i="10"/>
  <c r="BH80" i="10" s="1"/>
  <c r="F455" i="15"/>
  <c r="H455" i="15" s="1"/>
  <c r="BL124" i="10"/>
  <c r="BP124" i="10" s="1"/>
  <c r="BM124" i="10"/>
  <c r="BQ124" i="10" s="1"/>
  <c r="BK124" i="10"/>
  <c r="BO124" i="10" s="1"/>
  <c r="AM52" i="10"/>
  <c r="AO51" i="10"/>
  <c r="AS51" i="10" s="1"/>
  <c r="AP51" i="10"/>
  <c r="AT51" i="10" s="1"/>
  <c r="AN51" i="10"/>
  <c r="AR51" i="10" s="1"/>
  <c r="AS99" i="10"/>
  <c r="AT99" i="10"/>
  <c r="BJ149" i="10"/>
  <c r="BG152" i="10"/>
  <c r="BG151" i="10"/>
  <c r="AS123" i="10"/>
  <c r="BL52" i="10"/>
  <c r="BP52" i="10" s="1"/>
  <c r="BM52" i="10"/>
  <c r="BQ52" i="10" s="1"/>
  <c r="BK52" i="10"/>
  <c r="BO52" i="10" s="1"/>
  <c r="AM77" i="10"/>
  <c r="BO146" i="10"/>
  <c r="BI152" i="10"/>
  <c r="BI151" i="10"/>
  <c r="BL148" i="10"/>
  <c r="BP148" i="10" s="1"/>
  <c r="BK148" i="10"/>
  <c r="BO148" i="10" s="1"/>
  <c r="BM148" i="10"/>
  <c r="BQ148" i="10" s="1"/>
  <c r="BH56" i="10"/>
  <c r="BH55" i="10"/>
  <c r="AN76" i="10"/>
  <c r="AR76" i="10" s="1"/>
  <c r="AP76" i="10"/>
  <c r="AT76" i="10" s="1"/>
  <c r="AO76" i="10"/>
  <c r="AS76" i="10" s="1"/>
  <c r="BL76" i="10"/>
  <c r="BP76" i="10" s="1"/>
  <c r="BM76" i="10"/>
  <c r="BQ76" i="10" s="1"/>
  <c r="BK76" i="10"/>
  <c r="BO76" i="10" s="1"/>
  <c r="BI104" i="10"/>
  <c r="BI103" i="10"/>
  <c r="BQ121" i="10"/>
  <c r="BG80" i="10"/>
  <c r="AO148" i="10"/>
  <c r="AS148" i="10" s="1"/>
  <c r="AN148" i="10"/>
  <c r="AR148" i="10" s="1"/>
  <c r="AP148" i="10"/>
  <c r="BI56" i="10"/>
  <c r="BI55" i="10"/>
  <c r="BH104" i="10"/>
  <c r="BH103" i="10"/>
  <c r="AO100" i="10"/>
  <c r="AS100" i="10" s="1"/>
  <c r="AN100" i="10"/>
  <c r="AR100" i="10" s="1"/>
  <c r="AP100" i="10"/>
  <c r="AT100" i="10" s="1"/>
  <c r="AP101" i="10"/>
  <c r="AO101" i="10"/>
  <c r="AN101" i="10"/>
  <c r="AM104" i="10"/>
  <c r="AM103" i="10"/>
  <c r="AO149" i="10"/>
  <c r="AP149" i="10"/>
  <c r="AN149" i="10"/>
  <c r="AM152" i="10"/>
  <c r="AO124" i="10"/>
  <c r="AS124" i="10" s="1"/>
  <c r="AP124" i="10"/>
  <c r="AT124" i="10" s="1"/>
  <c r="AN124" i="10"/>
  <c r="AR124" i="10" s="1"/>
  <c r="BJ101" i="10"/>
  <c r="BG104" i="10"/>
  <c r="BG103" i="10"/>
  <c r="BI125" i="10"/>
  <c r="F487" i="15"/>
  <c r="H487" i="15" s="1"/>
  <c r="F477" i="15"/>
  <c r="H477" i="15" s="1"/>
  <c r="AT123" i="10"/>
  <c r="AL128" i="10"/>
  <c r="AL127" i="10"/>
  <c r="AM125" i="10"/>
  <c r="BQ146" i="10"/>
  <c r="AR123" i="10"/>
  <c r="AS50" i="10"/>
  <c r="BJ77" i="10" l="1"/>
  <c r="AR149" i="10"/>
  <c r="AN152" i="10"/>
  <c r="AR152" i="10" s="1"/>
  <c r="AN151" i="10"/>
  <c r="AR151" i="10" s="1"/>
  <c r="AS101" i="10"/>
  <c r="AO104" i="10"/>
  <c r="AS104" i="10" s="1"/>
  <c r="AT101" i="10"/>
  <c r="AP104" i="10"/>
  <c r="AT104" i="10" s="1"/>
  <c r="AP125" i="10"/>
  <c r="AO125" i="10"/>
  <c r="AN125" i="10"/>
  <c r="AM128" i="10"/>
  <c r="AM127" i="10"/>
  <c r="AM53" i="10"/>
  <c r="AO52" i="10"/>
  <c r="AS52" i="10" s="1"/>
  <c r="AP52" i="10"/>
  <c r="AT52" i="10" s="1"/>
  <c r="AN52" i="10"/>
  <c r="AR52" i="10" s="1"/>
  <c r="AP103" i="10"/>
  <c r="AT103" i="10" s="1"/>
  <c r="BQ100" i="10"/>
  <c r="BM77" i="10"/>
  <c r="BM80" i="10" s="1"/>
  <c r="BK77" i="10"/>
  <c r="BL77" i="10"/>
  <c r="BJ80" i="10"/>
  <c r="AT148" i="10"/>
  <c r="AP151" i="10"/>
  <c r="AT151" i="10" s="1"/>
  <c r="BI128" i="10"/>
  <c r="BJ125" i="10"/>
  <c r="BI127" i="10"/>
  <c r="AN77" i="10"/>
  <c r="AP77" i="10"/>
  <c r="AO77" i="10"/>
  <c r="AM80" i="10"/>
  <c r="BM149" i="10"/>
  <c r="BM151" i="10" s="1"/>
  <c r="BQ151" i="10" s="1"/>
  <c r="BL149" i="10"/>
  <c r="BK149" i="10"/>
  <c r="BJ152" i="10"/>
  <c r="BJ151" i="10"/>
  <c r="BP100" i="10"/>
  <c r="BL103" i="10"/>
  <c r="BP103" i="10" s="1"/>
  <c r="AT149" i="10"/>
  <c r="AP152" i="10"/>
  <c r="AT152" i="10" s="1"/>
  <c r="BO100" i="10"/>
  <c r="BL55" i="10"/>
  <c r="BP55" i="10" s="1"/>
  <c r="BM55" i="10"/>
  <c r="BQ55" i="10" s="1"/>
  <c r="AS149" i="10"/>
  <c r="AO152" i="10"/>
  <c r="AS152" i="10" s="1"/>
  <c r="AO151" i="10"/>
  <c r="AS151" i="10" s="1"/>
  <c r="BL56" i="10"/>
  <c r="BP56" i="10" s="1"/>
  <c r="BM56" i="10"/>
  <c r="BQ56" i="10" s="1"/>
  <c r="BK101" i="10"/>
  <c r="BL101" i="10"/>
  <c r="BM101" i="10"/>
  <c r="BJ104" i="10"/>
  <c r="BJ103" i="10"/>
  <c r="AO103" i="10"/>
  <c r="AS103" i="10" s="1"/>
  <c r="BO53" i="10"/>
  <c r="BK56" i="10"/>
  <c r="BO56" i="10" s="1"/>
  <c r="BK55" i="10"/>
  <c r="BO55" i="10" s="1"/>
  <c r="AR101" i="10"/>
  <c r="AN104" i="10"/>
  <c r="AR104" i="10" s="1"/>
  <c r="AN103" i="10"/>
  <c r="AR103" i="10" s="1"/>
  <c r="AS77" i="10" l="1"/>
  <c r="AO80" i="10"/>
  <c r="AS80" i="10" s="1"/>
  <c r="BP77" i="10"/>
  <c r="BL80" i="10"/>
  <c r="BP80" i="10" s="1"/>
  <c r="AT77" i="10"/>
  <c r="AP80" i="10"/>
  <c r="AT80" i="10" s="1"/>
  <c r="BQ101" i="10"/>
  <c r="BM104" i="10"/>
  <c r="BQ104" i="10" s="1"/>
  <c r="AT125" i="10"/>
  <c r="AP128" i="10"/>
  <c r="AT128" i="10" s="1"/>
  <c r="AP127" i="10"/>
  <c r="AT127" i="10" s="1"/>
  <c r="AR77" i="10"/>
  <c r="AN80" i="10"/>
  <c r="AR80" i="10" s="1"/>
  <c r="BO77" i="10"/>
  <c r="BK80" i="10"/>
  <c r="BO80" i="10" s="1"/>
  <c r="BP101" i="10"/>
  <c r="BL104" i="10"/>
  <c r="BP104" i="10" s="1"/>
  <c r="BQ77" i="10"/>
  <c r="BQ80" i="10"/>
  <c r="AO53" i="10"/>
  <c r="AP53" i="10"/>
  <c r="AN53" i="10"/>
  <c r="AM56" i="10"/>
  <c r="AM55" i="10"/>
  <c r="BO101" i="10"/>
  <c r="BK104" i="10"/>
  <c r="BO104" i="10" s="1"/>
  <c r="BK103" i="10"/>
  <c r="BO103" i="10" s="1"/>
  <c r="BO149" i="10"/>
  <c r="BK152" i="10"/>
  <c r="BO152" i="10" s="1"/>
  <c r="BK151" i="10"/>
  <c r="BO151" i="10" s="1"/>
  <c r="BL125" i="10"/>
  <c r="BM125" i="10"/>
  <c r="BK125" i="10"/>
  <c r="BJ128" i="10"/>
  <c r="BJ127" i="10"/>
  <c r="BM103" i="10"/>
  <c r="BQ103" i="10" s="1"/>
  <c r="BP149" i="10"/>
  <c r="BL152" i="10"/>
  <c r="BP152" i="10" s="1"/>
  <c r="BL151" i="10"/>
  <c r="BP151" i="10" s="1"/>
  <c r="BQ149" i="10"/>
  <c r="BM152" i="10"/>
  <c r="BQ152" i="10" s="1"/>
  <c r="AR125" i="10"/>
  <c r="AN128" i="10"/>
  <c r="AR128" i="10" s="1"/>
  <c r="AN127" i="10"/>
  <c r="AR127" i="10" s="1"/>
  <c r="AS125" i="10"/>
  <c r="AO128" i="10"/>
  <c r="AS128" i="10" s="1"/>
  <c r="AO127" i="10"/>
  <c r="AS127" i="10" s="1"/>
  <c r="BQ125" i="10" l="1"/>
  <c r="BM128" i="10"/>
  <c r="BQ128" i="10" s="1"/>
  <c r="BM127" i="10"/>
  <c r="BQ127" i="10" s="1"/>
  <c r="BP125" i="10"/>
  <c r="BL128" i="10"/>
  <c r="BP128" i="10" s="1"/>
  <c r="BL127" i="10"/>
  <c r="BP127" i="10" s="1"/>
  <c r="AR53" i="10"/>
  <c r="AN56" i="10"/>
  <c r="AR56" i="10" s="1"/>
  <c r="AN55" i="10"/>
  <c r="AR55" i="10" s="1"/>
  <c r="AT53" i="10"/>
  <c r="AP56" i="10"/>
  <c r="AT56" i="10" s="1"/>
  <c r="AP55" i="10"/>
  <c r="AT55" i="10" s="1"/>
  <c r="AS53" i="10"/>
  <c r="AO56" i="10"/>
  <c r="AS56" i="10" s="1"/>
  <c r="AO55" i="10"/>
  <c r="AS55" i="10" s="1"/>
  <c r="BO125" i="10"/>
  <c r="BK128" i="10"/>
  <c r="BO128" i="10" s="1"/>
  <c r="BK127" i="10"/>
  <c r="BO127" i="10" s="1"/>
</calcChain>
</file>

<file path=xl/sharedStrings.xml><?xml version="1.0" encoding="utf-8"?>
<sst xmlns="http://schemas.openxmlformats.org/spreadsheetml/2006/main" count="8854" uniqueCount="726">
  <si>
    <t>Year</t>
  </si>
  <si>
    <t>Type of Expenditure</t>
  </si>
  <si>
    <t>From Goodchild et al. (2017)</t>
  </si>
  <si>
    <t>Measure</t>
  </si>
  <si>
    <t>Data Source</t>
  </si>
  <si>
    <t>Average Monthly Salary</t>
  </si>
  <si>
    <t>Average Annual Salary</t>
  </si>
  <si>
    <t>Total</t>
  </si>
  <si>
    <t>Males</t>
  </si>
  <si>
    <t>Females</t>
  </si>
  <si>
    <t xml:space="preserve">Total </t>
  </si>
  <si>
    <t>Excise Duty</t>
  </si>
  <si>
    <t>Price Per Pack</t>
  </si>
  <si>
    <t>Share of the Excise in the Price</t>
  </si>
  <si>
    <t>2005</t>
  </si>
  <si>
    <t>2006</t>
  </si>
  <si>
    <t>2007</t>
  </si>
  <si>
    <t>2008</t>
  </si>
  <si>
    <t>2009</t>
  </si>
  <si>
    <t>2010</t>
  </si>
  <si>
    <t>2011</t>
  </si>
  <si>
    <t>2012</t>
  </si>
  <si>
    <t>2013</t>
  </si>
  <si>
    <t>2014</t>
  </si>
  <si>
    <t>Source: Calculated as per the data provided by the Ministry of Finance and National Statistics Office of Georgia</t>
  </si>
  <si>
    <t>According to, the 2017 amendments on the Tax Code of Georgia, excise taxes on cigarettes increased by 0.60 tetri (equivalent to cents) on filtered cigarettes and 0.30 tetri on unfiltered.</t>
  </si>
  <si>
    <t>This was estimated to generate additional 200 million revenue for budget.</t>
  </si>
  <si>
    <t>Budget revenue from excise tax on cigarettes was 232 million GEL in 2011 and 549 million GEL in 2016</t>
  </si>
  <si>
    <t>Cigarette Tax Rates and Average Price Per Pack</t>
  </si>
  <si>
    <t>Total Cigarette Sales</t>
  </si>
  <si>
    <t>Total Cigarette Pack Sales</t>
  </si>
  <si>
    <t>Source: Bloomberg study on taxation</t>
  </si>
  <si>
    <r>
      <rPr>
        <sz val="11"/>
        <rFont val="Calibri"/>
        <family val="2"/>
      </rPr>
      <t>Average price per pack weighted average price - </t>
    </r>
    <r>
      <rPr>
        <i/>
        <sz val="11"/>
        <rFont val="Calibri"/>
        <family val="2"/>
      </rPr>
      <t>prices of a pack of imported and domestic filtered cigarettes are weighted by consumption and then averaged </t>
    </r>
    <r>
      <rPr>
        <sz val="11"/>
        <rFont val="Calibri"/>
        <family val="2"/>
      </rPr>
      <t>(Bloomberg study on taxation)</t>
    </r>
    <r>
      <rPr>
        <sz val="12"/>
        <color rgb="FF000000"/>
        <rFont val="Calibri"/>
        <family val="2"/>
      </rPr>
      <t>.  </t>
    </r>
  </si>
  <si>
    <t>Total Cigarette Sales Revenue, Tax Revenue, and Manufacturer/Retailer Revenue</t>
  </si>
  <si>
    <t>Total Cigarette Sales Revenue</t>
  </si>
  <si>
    <t>Manufacturer/Retailer Revenue from Cigarette Sales</t>
  </si>
  <si>
    <t>Excise Tax Revenue from Cigarette Sales</t>
  </si>
  <si>
    <t>Figure. Total Tax Revenue from Excise Taxes on Cigarettes and Manufacturer/Retailer Revenue from Cigarette Sales, 2014</t>
  </si>
  <si>
    <t>Notes on Findings and Figure:</t>
  </si>
  <si>
    <t>The data in the summary data table and figure above are for 2014 since that is the most recent year that we have average price and total cigarette sales data for at this time.</t>
  </si>
  <si>
    <t>In 2014, total revenue from cigarette sales in Georgia was an estimated 1.11 billion.</t>
  </si>
  <si>
    <t>Of the estimated revenue from cigarette sales in 2014, nearly 359 million (32%) was tax revenue from excise taxes on cigarettes.</t>
  </si>
  <si>
    <t>The remaining 751 million (68%) is revenue earned by cigarette manufacturers/retailers.</t>
  </si>
  <si>
    <t>The information obtained by Lika (and summarized above) indicates that excise tax revenues on cigarettes were 549 million GEL in 2016.</t>
  </si>
  <si>
    <t>I did not calculate data for 2016 since I don't have estimates of what the excise tax rate, average price per pack, or total pack sales were in 2016.</t>
  </si>
  <si>
    <t>If we assume the same ratio of taxes as a percentage of total cigarette sales revenue (which is actually probably not true given the tax rate likely changed between 2014 and 2016 and the average retail price may have been different too), then</t>
  </si>
  <si>
    <t>Total cigarette sales revenue would be 1.72 billion GEL</t>
  </si>
  <si>
    <t>Manufacturer/Retailer revenue would be 1.17 billion GEL</t>
  </si>
  <si>
    <t>The 358.5 million GEL in cigarette excise tax revenues (in 2014 - estimates for 2016 is about 549 million GEL) is the money that the Georgian government raises through the sale of cigarettes.</t>
  </si>
  <si>
    <t>Total cigarette sales include both the sale of cigarettes to Georgian citizens or purchases of cigarettes that will be exported and sold in other countries.</t>
  </si>
  <si>
    <t>If Georgia is successful at reducing tobacco use, they may lose some of this cigarette excise tax revenue - especially if Georgia does not raise the tax on cigarettes further.</t>
  </si>
  <si>
    <t>If Georgia continues to export cigarettes to other countries (via illicit trade - i.e. "exports"), they will continue earning tax revenue from those sales.</t>
  </si>
  <si>
    <t>If Georgia raises the price on cigarettes, they may not experience any declines in tax revenue, even if there are reductions in smoking rates.</t>
  </si>
  <si>
    <t>This will largely depend on smoking prevalence price/tax elasticities.</t>
  </si>
  <si>
    <t>There are also issues related to regressivity and the distributional effects of taxation associated with increasing the tax on cigarettes.</t>
  </si>
  <si>
    <t>Cigarette Excise Tax Revenues</t>
  </si>
  <si>
    <t>The pie slice above for the excise tax revenues in 2014 represents the maximum potential amount of tax revenue that the Georgian government could potentially lose if cigarette sales fell to zero.</t>
  </si>
  <si>
    <t>The manufacturer/retailer revenue from cigarette sales is the total revenue associated with cigarettes sales after netting out cigarette excise taxes.</t>
  </si>
  <si>
    <t>The 750.5 million GEL in 2014 represents an estimate of the total amount of cigarette revenue that tobacco manufacturers and retailers collected from cigarette sales.</t>
  </si>
  <si>
    <t>If we assumed that ALL cigarettes were manufacturered, packaged, distributed, and sold within Georgia (and no cigarette revenues left the country) the 750.5 million GEL would be money that would stay in the Georgian economy.</t>
  </si>
  <si>
    <t>If we assumed that NO cigarettes were manufactured or packaged in Georgia and that the proceeds from all cigarette sales in Georgia left the country and went to multinational corporations, then we would estimate about 750.5 million GEL would be "leaking" out of the economy</t>
  </si>
  <si>
    <t>The 750.5 million GEL in 2014 represents the maximum potential economic outflow from Georgia that would be associated with cigarette sales.</t>
  </si>
  <si>
    <t>We do not have any data to suggest how much of the 750.5 million GEL in 2014 stayed in the Georgian economy versus left the economy and went to multinational corporations based in other countries</t>
  </si>
  <si>
    <t>Potential Alternatives to Cigarette Consumption</t>
  </si>
  <si>
    <t>The total amount spent by consumers on cigarettes in 2014 was about 1.1 billion GEL.</t>
  </si>
  <si>
    <t>If no one in Georgia smoked, or purchased cigarettes, it is possible that Georgian consumers could spend approximately 1.1 billion GEL on other products, goods, and services.</t>
  </si>
  <si>
    <t>Alternative consumption, in lieu of cigarettes, might be on products, goods, or services that result in a larger share of the sales revenue remaining in the Georgian economy.</t>
  </si>
  <si>
    <t>Some key points to consider:</t>
  </si>
  <si>
    <t>If individuals do not buy cigarettes, we should not assume that the alternative consumption would be for healthier or more productive uses. It's possible people would buy alcohol or junk food or spend it on other "vices"</t>
  </si>
  <si>
    <t>It might not necessarily be true that individuals would invest that money into their own betterment, their families, their children, education/health, etc.</t>
  </si>
  <si>
    <t>If a portion of cigarette sales in Georgia are for the purpose of exporting cigarettes to other countries and selling them there, then a reduction in those sales would likely just mean a removal of that money from the Georgian economy. There would be no "alternative" consumption in Georgia as those consumers would just purchase their cigarettes in other countries instead</t>
  </si>
  <si>
    <t>Relative Change in Smoking Prevalence:
Increase Taxes</t>
  </si>
  <si>
    <t>Relative Change in Smoking Prevalence:
Smoke-Free Air Laws</t>
  </si>
  <si>
    <t>Relative Change in Smoking Prevalence:
Enforce Marketing Restrictions</t>
  </si>
  <si>
    <t>Relative Change in Smoking Prevalence:
Cigarette Package Warnings</t>
  </si>
  <si>
    <t>Intervention/Policy</t>
  </si>
  <si>
    <t>Increase Taxes</t>
  </si>
  <si>
    <t>Smoke-Free Air Laws</t>
  </si>
  <si>
    <t>Marketing Restrictions</t>
  </si>
  <si>
    <t>Cigarette Pack Warnings</t>
  </si>
  <si>
    <t>Years</t>
  </si>
  <si>
    <t>Year
Number</t>
  </si>
  <si>
    <t>Total Healthcare Expenditures</t>
  </si>
  <si>
    <t>Government Healthcare Expenditures</t>
  </si>
  <si>
    <t>Relative Change in Smoking Prevalence:
All Interventions Combined</t>
  </si>
  <si>
    <t>Total Expenditures
(Local Currency)</t>
  </si>
  <si>
    <t>Data Source
(Total Expenditures)</t>
  </si>
  <si>
    <t>Out-of-Pocket Healthcare Expenditures</t>
  </si>
  <si>
    <t>Other Healthcare Expenditures</t>
  </si>
  <si>
    <t>Data from Georgia MoH (provided by Nuka Maglakelidze via email on 9/4/2017)</t>
  </si>
  <si>
    <t>Smoking-Attributable Healthcare Expenditures</t>
  </si>
  <si>
    <t>?</t>
  </si>
  <si>
    <t>Default Case</t>
  </si>
  <si>
    <t>Intervention Impacts: All Interventions Combined</t>
  </si>
  <si>
    <t>Smoking-Attributable Total Healthcare Expenditures:
Base Scenario</t>
  </si>
  <si>
    <t>Smoking-Attributable Government Healthcare Expenditures
(including national insurance):
Base Scenario</t>
  </si>
  <si>
    <t>Smoking-Attributable Private Healthcare Expenditures:
Base Scenario</t>
  </si>
  <si>
    <t>Smoking-Attributable Other Health Expenditures:
Base Scenario</t>
  </si>
  <si>
    <t>Smoking-Attributable Fraction (SAF) of Healthcare Expenditures:
Adjusted for Intervention Impacts</t>
  </si>
  <si>
    <t>Smoking-Attributable Total Healthcare Expenditures:
Intervention Scenario</t>
  </si>
  <si>
    <t>Smoking-Attributable Government Healthcare Expenditures
(including national insurance):
Intervention Scenario</t>
  </si>
  <si>
    <t>Smoking-Attributable Private Healthcare Expenditures:
Intervention Scenario</t>
  </si>
  <si>
    <t>Smoking-Attributable Other Health Expenditures:
Intervention Scenario</t>
  </si>
  <si>
    <t>Total Government Healthcare Expenditures
(including national insurance):
Base Scenario</t>
  </si>
  <si>
    <t>Total Healthcare Expenditures
(All Categories):
Base Scenario</t>
  </si>
  <si>
    <t>Total Other Health Expenditures:
Base Scenario</t>
  </si>
  <si>
    <t>Savings in Smoking-Attributable Total Healthcare Expenditures:
Intervention Scenario</t>
  </si>
  <si>
    <t>Savings in Smoking-Attributable Government Healthcare Expenditures
(including national insurance):
Intervention Scenario</t>
  </si>
  <si>
    <t>Savings in Smoking-Attributable Private Healthcare Expenditures:
Intervention Scenario</t>
  </si>
  <si>
    <t>Savings in Smoking-Attributable Other Health Expenditures:
Intervention Scenario</t>
  </si>
  <si>
    <t>Based on 5-year and 15-year estimates of the Relative Impact of the Intervention on Smoking Prevalence from the WHO Fact Sheet. The 5-year and 15-year effects were converted into an annual trajectory assuming equal proportional linear decline across the two periods of time.</t>
  </si>
  <si>
    <t>We are modeling the impacts of interventions in terms of 15-years based on the estiamted intervention impacts from the WHO Fact Sheet for Georgia</t>
  </si>
  <si>
    <t>These columns are calculated based on the forecasted total healthcare expenditures (flat-lined based on what Georgia MoH provided) and the intervention-adjusted SAFs</t>
  </si>
  <si>
    <t>This column is calculated by adjusting the base input parameter for SAF (from the literature) by the relative change in smoking prevalence associated with the intervention (from the WHO Fact Sheet)</t>
  </si>
  <si>
    <t>Annual healthcare costs savings are calculated by subtracting the annual healthcare costs for the intervention scenario from the annual healthcare costs for the base scenario (which is what we would expect healthcare costs to be if there are no changes in smoking prevalence)</t>
  </si>
  <si>
    <t>Intervention Impacts: Increase Taxes</t>
  </si>
  <si>
    <t>Intervention Impacts: Smoke-Free Air Laws</t>
  </si>
  <si>
    <t>Intervention Impacts: Enforce Marketing Restrictions</t>
  </si>
  <si>
    <t>Intervention Impacts: Cigarette Package Warnings</t>
  </si>
  <si>
    <t>Intervention Impacts: Summary</t>
  </si>
  <si>
    <t>Intervention</t>
  </si>
  <si>
    <t>Enforce Marketing Restrictions</t>
  </si>
  <si>
    <t>Cigarette Package Warnings</t>
  </si>
  <si>
    <t>Relative Reduction in Smoking Prevalence:
First 5 Years</t>
  </si>
  <si>
    <t>Relative Reduction in Smoking Prevalence:
Years 6-15</t>
  </si>
  <si>
    <t>Relative Reduction in Smoking Prevalence:
After 15 Years</t>
  </si>
  <si>
    <t>Total Healthcare Costs: First 5 Years</t>
  </si>
  <si>
    <t>Total Healthcare Costs: Years 6-15</t>
  </si>
  <si>
    <t>Total Healthcare Costs: After 15 Years</t>
  </si>
  <si>
    <t>Government Healthcare Costs: First 5 Years</t>
  </si>
  <si>
    <t>Government Healthcare Costs: Years 6-15</t>
  </si>
  <si>
    <t>Government Healthcare Costs: After 15 Years</t>
  </si>
  <si>
    <t>Input Parameter</t>
  </si>
  <si>
    <t>Estimate</t>
  </si>
  <si>
    <t>Range: Lower Bound</t>
  </si>
  <si>
    <t>Range: Upper Bound</t>
  </si>
  <si>
    <t>Excess healthcare costs not included for Georgia since employees do not pay healthcare costs.</t>
  </si>
  <si>
    <t>Berman M, Crane R, Seiber E, et al. Tob Control Published Online First:  doi:10.1136/ tobaccocontrol-2012- 050888</t>
  </si>
  <si>
    <t xml:space="preserve">Excess Presenteeism Rate, % </t>
  </si>
  <si>
    <t>Excess Abstenteeism (days per year)</t>
  </si>
  <si>
    <t>Smoking Breaks (minutes per day)</t>
  </si>
  <si>
    <t>Excess Healthcare Costs</t>
  </si>
  <si>
    <t>Components of Workplace Smoking Burden</t>
  </si>
  <si>
    <t>Input Parameters from the Literature</t>
  </si>
  <si>
    <t>Country-Specific Data Inputs for Calculations</t>
  </si>
  <si>
    <t>Average Duration of the Working Day</t>
  </si>
  <si>
    <t>Number of Working Days Per Year</t>
  </si>
  <si>
    <t>Number of Employed Persons</t>
  </si>
  <si>
    <t>Working Days Per Month</t>
  </si>
  <si>
    <t>Average Daily Salary</t>
  </si>
  <si>
    <t>Excess Abstenteeism, Costs</t>
  </si>
  <si>
    <t>Excess Presenteeism, Costs</t>
  </si>
  <si>
    <t>Smoking Breaks
(Working days lost per year)</t>
  </si>
  <si>
    <t>Smoking Breaks, Costs</t>
  </si>
  <si>
    <t>Total (Both Genders)</t>
  </si>
  <si>
    <t>Smoking Prevalence:
Males</t>
  </si>
  <si>
    <t>Smoking Prevalence:
Females</t>
  </si>
  <si>
    <t>Employed Persons:
Males</t>
  </si>
  <si>
    <t>Employed Persons:
Females</t>
  </si>
  <si>
    <t>Employed Smokers:
Males</t>
  </si>
  <si>
    <t>Employed Smokers:
Females</t>
  </si>
  <si>
    <t>Absenteeism</t>
  </si>
  <si>
    <t>Smoking Prevalence Associated with Intervention: Males</t>
  </si>
  <si>
    <t>Smoking Prevalence Associated with Intervention: Females</t>
  </si>
  <si>
    <t>Employed Smokers (Intervention Scenario):
Males</t>
  </si>
  <si>
    <t>Employed Smokers (Intervention Scenario):
Females</t>
  </si>
  <si>
    <t>Excess Absenteeism (Costs):
Males</t>
  </si>
  <si>
    <t>Excess Absenteeism (Costs):
Females</t>
  </si>
  <si>
    <t>Excess Absenteeism (Costs):
Total</t>
  </si>
  <si>
    <t>Excess Absenteeism (Costs) - Intervention Scenario:
Males</t>
  </si>
  <si>
    <t>Excess Absenteeism (Costs) - Intervention Scenario:
Females</t>
  </si>
  <si>
    <t>Excess Absenteeism (Costs) - Intervention Scenario:
Total</t>
  </si>
  <si>
    <t>Cost Savings:
Females</t>
  </si>
  <si>
    <t>Cost Savings:
Males</t>
  </si>
  <si>
    <t>Cost Savings:
Total</t>
  </si>
  <si>
    <t>These are data inputs used for calculations. For this model, we assume no growth (flat-line) values for the future based on the most recent data inputs for Georgia available.</t>
  </si>
  <si>
    <t>These numbers are calculations for the default / base case scenario</t>
  </si>
  <si>
    <t>These columns are calculated by adjusting the smoking prevalence inputs for the default/base case scenario by the relative change in smoking prevalence associated with the intervention (from the WHO Fact Sheet)</t>
  </si>
  <si>
    <t>These columns are calculated based on the forecasted total number of employed persons (flat-lined based on the most recent data available for Georgia) and the intervention-adjusted smoking prevalence estimates</t>
  </si>
  <si>
    <t>Annual costs savings are calculated by subtracting the annual absenteeism costs for the intervention scenario from the annual absenteeism costs for the base scenario (which is what we would expect absenteeism costs to be if there are no changes in smoking prevalence)</t>
  </si>
  <si>
    <t>Presenteeism</t>
  </si>
  <si>
    <t>Excess Presenteeism (Costs):
Males</t>
  </si>
  <si>
    <t>Excess Presenteeism (Costs):
Females</t>
  </si>
  <si>
    <t>Excess Presenteeism (Costs):
Total</t>
  </si>
  <si>
    <t>Excess Presenteeism (Costs) - Intervention Scenario:
Males</t>
  </si>
  <si>
    <t>Excess Presenteeism (Costs) - Intervention Scenario:
Females</t>
  </si>
  <si>
    <t>Excess Presenteeism (Costs) - Intervention Scenario:
Total</t>
  </si>
  <si>
    <t>Smoking Breaks</t>
  </si>
  <si>
    <t>Smoking Breaks (Costs):
Males</t>
  </si>
  <si>
    <t>Smoking Breaks (Costs):
Females</t>
  </si>
  <si>
    <t>Smoking Breaks (Costs):
Total</t>
  </si>
  <si>
    <t>Smoking Breaks (Costs) - Intervention Scenario:
Males</t>
  </si>
  <si>
    <r>
      <t>Berman M, Crane R, Seiber E, et al. Tob Control Published Online First:  doi:10.1136/</t>
    </r>
    <r>
      <rPr>
        <sz val="10"/>
        <color theme="1"/>
        <rFont val="Calibri"/>
        <family val="2"/>
        <charset val="204"/>
        <scheme val="minor"/>
      </rPr>
      <t xml:space="preserve"> </t>
    </r>
    <r>
      <rPr>
        <sz val="10"/>
        <color theme="1"/>
        <rFont val="Arial"/>
        <family val="2"/>
        <charset val="204"/>
      </rPr>
      <t>tobaccocontrol-2012- 050888</t>
    </r>
  </si>
  <si>
    <t>Excess Absenteeism Costs: Years 6-15</t>
  </si>
  <si>
    <t>Excess Absenteeism Costs: First 5 Years</t>
  </si>
  <si>
    <t>Baseline Absenteeism Costs:
First 5 Years</t>
  </si>
  <si>
    <t>Intervention Absenteeism Costs:
First 5 Years</t>
  </si>
  <si>
    <t>Savings in Excess Absenteeism Costs:
First 5 Years</t>
  </si>
  <si>
    <t>Year Number</t>
  </si>
  <si>
    <t>Costs in 2016 Georgian Laris (GEL)</t>
  </si>
  <si>
    <t>First 5 Years</t>
  </si>
  <si>
    <t>Years 6-15</t>
  </si>
  <si>
    <t>Intervention/Policy Costs (Financial)</t>
  </si>
  <si>
    <t>Return on Investment</t>
  </si>
  <si>
    <t>Excess Absenteeism Costs: After 15 Years</t>
  </si>
  <si>
    <t>Baseline Absenteeism Costs:
Years 6-15</t>
  </si>
  <si>
    <t>Intervention Absenteeism Costs:
Years 6-15</t>
  </si>
  <si>
    <t>Savings in Excess Absenteeism Costs:
Years 6-16</t>
  </si>
  <si>
    <t>Baseline Absenteeism Costs:
After 15 Years</t>
  </si>
  <si>
    <t>Intervention Absenteeism Costs:
After 15 Years</t>
  </si>
  <si>
    <t>Savings in Excess Absenteeism Costs:
After 15 Years</t>
  </si>
  <si>
    <t>Excess Presenteeism Costs: First 5 Years</t>
  </si>
  <si>
    <t>Excess Presenteeism Costs: Years 6-15</t>
  </si>
  <si>
    <t>Excess Presenteeism Costs: After 15 Years</t>
  </si>
  <si>
    <t>Baseline Presenteeism Costs:
First 5 Years</t>
  </si>
  <si>
    <t>Intervention Presenteeism Costs:
First 5 Years</t>
  </si>
  <si>
    <t>Savings in Excess Presenteeism Costs:
First 5 Years</t>
  </si>
  <si>
    <t>Baseline Presenteeism Costs:
Years 6-15</t>
  </si>
  <si>
    <t>Intervention Presenteeism Costs:
Years 6-15</t>
  </si>
  <si>
    <t>Savings in Excess Presenteeism Costs:
Years 6-16</t>
  </si>
  <si>
    <t>Baseline Presenteeism Costs:
After 15 Years</t>
  </si>
  <si>
    <t>Intervention Presenteeism Costs:
After 15 Years</t>
  </si>
  <si>
    <t>Savings in Excess Presenteeism Costs:
After 15 Years</t>
  </si>
  <si>
    <t>Smoking Breaks, Costs: Years 6-15</t>
  </si>
  <si>
    <t>Smoking Breaks, Costs: First 5 Years</t>
  </si>
  <si>
    <t>Smoking Breaks, Costs: After 15 Years</t>
  </si>
  <si>
    <t>Baseline Smoking Breaks, Costs:
First 5 Years</t>
  </si>
  <si>
    <t>Intervention Smoking Breaks, Costs:
First 5 Years</t>
  </si>
  <si>
    <t>Savings in Excess Smoking Breaks, Costs:
First 5 Years</t>
  </si>
  <si>
    <t>Baseline Smoking Breaks, Costs:
Years 6-15</t>
  </si>
  <si>
    <t>Intervention Smoking Breaks, Costs:
Years 6-15</t>
  </si>
  <si>
    <t>Savings in Smoking Breaks, Costs:
Years 6-16</t>
  </si>
  <si>
    <t>Baseline Smoking Breaks, Costs:
After 15 Years</t>
  </si>
  <si>
    <t>Intervention Smoking Breaks, Costs:
After 15 Years</t>
  </si>
  <si>
    <t>Savings in Smoking Breaks, Costs:
After 15 Years</t>
  </si>
  <si>
    <t>http://www.euro.who.int/__data/assets/pdf_file/0020/337430/Tobacco-Control-Fact-Sheet-Georgia.pdf</t>
  </si>
  <si>
    <t>Intervention Impacts</t>
  </si>
  <si>
    <t>Relative change in smoking prevalence above based on estimates reported in the WHO Fact Sheet for Georgia</t>
  </si>
  <si>
    <t>"Tobacco Control Fact Sheet: Georgia. Health Impact of Tobacco Control Policies in Line with the WHO Framework Convention on Tobacco Control (WHO FCTC)"</t>
  </si>
  <si>
    <t>Impacts for Tobacco Interventions/Policies in Georgia</t>
  </si>
  <si>
    <t>Combined Effect Ratio</t>
  </si>
  <si>
    <t>Relative Change in Smoking Prevalence: All Four Interventions Combined</t>
  </si>
  <si>
    <t>All Interventions Combined</t>
  </si>
  <si>
    <t>Relative Change in Smoking Prevalence: First 5 Years</t>
  </si>
  <si>
    <t>Relative Change in Smoking Prevalence: Years 6-15</t>
  </si>
  <si>
    <t>Relative Change in Smoking Prevalence: 15 Years</t>
  </si>
  <si>
    <t>Relative Change in Smoking Prevalence:
Increase Cigarette Taxes</t>
  </si>
  <si>
    <t>The text box below includes information on the WHO Costing Tool (copied directly from the WHO Costing Tool excel file)</t>
  </si>
  <si>
    <t>Financial Cost of Implementing Tobacco Control Interventions/Policies by Year</t>
  </si>
  <si>
    <t>Financial Costs of Implementing Tobacco Interventions/Policies</t>
  </si>
  <si>
    <t>Diseases</t>
  </si>
  <si>
    <t>Notes</t>
  </si>
  <si>
    <t>Aortic Aneurysm</t>
  </si>
  <si>
    <t>Asthma</t>
  </si>
  <si>
    <t>Atrial Fibrillation And Flutter</t>
  </si>
  <si>
    <t>Bladder Cancer</t>
  </si>
  <si>
    <t>Cervical Cancer</t>
  </si>
  <si>
    <t>Chronic Obstructive Pulmonary Disease</t>
  </si>
  <si>
    <t>Colon And Rectum Cancer</t>
  </si>
  <si>
    <t>Diabetes Mellitus</t>
  </si>
  <si>
    <t>Esophageal Cancer</t>
  </si>
  <si>
    <t>Hemorrhagic Stroke</t>
  </si>
  <si>
    <t>Hypertensive Heart Disease</t>
  </si>
  <si>
    <t>Ischemic Heart Disease</t>
  </si>
  <si>
    <t>Ischemic Stroke</t>
  </si>
  <si>
    <t>Kidney Cancer</t>
  </si>
  <si>
    <t>Larynx Cancer</t>
  </si>
  <si>
    <t>Leukemia</t>
  </si>
  <si>
    <t>Lip And Oral Cavity Cancer</t>
  </si>
  <si>
    <t>Liver Cancer</t>
  </si>
  <si>
    <t>Lower Respiratory Infections</t>
  </si>
  <si>
    <t>Nasopharynx Cancer</t>
  </si>
  <si>
    <t>Other Chronic Respiratory Diseases</t>
  </si>
  <si>
    <t>Pancreatic Cancer</t>
  </si>
  <si>
    <t>Peptic Ulcer Disease</t>
  </si>
  <si>
    <t>Peripheral Artery Disease</t>
  </si>
  <si>
    <t>Rheumatoid Arthritis</t>
  </si>
  <si>
    <t>Stomach Cancer</t>
  </si>
  <si>
    <t>Tracheal, Bronchus, And Lung Cancer</t>
  </si>
  <si>
    <t>Tuberculosis</t>
  </si>
  <si>
    <t>Age at Death</t>
  </si>
  <si>
    <t>Ages 30 and older</t>
  </si>
  <si>
    <t>Increase Cigarette Taxes</t>
  </si>
  <si>
    <t>Total Private (Out-of-Pocket) Healthcare Expenditures:
Base Scenario</t>
  </si>
  <si>
    <t>Total Healthcare Costs:
Baseline Scenario
First 5 Years</t>
  </si>
  <si>
    <t>Smoking-Attributable Total Healthcare Costs:
Baseline Scenario
First 5 Years</t>
  </si>
  <si>
    <t>Smoking-Attributable Total Healthcare Costs:
Intervention Scenario
First 5 Years</t>
  </si>
  <si>
    <t>Savings in Smoking-Attributable Total Healthcare Costs:
(Baseline Scenario - Intervention Scenario)
First 5 Years</t>
  </si>
  <si>
    <t>Total Healthcare Costs:
Baseline Scenario
Years 6-15</t>
  </si>
  <si>
    <t>Smoking-Attributable Total Healthcare Costs:
Baseline Scenario
Years 6-15</t>
  </si>
  <si>
    <t>Smoking-Attributable Total Healthcare Costs:
Intervention Scenario
Years 6-15</t>
  </si>
  <si>
    <t>Savings in Smoking-Attributable Total Healthcare Costs:
(Baseline Scenario - Intervention Scenario)
Years 6-15</t>
  </si>
  <si>
    <t>Total Healthcare Costs:
Baseline Scenario
After 15 Years</t>
  </si>
  <si>
    <t>Smoking-Attributable Total Healthcare Costs:
Baseline Scenario
After 15 Years</t>
  </si>
  <si>
    <t>Smoking-Attributable Total Healthcare Costs:
Intervention Scenario
After 15 Years</t>
  </si>
  <si>
    <t>Savings in Smoking-Attributable Total Healthcare Costs:
(Baseline Scenario - Intervention Scenario)
After 15 Years</t>
  </si>
  <si>
    <t>Private (Out-of-Pocket) Healthcare Costs: First 5 Years</t>
  </si>
  <si>
    <t>Private (Out-of-Pocket) Healthcare Costs: Years 6-15</t>
  </si>
  <si>
    <t>Private (Out-of-Pocket) Healthcare Costs: After 15 Years</t>
  </si>
  <si>
    <t>Government Healthcare Costs:
Baseline Scenario
First 5 Years</t>
  </si>
  <si>
    <t>Smoking-Attributable Government Healthcare Costs:
Baseline Scenario
First 5 Years</t>
  </si>
  <si>
    <t>Smoking-Attributable Government Healthcare Costs:
Intervention Scenario
First 5 Years</t>
  </si>
  <si>
    <t>Savings in Smoking-Attributable Government Healthcare Costs:
(Baseline Scenario - Intervention Scenario)
First 5 Years</t>
  </si>
  <si>
    <t>Government Healthcare Costs:
Baseline Scenario
Years 6-15</t>
  </si>
  <si>
    <t>Smoking-Attributable Government Healthcare Costs:
Baseline Scenario
Years 6-15</t>
  </si>
  <si>
    <t>Smoking-Attributable Government Healthcare Costs:
Intervention Scenario
Years 6-15</t>
  </si>
  <si>
    <t>Savings in Smoking-Attributable Government Healthcare Costs:
(Baseline Scenario - Intervention Scenario)
Years 6-15</t>
  </si>
  <si>
    <t>Government Healthcare Costs:
Baseline Scenario
After 15 Years</t>
  </si>
  <si>
    <t>Smoking-Attributable Government Healthcare Costs:
Baseline Scenario
After 15 Years</t>
  </si>
  <si>
    <t>Smoking-Attributable Government Healthcare Costs:
Intervention Scenario
After 15 Years</t>
  </si>
  <si>
    <t>Savings in Smoking-Attributable Government Healthcare Costs:
(Baseline Scenario - Intervention Scenario)
After 15 Years</t>
  </si>
  <si>
    <t>Private (Out-of-Pocket) Healthcare Costs:
Baseline Scenario
First 5 Years</t>
  </si>
  <si>
    <t>Smoking-Attributable Private (Out-of-Pocket) Healthcare Costs:
Baseline Scenario
First 5 Years</t>
  </si>
  <si>
    <t>Smoking-Attributable Private (Out-of-Pocket) Healthcare Costs:
Intervention Scenario
First 5 Years</t>
  </si>
  <si>
    <t>Savings in Smoking-Attributable Private (Out-of-Pocket) Healthcare Costs:
(Baseline Scenario - Intervention Scenario)
First 5 Years</t>
  </si>
  <si>
    <t>Private (Out-of-Pocket) Healthcare Costs:
Baseline Scenario
Years 6-15</t>
  </si>
  <si>
    <t>Smoking-Attributable Private (Out-of-Pocket) Healthcare Costs:
Baseline Scenario
Years 6-15</t>
  </si>
  <si>
    <t>Smoking-Attributable Private (Out-of-Pocket) Healthcare Costs:
Intervention Scenario
Years 6-15</t>
  </si>
  <si>
    <t>Savings in Smoking-Attributable Private (Out-of-Pocket) Healthcare Costs:
(Baseline Scenario - Intervention Scenario)
Years 6-15</t>
  </si>
  <si>
    <t>Private (Out-of-Pocket) Healthcare Costs:
Baseline Scenario
After 15 Years</t>
  </si>
  <si>
    <t>Smoking-Attributable Private (Out-of-Pocket) Healthcare Costs:
Baseline Scenario
After 15 Years</t>
  </si>
  <si>
    <t>Smoking-Attributable Private (Out-of-Pocket) Healthcare Costs:
Intervention Scenario
After 15 Years</t>
  </si>
  <si>
    <t>Savings in Smoking-Attributable Private (Out-of-Pocket) Healthcare Costs:
(Baseline Scenario - Intervention Scenario)
After 15 Years</t>
  </si>
  <si>
    <t>Intervention Impacts: Increase Cigarette Taxes</t>
  </si>
  <si>
    <t>Workplace Costs</t>
  </si>
  <si>
    <t>Total Economic Cost</t>
  </si>
  <si>
    <t>Direct Cost</t>
  </si>
  <si>
    <t>Indirect Cost</t>
  </si>
  <si>
    <t>Total Cost (Direct + Indirect)</t>
  </si>
  <si>
    <t>Years 6-10</t>
  </si>
  <si>
    <t>After 15 Years</t>
  </si>
  <si>
    <t>Base Scenario</t>
  </si>
  <si>
    <t>Relative Reduction in Smoking Prevalence</t>
  </si>
  <si>
    <t>Total Economic Cost as a Percentage of GDP</t>
  </si>
  <si>
    <t>Smoking-Attributable Healthcare Cost:
Total</t>
  </si>
  <si>
    <t>Smoking-Attributable Healthcare Cost:
Government</t>
  </si>
  <si>
    <t>Smoking-Attributable Healthcare Cost:
Private (Out-of-Pocket)</t>
  </si>
  <si>
    <t>Cost of Excess Absenteeism</t>
  </si>
  <si>
    <t>Cost of Presenteeism</t>
  </si>
  <si>
    <t>Cost of Smoking Breaks</t>
  </si>
  <si>
    <t>Gross Domestic Product (GDP)</t>
  </si>
  <si>
    <t>Total Economic Costs = Direct Costs + Indirect Costs</t>
  </si>
  <si>
    <t>Direct Costs:</t>
  </si>
  <si>
    <t>Healthcare Costs</t>
  </si>
  <si>
    <t>Indirect Costs:</t>
  </si>
  <si>
    <t>Costs of Premature Mortality Due to Tobacco Use; Workplace Smoking Costs</t>
  </si>
  <si>
    <t>Total Economic Cost of Tobacco Use</t>
  </si>
  <si>
    <t>Total Economic Cost of Tobacco Use: All Interventions Combined</t>
  </si>
  <si>
    <t>N/A</t>
  </si>
  <si>
    <t>Indirect Cost
(Absenteeism + Presenteeism + Smoking Breaks)</t>
  </si>
  <si>
    <t>Total Economic Cost of Tobacco Use: Base Scenario</t>
  </si>
  <si>
    <t>Cost Savings:
Absenteeism</t>
  </si>
  <si>
    <t>Cost Savings:
Presenteeism</t>
  </si>
  <si>
    <t>Cost Savings:
Smoking Breaks</t>
  </si>
  <si>
    <t>Cost Savings:
Workplace</t>
  </si>
  <si>
    <t>Cost Savings:
Smoking-Attributable Total Healthcare Expenditures</t>
  </si>
  <si>
    <t>Cost Savings:
Smoking-Attributable Government Healthcare Expenditures
(including national insurance)</t>
  </si>
  <si>
    <t>Cost Savings:
Smoking-Attributable Private Healthcare Expenditures</t>
  </si>
  <si>
    <t>Cost Savings: Cost of Premature Mortality Caused by Tobacco Smoke
(Per Capita GDP Approach)</t>
  </si>
  <si>
    <t>Total Economic Cost of Tobacco Use: Increase Cigarette Taxes</t>
  </si>
  <si>
    <t>Total Economic Cost of Tobacco Use: Smoke-Free Air Laws</t>
  </si>
  <si>
    <t>Total Economic Cost of Tobacco Use: Enforce Marketing Restrictions</t>
  </si>
  <si>
    <t>Total Economic Cost of Tobacco Use: Cigarette Package Warnings</t>
  </si>
  <si>
    <t>Increase Tobacco Taxes</t>
  </si>
  <si>
    <t>Intervention Financial Costs (GEL)</t>
  </si>
  <si>
    <t>Return on Investment (ROI):
Deaths Averted Per 1k GEL</t>
  </si>
  <si>
    <t>Return on Investment (ROI)</t>
  </si>
  <si>
    <t>Return on Investment (ROI): Lower Bound</t>
  </si>
  <si>
    <t>Return on Investment (ROI): Upper Bound</t>
  </si>
  <si>
    <t>Smoking-Attributable Fraction (SAF) for Georgia:
Lower Bound</t>
  </si>
  <si>
    <t>Smoking-Attributable Fraction (SAF) for Georgia:
Upper Bound</t>
  </si>
  <si>
    <t>Smoking-Attributable Fraction (SAF) for Georgia: Upper Bound</t>
  </si>
  <si>
    <t>Smoking-Attributable Fraction (SAF) of Healthcare Expenditures: Upper Bound
Base Scenario</t>
  </si>
  <si>
    <t>Smoking-Attributable Fraction (SAF) of Healthcare Expenditures: Lower Bound
Base Scenario</t>
  </si>
  <si>
    <t>Smoking-Attributable Fraction (SAF) for Georgia</t>
  </si>
  <si>
    <t>Parameter</t>
  </si>
  <si>
    <t>Value</t>
  </si>
  <si>
    <t>Smoking-Attributable Fraction (SAF) for Georgia: Lower Bound</t>
  </si>
  <si>
    <t>Smoking-Attributable Expenditures</t>
  </si>
  <si>
    <t>Smoking-Attributable Expenditures: Lower Bound</t>
  </si>
  <si>
    <t>Smoking-Attributable Expenditures: Upper Bound</t>
  </si>
  <si>
    <t>Smoking-Attributable Fraction (SAF) of Healthcare Expenditures
Base Scenario</t>
  </si>
  <si>
    <t>Smoking-Attributable Total Healthcare Expenditures: Lower Bound
Base Scenario</t>
  </si>
  <si>
    <t>Smoking-Attributable Total Healthcare Expenditures: Upper Bound
Base Scenario</t>
  </si>
  <si>
    <t>Smoking-Attributable Government Healthcare Expenditures
(including national insurance): Lower Bound
Base Scenario</t>
  </si>
  <si>
    <t>Smoking-Attributable Government Healthcare Expenditures
(including national insurance): Upper Bound
Base Scenario</t>
  </si>
  <si>
    <t>Smoking-Attributable Private Healthcare Expenditures: Lower Bound
Base Scenario</t>
  </si>
  <si>
    <t>Smoking-Attributable Private Healthcare Expenditures: Upper Bound
Base Scenario</t>
  </si>
  <si>
    <t>Smoking-Attributable Other Health Expenditures: Lower Bound
Base Scenario</t>
  </si>
  <si>
    <t>Smoking-Attributable Other Health Expenditures: Upper Bound
Base Scenario</t>
  </si>
  <si>
    <t>Smoking-Attributable Fraction (SAF) of Healthcare Expenditures: Lower Bound
Adjusted for Intervention Impacts</t>
  </si>
  <si>
    <t>Smoking-Attributable Fraction (SAF) of Healthcare Expenditures: Upper Bound
Adjusted for Intervention Impacts</t>
  </si>
  <si>
    <t>Smoking-Attributable Total Healthcare Expenditures: Lower Bound
Intervention Scenario</t>
  </si>
  <si>
    <t>Smoking-Attributable Total Healthcare Expenditures: Upper Bound
Intervention Scenario</t>
  </si>
  <si>
    <t>Smoking-Attributable Government Healthcare Expenditures
(including national insurance): Lower Bound
Intervention Scenario</t>
  </si>
  <si>
    <t>Smoking-Attributable Government Healthcare Expenditures
(including national insurance): Upper Bound
Intervention Scenario</t>
  </si>
  <si>
    <t>Smoking-Attributable Private Healthcare Expenditures: Lower Bound
Intervention Scenario</t>
  </si>
  <si>
    <t>Smoking-Attributable Private Healthcare Expenditures: Upper Bound
Intervention Scenario</t>
  </si>
  <si>
    <t>Smoking-Attributable Other Health Expenditures: Lower Bound
Intervention Scenario</t>
  </si>
  <si>
    <t>Smoking-Attributable Other Health Expenditures: Upper Bound
Intervention Scenario</t>
  </si>
  <si>
    <t>Savings in Smoking-Attributable Total Healthcare Expenditures: Lower Bound
Intervention Scenario</t>
  </si>
  <si>
    <t>Savings in Smoking-Attributable Total Healthcare Expenditures: Upper Bound
Intervention Scenario</t>
  </si>
  <si>
    <t>Savings in Smoking-Attributable Government Healthcare Expenditures
(including national insurance): Lower Bound
Intervention Scenario</t>
  </si>
  <si>
    <t>Savings in Smoking-Attributable Government Healthcare Expenditures
(including national insurance): Upper Bound
Intervention Scenario</t>
  </si>
  <si>
    <t>Savings in Smoking-Attributable Private Healthcare Expenditures: Lower Bound
Intervention Scenario</t>
  </si>
  <si>
    <t>Savings in Smoking-Attributable Private Healthcare Expenditures: Upper Bound
Intervention Scenario</t>
  </si>
  <si>
    <t>Savings in Smoking-Attributable Other Health Expenditures: Lower Bound
Intervention Scenario</t>
  </si>
  <si>
    <t>Savings in Smoking-Attributable Other Health Expenditures: Upper Bound
Intervention Scenario</t>
  </si>
  <si>
    <t>Smoking-Attributable Total Healthcare Costs: Lower Bound
Baseline Scenario
First 5 Years</t>
  </si>
  <si>
    <t>Smoking-Attributable Total Healthcare Costs: Upper Bound
Baseline Scenario
First 5 Years</t>
  </si>
  <si>
    <t>Savings in Smoking-Attributable Total Healthcare Costs: Lower Bound
(Baseline Scenario - Intervention Scenario)
First 5 Years</t>
  </si>
  <si>
    <t>Savings in Smoking-Attributable Total Healthcare Costs: Upper Bound
(Baseline Scenario - Intervention Scenario)
First 5 Years</t>
  </si>
  <si>
    <t>Smoking-Attributable Total Healthcare Costs: Lower Bound
Intervention Scenario
First 5 Years</t>
  </si>
  <si>
    <t>Smoking-Attributable Total Healthcare Costs: Upper Bound
Intervention Scenario
First 5 Years</t>
  </si>
  <si>
    <t>Smoking-Attributable Total Healthcare Costs: Lower Bound
Baseline Scenario
Years 6-15</t>
  </si>
  <si>
    <t>Smoking-Attributable Total Healthcare Costs: Upper Bound
Baseline Scenario
Years 6-15</t>
  </si>
  <si>
    <t>Smoking-Attributable Total Healthcare Costs: Lower Bound
Intervention Scenario
Years 6-15</t>
  </si>
  <si>
    <t>Smoking-Attributable Total Healthcare Costs: Upper Bound
Intervention Scenario
Years 6-15</t>
  </si>
  <si>
    <t>Savings in Smoking-Attributable Total Healthcare Costs: Lower Bound
(Baseline Scenario - Intervention Scenario)
Years 6-15</t>
  </si>
  <si>
    <t>Savings in Smoking-Attributable Total Healthcare Costs: Upper Bound
(Baseline Scenario - Intervention Scenario)
Years 6-15</t>
  </si>
  <si>
    <t>Smoking-Attributable Total Healthcare Costs: Lower Bound
Baseline Scenario
After 15 Years</t>
  </si>
  <si>
    <t>Smoking-Attributable Total Healthcare Costs: Upper Bound
Baseline Scenario
After 15 Years</t>
  </si>
  <si>
    <t>Smoking-Attributable Total Healthcare Costs: Lower Bound
Intervention Scenario
After 15 Years</t>
  </si>
  <si>
    <t>Smoking-Attributable Total Healthcare Costs: Upper Bound
Intervention Scenario
After 15 Years</t>
  </si>
  <si>
    <t>Savings in Smoking-Attributable Total Healthcare Costs: Lower Bound
(Baseline Scenario - Intervention Scenario)
After 15 Years</t>
  </si>
  <si>
    <t>Savings in Smoking-Attributable Total Healthcare Costs: Upper Bound
(Baseline Scenario - Intervention Scenario)
After 15 Years</t>
  </si>
  <si>
    <t>Smoking-Attributable Government Healthcare Costs: Lower Bound
Baseline Scenario
First 5 Years</t>
  </si>
  <si>
    <t>Smoking-Attributable Government Healthcare Costs: Upper Bound
Baseline Scenario
First 5 Years</t>
  </si>
  <si>
    <t>Smoking-Attributable Government Healthcare Costs: Lower Bound
Intervention Scenario
First 5 Years</t>
  </si>
  <si>
    <t>Smoking-Attributable Government Healthcare Costs: Upper Bound
Intervention Scenario
First 5 Years</t>
  </si>
  <si>
    <t>Savings in Smoking-Attributable Government Healthcare Costs: Lower Bound
(Baseline Scenario - Intervention Scenario)
First 5 Years</t>
  </si>
  <si>
    <t>Savings in Smoking-Attributable Government Healthcare Costs: Upper Bound
(Baseline Scenario - Intervention Scenario)
First 5 Years</t>
  </si>
  <si>
    <t>Smoking-Attributable Government Healthcare Costs: Lower Bound
Baseline Scenario
After 15 Years</t>
  </si>
  <si>
    <t>Smoking-Attributable Government Healthcare Costs: Upper Bound
Baseline Scenario
After 15 Years</t>
  </si>
  <si>
    <t>Smoking-Attributable Government Healthcare Costs: Lower Bound
Intervention Scenario
After 15 Years</t>
  </si>
  <si>
    <t>Smoking-Attributable Government Healthcare Costs: Upper Bound
Intervention Scenario
After 15 Years</t>
  </si>
  <si>
    <t>Savings in Smoking-Attributable Government Healthcare Costs: Lower Bound
(Baseline Scenario - Intervention Scenario)
After 15 Years</t>
  </si>
  <si>
    <t>Savings in Smoking-Attributable Government Healthcare Costs: Upper Bound
(Baseline Scenario - Intervention Scenario)
After 15 Years</t>
  </si>
  <si>
    <t>Smoking-Attributable Government Healthcare Costs: Lower Bound
Baseline Scenario
Years 6-15</t>
  </si>
  <si>
    <t>Smoking-Attributable Government Healthcare Costs: Upper Bound
Baseline Scenario
Years 6-15</t>
  </si>
  <si>
    <t>Smoking-Attributable Government Healthcare Costs: Lower Bound
Intervention Scenario
Years 6-15</t>
  </si>
  <si>
    <t>Smoking-Attributable Government Healthcare Costs: Upper Bound
Intervention Scenario
Years 6-15</t>
  </si>
  <si>
    <t>Savings in Smoking-Attributable Government Healthcare Costs: Lower Bound
(Baseline Scenario - Intervention Scenario)
Years 6-15</t>
  </si>
  <si>
    <t>Savings in Smoking-Attributable Government Healthcare Costs: Upper Bound
(Baseline Scenario - Intervention Scenario)
Years 6-15</t>
  </si>
  <si>
    <t>Smoking-Attributable Private (Out-of-Pocket) Healthcare Costs: Lower Bound
Baseline Scenario
First 5 Years</t>
  </si>
  <si>
    <t>Smoking-Attributable Private (Out-of-Pocket) Healthcare Costs: Upper Bound
Baseline Scenario
First 5 Years</t>
  </si>
  <si>
    <t>Smoking-Attributable Private (Out-of-Pocket) Healthcare Costs: Lower Bound
Intervention Scenario
First 5 Years</t>
  </si>
  <si>
    <t>Smoking-Attributable Private (Out-of-Pocket) Healthcare Costs: Upper Bound
Intervention Scenario
First 5 Years</t>
  </si>
  <si>
    <t>Savings in Smoking-Attributable Private (Out-of-Pocket) Healthcare Costs: Lower Bound
(Baseline Scenario - Intervention Scenario)
First 5 Years</t>
  </si>
  <si>
    <t>Savings in Smoking-Attributable Private (Out-of-Pocket) Healthcare Costs: Upper Bound
(Baseline Scenario - Intervention Scenario)
First 5 Years</t>
  </si>
  <si>
    <t>Smoking-Attributable Private (Out-of-Pocket) Healthcare Costs: Lower Bound
Baseline Scenario
Years 6-15</t>
  </si>
  <si>
    <t>Smoking-Attributable Private (Out-of-Pocket) Healthcare Costs: Upper Bound
Baseline Scenario
Years 6-15</t>
  </si>
  <si>
    <t>Smoking-Attributable Private (Out-of-Pocket) Healthcare Costs: Lower Bound
Intervention Scenario
Years 6-15</t>
  </si>
  <si>
    <t>Smoking-Attributable Private (Out-of-Pocket) Healthcare Costs: Upper Bound
Intervention Scenario
Years 6-15</t>
  </si>
  <si>
    <t>Savings in Smoking-Attributable Private (Out-of-Pocket) Healthcare Costs: Lower Bound
(Baseline Scenario - Intervention Scenario)
Years 6-15</t>
  </si>
  <si>
    <t>Savings in Smoking-Attributable Private (Out-of-Pocket) Healthcare Costs: Upper Bound
(Baseline Scenario - Intervention Scenario)
Years 6-15</t>
  </si>
  <si>
    <t>Smoking-Attributable Private (Out-of-Pocket) Healthcare Costs: Lower Bound
Baseline Scenario
After 15 Years</t>
  </si>
  <si>
    <t>Smoking-Attributable Private (Out-of-Pocket) Healthcare Costs: Upper Bound
Baseline Scenario
After 15 Years</t>
  </si>
  <si>
    <t>Smoking-Attributable Private (Out-of-Pocket) Healthcare Costs: Lower Bound
Intervention Scenario
After 15 Years</t>
  </si>
  <si>
    <t>Smoking-Attributable Private (Out-of-Pocket) Healthcare Costs: Upper Bound
Intervention Scenario
After 15 Years</t>
  </si>
  <si>
    <t>Savings in Smoking-Attributable Private (Out-of-Pocket) Healthcare Costs: Lower Bound
(Baseline Scenario - Intervention Scenario)
After 15 Years</t>
  </si>
  <si>
    <t>Savings in Smoking-Attributable Private (Out-of-Pocket) Healthcare Costs: Upper Bound
(Baseline Scenario - Intervention Scenario)
After 15 Years</t>
  </si>
  <si>
    <t>Smoking-Attributable Healthcare Cost:
Total (Lower Bound)</t>
  </si>
  <si>
    <t>Smoking-Attributable Healthcare Cost:
Total (Upper Bound)</t>
  </si>
  <si>
    <t>Smoking-Attributable Healthcare Cost:
Government (Lower Bound)</t>
  </si>
  <si>
    <t>Smoking-Attributable Healthcare Cost:
Government (Upper Bound)</t>
  </si>
  <si>
    <t>Total Economic Cost: Lower Bound</t>
  </si>
  <si>
    <t>Total Economic Cost: Upper Bound</t>
  </si>
  <si>
    <t>Total Economic Cost as a Percentage of GDP (Lower Bound)</t>
  </si>
  <si>
    <t>Total Economic Cost as a Percentage of GDP (Upper Bound)</t>
  </si>
  <si>
    <t>Smoking-Attributable Healthcare Cost:
Private (Out-of-Pocket) - Lower Bound</t>
  </si>
  <si>
    <t>Smoking-Attributable Healthcare Cost:
Private (Out-of-Pocket) - Upper Bound</t>
  </si>
  <si>
    <t>Smoking-Attributable Healthcare Cost:
Intervention Scenario
Total</t>
  </si>
  <si>
    <t>Smoking-Attributable Healthcare Cost:
Intervention Scenario
Total (Lower Bound)</t>
  </si>
  <si>
    <t>Smoking-Attributable Healthcare Cost:
(Intervention Scenario)
Government</t>
  </si>
  <si>
    <t>Smoking-Attributable Healthcare Cost:
(Intervention Scenario)
Government (Lower Bound)</t>
  </si>
  <si>
    <t>Smoking-Attributable Healthcare Cost:
Intervention Scenario
Total (Upper Bound)</t>
  </si>
  <si>
    <t>Smoking-Attributable Healthcare Cost:
(Intervention Scenario)
Government (Upper Bound)</t>
  </si>
  <si>
    <t>Smoking-Attributable Healthcare Cost:
(Intervention Scenario)
Private (Out-of-Pocket)</t>
  </si>
  <si>
    <t>Smoking-Attributable Healthcare Cost:
(Intervention Scenario)
Private (Out-of-Pocket) - Lower Bound</t>
  </si>
  <si>
    <t>Smoking-Attributable Healthcare Cost:
(Intervention Scenario)
Private (Out-of-Pocket) - Upper Bound</t>
  </si>
  <si>
    <t>Total Economic Cost as a Percentage of GDP
(Intervention Scenario)</t>
  </si>
  <si>
    <t>Total Economic Cost
(Intervention Scenario)</t>
  </si>
  <si>
    <t>Total Economic Cost
(Intervention Scenario) - Lower Bound</t>
  </si>
  <si>
    <t>Total Economic Cost
(Intervention Scenario) - Upper Bound</t>
  </si>
  <si>
    <t>Total Economic Cost as a Percentage of GDP
(Intervention Scenario) - Lower Bound</t>
  </si>
  <si>
    <t>Total Economic Cost as a Percentage of GDP
(Intervention Scenario) - Upper Bound</t>
  </si>
  <si>
    <t>Cost Savings:
Smoking-Attributable Total Healthcare Expenditures (Lower Bound)</t>
  </si>
  <si>
    <t>Cost Savings:
Smoking-Attributable Total Healthcare Expenditures (Upper Bound)</t>
  </si>
  <si>
    <t>Cost Savings:
Smoking-Attributable Government Healthcare Expenditures
(including national insurance) - Lower Bound</t>
  </si>
  <si>
    <t>Cost Savings:
Smoking-Attributable Government Healthcare Expenditures
(including national insurance) - Upper Bound</t>
  </si>
  <si>
    <t>Cost Savings:
Smoking-Attributable Private Healthcare Expenditures (Lower Bound)</t>
  </si>
  <si>
    <t>Cost Savings:
Smoking-Attributable Private Healthcare Expenditures (Upper Bound)</t>
  </si>
  <si>
    <t>Cost Savings:
Total (Lower Bound)</t>
  </si>
  <si>
    <t>Cost Savings:
Total (Upper Bound)</t>
  </si>
  <si>
    <t>Cost Savings: Cost of Premature Mortality Caused by Tobacco Smoke
(Per Capita GDP Approach) - Lower Bound</t>
  </si>
  <si>
    <t>Cost Savings: Cost of Premature Mortality Caused by Tobacco Smoke
(Per Capita GDP Approach) - Upper Bound</t>
  </si>
  <si>
    <t>Smoking Breaks (Costs) - Intervention Scenario:
Females</t>
  </si>
  <si>
    <t>Smoking Breaks (Costs) - Intervention Scenario:
Total</t>
  </si>
  <si>
    <t>Risk Factor</t>
  </si>
  <si>
    <t>Period</t>
  </si>
  <si>
    <t>Tobacco</t>
  </si>
  <si>
    <t>Years 1-5</t>
  </si>
  <si>
    <t>Number of Risk-Factor Attributable Deaths
(Base Scenario)</t>
  </si>
  <si>
    <t>Number of Risk Factor Attributable Deaths:
Lower Bound
(Base Scenario)</t>
  </si>
  <si>
    <t>Number of Risk Factor Attributable Deaths:
Upper Bound
(Base Scenario)</t>
  </si>
  <si>
    <t>Relative Change in Smoking Prevalence
(Intervention Scenario)</t>
  </si>
  <si>
    <t>Number of Risk Factor Attributable Deaths
(Intervention Scenario)</t>
  </si>
  <si>
    <t>Number of Risk Factor Attributable Deaths:
Lower Bound
(Intervention Scenario)</t>
  </si>
  <si>
    <t>Number of Risk Factor Attributable Deaths:
Upper Bound
(Intervention Scenario)</t>
  </si>
  <si>
    <t>Number of Risk Factor Attribtuable Deaths Averted</t>
  </si>
  <si>
    <t>Number of Risk Factor Attribtuable Deaths Averted:
Lower Bound</t>
  </si>
  <si>
    <t>Number of Risk Factor Attribtuable Deaths Averted:
Upper Bound</t>
  </si>
  <si>
    <t>Smoking</t>
  </si>
  <si>
    <t>Secondhand Smoke</t>
  </si>
  <si>
    <t>Yes</t>
  </si>
  <si>
    <t>ICD-10 Codes</t>
  </si>
  <si>
    <t>Return on Investment (ROI):
Deaths Averted Per 1k GEL
(Lower Bound)</t>
  </si>
  <si>
    <t>Return on Investment (ROI):
Deaths Averted Per 1k GEL
(Upper Bound)</t>
  </si>
  <si>
    <t>Age</t>
  </si>
  <si>
    <t>Years 1-15</t>
  </si>
  <si>
    <t>Model Results: Annual Number of Risk-Factor Attributable Deaths</t>
  </si>
  <si>
    <t>1 to 5</t>
  </si>
  <si>
    <t>1 to 15</t>
  </si>
  <si>
    <t>6 to 15</t>
  </si>
  <si>
    <t>Number of Deaths Associated with Tobacco Use</t>
  </si>
  <si>
    <t>Disease ID</t>
  </si>
  <si>
    <t>Specific Diseases Included in the FCTC Investment Case Model</t>
  </si>
  <si>
    <t>Other Cardiovascular And Circulatory Disease</t>
  </si>
  <si>
    <t>Cataract</t>
  </si>
  <si>
    <t>Macular Degeneration</t>
  </si>
  <si>
    <t>I71</t>
  </si>
  <si>
    <t>J45-J46</t>
  </si>
  <si>
    <t>I48</t>
  </si>
  <si>
    <t>C67, D9, D30, D41, D49</t>
  </si>
  <si>
    <t>C53, D6, D26</t>
  </si>
  <si>
    <t>J40-J44, J47</t>
  </si>
  <si>
    <t>C18-C21, D1, D12-D12, D37</t>
  </si>
  <si>
    <t>E10-E14, P70, R73</t>
  </si>
  <si>
    <t>C15, D0, D13</t>
  </si>
  <si>
    <t>I60-I62, I67-I69</t>
  </si>
  <si>
    <t>I11-I11.9</t>
  </si>
  <si>
    <t>I20-I25</t>
  </si>
  <si>
    <t>G45-G46, I63, I65-I67, I69</t>
  </si>
  <si>
    <t>C64-C65, D30, D41</t>
  </si>
  <si>
    <t>C32, D2, D14, D38</t>
  </si>
  <si>
    <t>C91-C95</t>
  </si>
  <si>
    <t>C0-C8, D0, D10-D11, D37</t>
  </si>
  <si>
    <t>C22-C22.9, D13.4</t>
  </si>
  <si>
    <t>A48.1, A70, B97.4-B97.6, J09-J15.8, J16-J16.9, J20-J21.9, P23.0-P23.4, U04-U04.9</t>
  </si>
  <si>
    <t>C11, D00.08, D10.6, D37.05</t>
  </si>
  <si>
    <t>A39.5-A39.50, A39.53, I28-I28.8, I30-I31.1, I31.8-I32.8, I34-I37.9, I47-I47.9, I51.0-I51.3, I68.0, I72-I72.9, I77-I83.93, I86-I89.9, I91.9, I98</t>
  </si>
  <si>
    <t>G47.3-G47.39, J30-J35.9, J37-J39.9, J66-J68.9, J70-J70.1, J70.8-J70.9, J82, J91-J92, J92.9</t>
  </si>
  <si>
    <t>C25, D13.6-D13.7</t>
  </si>
  <si>
    <t>K25-K28.9, K31, K31.1-K31.6, K31.8, K31.82-K31.89</t>
  </si>
  <si>
    <t>I70, I73</t>
  </si>
  <si>
    <t>M05-M06.9, M08.0-M08.89</t>
  </si>
  <si>
    <t>C16, D00.2, D13.1, D37.1</t>
  </si>
  <si>
    <t>C33-C34, D02.1-D02.3, D14.2-D14.32, D38.1</t>
  </si>
  <si>
    <t>A10-A14, A15-A19.9, B90-B90.9, K67.3, K93.0, M49.0, P37.0</t>
  </si>
  <si>
    <t>Risk-Factor Attributable Years of Life Lost Due to Premature Mortality (YLL)
(Base Scenario)</t>
  </si>
  <si>
    <t>Risk Factor Attributable Years of Life Lost Due to Premature Mortality (YLL):
Lower Bound
(Base Scenario)</t>
  </si>
  <si>
    <t>Risk Factor Attributable Years of Life Lost Due to Premature Mortality (YLL):
Upper Bound
(Base Scenario)</t>
  </si>
  <si>
    <t>Risk Factor Attributable Years of Life Lost Due to Premature Mortality (YLL)
(Intervention Scenario)</t>
  </si>
  <si>
    <t>Risk Factor Attributable Years of Life Lost Due to Premature Mortality (YLL):
Lower Bound
(Intervention Scenario)</t>
  </si>
  <si>
    <t>Risk Factor Attributable Years of Life Lost Due to Premature Mortality (YLL):
Upper Bound
(Intervention Scenario)</t>
  </si>
  <si>
    <t>Years of Life Saved</t>
  </si>
  <si>
    <t>Years of Life Saved:
Lower Bound</t>
  </si>
  <si>
    <t>Years of Life Saved:
Upper Bound</t>
  </si>
  <si>
    <t>Return on Investment (ROI):
Life Years Saved Per 1k GEL</t>
  </si>
  <si>
    <t>Return on Investment (ROI):
Life Years Saved Per 1k GEL
(Lower Bound)</t>
  </si>
  <si>
    <t>Return on Investment (ROI):
Life Years Saved Per 1k GEL
(Upper Bound)</t>
  </si>
  <si>
    <t>Model Results: Annual Number of Risk Factor Attributable Years of Life Lost Due to Premature Mortality (YLL)</t>
  </si>
  <si>
    <t>Annual Total Years of Life Lost Due to Premature Mortality (YLL)</t>
  </si>
  <si>
    <t>Annual Number of Risk Factor Attributable Years of Life Lost Due to Premature Mortality (YLL)</t>
  </si>
  <si>
    <t>Model Results: Annual Number of Risk Factor Attributable Years of Life Lived with a Disability (YLD)</t>
  </si>
  <si>
    <t>Risk Factor Attributable Years of Life Lived with a Disability (YLD):
Lower Bound
(Base Scenario)</t>
  </si>
  <si>
    <t>Risk Factor Attributable Years of Life Lived with a Disability (YLD):
Upper Bound
(Base Scenario)</t>
  </si>
  <si>
    <t>Risk Factor Attributable Years of Life Lived with a Disability (YLD)
(Intervention Scenario)</t>
  </si>
  <si>
    <t>Risk Factor Attributable Years of Life Lived with a Disability (YLD):
Lower Bound
(Intervention Scenario)</t>
  </si>
  <si>
    <t>Risk Factor Attributable Years of Life Lived with a Disability (YLD):
Upper Bound
(Intervention Scenario)</t>
  </si>
  <si>
    <t>Annual Total Years of Life Lived with a Disability (YLD)</t>
  </si>
  <si>
    <t>Annual Number of Risk Factor Attributable Years of Life Lived with a Disability (YLD)</t>
  </si>
  <si>
    <t>Model Results: Total Risk Factor Attributable Years of Life Lived with a Disability (YLD) Over 15-Year Period</t>
  </si>
  <si>
    <t>Model Results: Annual Number of Risk Factor Attributable Disability-Adjusted Life Years (DALY)</t>
  </si>
  <si>
    <t>Risk-Factor Attributable Years of Life Lived with a Disability (YLD)
(Base Scenario)</t>
  </si>
  <si>
    <t>Risk-Factor Attributable Disability-Adjusted Life Years (DALY)
(Base Scenario)</t>
  </si>
  <si>
    <t>Risk Factor Attributable Disability-Adjusted Life Years (DALY):
Upper Bound
(Base Scenario)</t>
  </si>
  <si>
    <t>Risk Factor Attributable Disability-Adjusted Life Years (DALY)
(Intervention Scenario)</t>
  </si>
  <si>
    <t>Risk Factor Attributable Disability-Adjusted Life Years (DALY):
Lower Bound
(Intervention Scenario)</t>
  </si>
  <si>
    <t>Risk Factor Attributable Disability-Adjusted Life Years (DALY):
Upper Bound
(Intervention Scenario)</t>
  </si>
  <si>
    <t>Risk Factor Attributable Disability-Adjusted Life Years (DALY):
Lower Bound
(Base Scenario)</t>
  </si>
  <si>
    <t>Ages 30</t>
  </si>
  <si>
    <t>Annual Total Disability-Adjusted Life Years (DALY)</t>
  </si>
  <si>
    <t>Cost Savings</t>
  </si>
  <si>
    <t>Cost Savings:
Lower Bound</t>
  </si>
  <si>
    <t>Cost Savings:
Upper Bound</t>
  </si>
  <si>
    <t>Annual Cost of Risk Factor Attributable Premature Mortality</t>
  </si>
  <si>
    <t>Model Results: Annual Cost of Risk Factor Attributable Premature Mortality</t>
  </si>
  <si>
    <t>Cost of Risk-Factor Attributable Premature Mortality
(Base Scenario)</t>
  </si>
  <si>
    <t>Cost of Risk Factor Attributable Premature Mortality:
Lower Bound
(Base Scenario)</t>
  </si>
  <si>
    <t>Cost of Risk Factor Attributable Premature Mortality:
Upper Bound
(Base Scenario)</t>
  </si>
  <si>
    <t>Cost of Risk Factor Attributable Premature Mortality
(Intervention Scenario)</t>
  </si>
  <si>
    <t>Cost of Risk Factor Attributable Premature Mortality:
Lower Bound
(Intervention Scenario)</t>
  </si>
  <si>
    <t>Cost of Risk Factor Attributable Premature Mortality:
Upper Bound
(Intervention Scenario)</t>
  </si>
  <si>
    <t>Model Results: Total Cost of Risk Factor Attributable Premature Mortality Over a 15-Year Period</t>
  </si>
  <si>
    <t>Cost of Premature Mortality Associated with Tobacco Use</t>
  </si>
  <si>
    <t>Years of Life Lost Due to Premature Mortality (YLL) Associated with Tobacco Use</t>
  </si>
  <si>
    <t>Years of Life Lived with a Disability (YLD) Associated with Tobacco Use</t>
  </si>
  <si>
    <t>Disability-Adjusted Life Years (DALY) Associated with Tobacco Use</t>
  </si>
  <si>
    <t>Cost of Premature Mortality Associated with Tobacco Use: Lower Bound</t>
  </si>
  <si>
    <t>Cost of Premature Mortality Associated with Tobacco Use: Upper Bound</t>
  </si>
  <si>
    <t>Cost of Premature Mortality Associated with Tobacco Use (Lower Bound)</t>
  </si>
  <si>
    <t>Cost of Premature Mortality Associated with Tobacco Use (Upper Bound)</t>
  </si>
  <si>
    <t>Email communication from Mark Goodchild (10/30/2017)</t>
  </si>
  <si>
    <t>This is the median SAF for Georgia's neighboring countries: Armenia; Azerbaijan; Russia; Turkey.
Mark calculated this based on updated SAD estimates for these countries using WHO data.</t>
  </si>
  <si>
    <t>This is the SAF for Georgia based on updated SAD estimates for Georgia.</t>
  </si>
  <si>
    <t>This is based on Russia, which had the highest SAF of all of Georgia's neighboring countries in Goodchild et al. (2017).
Kazakhstan had the highest SAF of all countries at 13.7%</t>
  </si>
  <si>
    <t>Total Annual Number of Deaths from Diseases included in Model</t>
  </si>
  <si>
    <t>Measure Details</t>
  </si>
  <si>
    <t>Point Estimate</t>
  </si>
  <si>
    <t>Lower Bound</t>
  </si>
  <si>
    <t>Upper Bound</t>
  </si>
  <si>
    <t>Measure ID</t>
  </si>
  <si>
    <t>Annual Number of Risk Factor Attributable Deaths from Diseases included in Model</t>
  </si>
  <si>
    <t>Model Results: Total Number of Risk-Factor Attributable Deaths Over a 15-Year Period</t>
  </si>
  <si>
    <t>FCTC Model Results: Risk Factor Attributable Deaths</t>
  </si>
  <si>
    <t>FCTC Model Results: Cost of Premature Mortality Associated with Tobacco Use</t>
  </si>
  <si>
    <t>Model Results: Risk Factor Attributable Years of Life Lost Due to Premature Mortality (YLL)</t>
  </si>
  <si>
    <t>Model Results: Total Risk Factor Attributable Years of Life Lost Due to Premature Mortality (YLL) Over a 15-Year Period</t>
  </si>
  <si>
    <t>Model Results: Risk Factor Attributable Years of Life Lived with a Disability (YLD)</t>
  </si>
  <si>
    <t>Return on Investment (ROI):
Cost Savings Per 1k GEL</t>
  </si>
  <si>
    <t>Return on Investment (ROI):
Cost Savings Per 1k GEL
(Lower Bound)</t>
  </si>
  <si>
    <t>Return on Investment (ROI):
Cost Savings Per 1k GEL
(Upper Bound)</t>
  </si>
  <si>
    <t>Annual Risk Factor Attributable Disability-Adjusted Life Years (DALY)</t>
  </si>
  <si>
    <t>Model Results: Risk Factor Attributable Disability-Adjusted Life Years (DALY)</t>
  </si>
  <si>
    <t>Model Results: Total Risk Factor Attributable Years of Life Lived with a Disability (YLD) Over a 15-Year Period</t>
  </si>
  <si>
    <t>H25-H26.9, H28-H28.8</t>
  </si>
  <si>
    <t>H35.3-H35.389</t>
  </si>
  <si>
    <t>Based on Georgia Data from the 2016 Global Burden of Disease Study (2016 GBD)</t>
  </si>
  <si>
    <t>Sex</t>
  </si>
  <si>
    <t>Male</t>
  </si>
  <si>
    <t>Female</t>
  </si>
  <si>
    <t>Sex ID</t>
  </si>
  <si>
    <t>Comments</t>
  </si>
  <si>
    <t>Age Group</t>
  </si>
  <si>
    <t>Age Group ID</t>
  </si>
  <si>
    <t>All risk factor attributable deaths are among individuals ages 30 and older at the time of death.</t>
  </si>
  <si>
    <t>30 to 34</t>
  </si>
  <si>
    <t>35 to 39</t>
  </si>
  <si>
    <t>40 to 44</t>
  </si>
  <si>
    <t>45 to 49</t>
  </si>
  <si>
    <t>50 to 54</t>
  </si>
  <si>
    <t>55 to 59</t>
  </si>
  <si>
    <t>60 to 64</t>
  </si>
  <si>
    <t>65 to 69</t>
  </si>
  <si>
    <t>70 to 74</t>
  </si>
  <si>
    <t>75 to 79</t>
  </si>
  <si>
    <t>80 to 84</t>
  </si>
  <si>
    <t>85 to 89</t>
  </si>
  <si>
    <t>90 to 94</t>
  </si>
  <si>
    <t>95 plus</t>
  </si>
  <si>
    <t>Table S5 in the Supplementary Appendix of the Lancet 2017 paper is what the diseases included in the FCTC Investment Case model were based on.</t>
  </si>
  <si>
    <t>Peripheral Artery Disease, Rheumatoid Arthritis, Cataract, and Macular Degeneration only have GBD data for morbidity and not mortality.</t>
  </si>
  <si>
    <t>Breakdown of Annual Tobacco-Related Mortality and Morbidity Outcomes</t>
  </si>
  <si>
    <t>Risk Factor Attributable Deaths:
Number</t>
  </si>
  <si>
    <t>Risk Factor Attributable Deaths:
Number
(Lower Bound)</t>
  </si>
  <si>
    <t>Risk Factor Attributable Deaths:
Number
(Upper Bound)</t>
  </si>
  <si>
    <t>Risk Factor Attributable Deaths:
Percent</t>
  </si>
  <si>
    <t>Risk Factor Attributable Deaths:
Percent
(Lower Bound)</t>
  </si>
  <si>
    <t>Risk Factor Attributable Deaths:
Percent
(Upper Bound)</t>
  </si>
  <si>
    <t>Risk Factor Attributable Years of Life Lost Due to Premature Mortality (YLL):
Number</t>
  </si>
  <si>
    <t>Risk Factor Attributable Years of Life Lost Due to Premature Mortality (YLL):
Number
(Lower Bound)</t>
  </si>
  <si>
    <t>Risk Factor Attributable Years of Life Lost Due to Premature Mortality (YLL):
Number
(Upper Bound)</t>
  </si>
  <si>
    <t>Risk Factor Attributable Years of Life Lost Due to Premature Mortality (YLL):
Percent</t>
  </si>
  <si>
    <t>Risk Factor Attributable Years of Life Lost Due to Premature Mortality (YLL):
Percent
(Lower Bound)</t>
  </si>
  <si>
    <t>Risk Factor Attributable Years of Life Lost Due to Premature Mortality (YLL):
Percent
(Upper Bound)</t>
  </si>
  <si>
    <t>Risk Factor Attributable Years Lived with Disability (YLD):
Number</t>
  </si>
  <si>
    <t>Risk Factor Attributable Years Lived with Disability (YLD):
Number
(Lower Bound)</t>
  </si>
  <si>
    <t>Risk Factor Attributable Years Lived with Disability (YLD):
Number
(Upper Bound)</t>
  </si>
  <si>
    <t>Risk Factor Attributable Years Lived with Disability (YLD):
Percent</t>
  </si>
  <si>
    <t>Risk Factor Attributable Years Lived with Disability (YLD):
Percent
(Lower Bound)</t>
  </si>
  <si>
    <t>Risk Factor Attributable Years Lived with Disability (YLD):
Percent
(Upper Bound)</t>
  </si>
  <si>
    <t>Risk Factor Attributable Disability-Adjusted Life Years (DALY):
Number</t>
  </si>
  <si>
    <t>Risk Factor Attributable Disability-Adjusted Life Years (DALY):
Number
(Lower Bound)</t>
  </si>
  <si>
    <t>Risk Factor Attributable Disability-Adjusted Life Years (DALY):
Number
(Upper Bound)</t>
  </si>
  <si>
    <t>Risk Factor Attributable Disability-Adjusted Life Years (DALY):
Percent</t>
  </si>
  <si>
    <t>Risk Factor Attributable Disability-Adjusted Life Years (DALY):
Percent
(Lower Bound)</t>
  </si>
  <si>
    <t>Risk Factor Attributable Disability-Adjusted Life Years (DALY):
Percent
(Upper Bound)</t>
  </si>
  <si>
    <t>Breakdown of Annual Tobacco-Related Mortality and Morbidity Outcomes by Disease</t>
  </si>
  <si>
    <t>Data Year</t>
  </si>
  <si>
    <t>Global Burden of Disease Study (GBD)</t>
  </si>
  <si>
    <t>Breakdown of Annual Tobacco-Related Mortality and Morbidity Outcomes by Sex</t>
  </si>
  <si>
    <t>Breakdown of Annual Tobacco-Related Mortality and Morbidity Outcomes by Age Group</t>
  </si>
  <si>
    <t>WHO Report on the Global Tobacco Epidemic, 2017, Country profile Georgia
(data are from 2016 National STEPS survey, ages 18-69)
[Total: Male + Female = 31%]</t>
  </si>
  <si>
    <t>Prevalence of Adult Current Tobacco Smoking</t>
  </si>
  <si>
    <t>Number of Employed Adult Current Tobacco Smokers</t>
  </si>
  <si>
    <t>Data obtained by former analyst working on FCTC Investment Case - source not cited</t>
  </si>
  <si>
    <t>Smoking-Attributable Healthcare Cost:
Base Scenario
Total</t>
  </si>
  <si>
    <t>Smoking-Attributable Healthcare Cost:
Base Scenario
Total (Lower Bound)</t>
  </si>
  <si>
    <t>Smoking-Attributable Healthcare Cost:
Base Scenario
Total (Upper Bound)</t>
  </si>
  <si>
    <t>Cost of Premature Mortality Associated with Tobacco Use
Intervention Scenario</t>
  </si>
  <si>
    <t>Cost of Premature Mortality Associated with Tobacco Use
Intervention Scenario (Lower Bound)</t>
  </si>
  <si>
    <t>Cost of Premature Mortality Associated with Tobacco Use
Intervention Scenario (Upper Bound)</t>
  </si>
  <si>
    <t>Cost of Premature Mortality Associated with Tobacco Use
Base Scenario</t>
  </si>
  <si>
    <t>Cost of Premature Mortality Associated with Tobacco Use
Base Scenario (Lower Bound)</t>
  </si>
  <si>
    <t>Cost of Premature Mortality Associated with Tobacco Use
Base Scenario (Upper Bound)</t>
  </si>
  <si>
    <t>Cost of Excess Absenteeism
Intervention Scenario</t>
  </si>
  <si>
    <t>Cost of Presenteeism
Intervention Scenario</t>
  </si>
  <si>
    <t>Cost of Smoking Breaks
Intervention Scenario</t>
  </si>
  <si>
    <t>Workplace Costs
Intervention Scenario</t>
  </si>
  <si>
    <t>Cost of Excess Absenteeism
Base Scenario</t>
  </si>
  <si>
    <t>Cost of Presenteeism
Base Scenario</t>
  </si>
  <si>
    <t>Cost of Smoking Breaks
Base Scenario</t>
  </si>
  <si>
    <t>Workplace Costs
Base Scenario</t>
  </si>
  <si>
    <t>Total Economic Cost
(Base Scenario)</t>
  </si>
  <si>
    <t>Total Economic Cost
(Base Scenario) - Lower Bound</t>
  </si>
  <si>
    <t>Total Economic Cost
(Base Scenario) - Upper Bound</t>
  </si>
  <si>
    <t>Smoking-Attributable Healthcare Cost:
(Intervention Scenario)
Private (Out-of-Pocket) - Lower Bound6</t>
  </si>
  <si>
    <t>Smoking-Attributable Healthcare Cost:
(Intervention Scenario)
Private (Out-of-Pocket) - Upper Bound7</t>
  </si>
  <si>
    <t>Smoking-Attributable Healthcare Cost:
(Base Scenario)
Government</t>
  </si>
  <si>
    <t>Smoking-Attributable Healthcare Cost:
(Base Scenario)
Government (Lower Bound)</t>
  </si>
  <si>
    <t>Smoking-Attributable Healthcare Cost:
(Base Scenario)
Government (Upper Bound)</t>
  </si>
  <si>
    <t>Smoking-Attributable Healthcare Cost:
(Base Scenario)
Private (Out-of-Pocket)</t>
  </si>
  <si>
    <t>Smoking-Attributable Healthcare Cost:
(Base Scenario)
Private (Out-of-Pocket) - Lower Bound</t>
  </si>
  <si>
    <t>Smoking-Attributable Healthcare Cost:
(Base Scenario)
Private (Out-of-Pocket) - Upper Bound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</si>
</sst>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quot;$&quot;#,##0"/>
    <numFmt numFmtId="165" formatCode="0.0%"/>
    <numFmt numFmtId="166" formatCode="[$GEL]\ #,##0"/>
    <numFmt numFmtId="167" formatCode="[$GEL]\ #,##0.0"/>
    <numFmt numFmtId="168" formatCode="[$GEL]\ #,##0.00"/>
    <numFmt numFmtId="169" formatCode="0.0"/>
  </numFmts>
  <fonts count="69">
    <font>
      <sz val="11"/>
      <name val="Calibri"/>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name val="Calibri"/>
      <family val="2"/>
    </font>
    <font>
      <sz val="11"/>
      <color theme="1"/>
      <name val="Calibri"/>
      <family val="2"/>
      <scheme val="minor"/>
    </font>
    <font>
      <b/>
      <sz val="11"/>
      <color theme="0"/>
      <name val="Calibri"/>
      <family val="2"/>
    </font>
    <font>
      <sz val="11"/>
      <color theme="1"/>
      <name val="Calibri"/>
      <family val="2"/>
    </font>
    <font>
      <b/>
      <sz val="13"/>
      <color rgb="FF0070C0"/>
      <name val="Calibri"/>
      <family val="2"/>
    </font>
    <font>
      <u/>
      <sz val="11"/>
      <color theme="10"/>
      <name val="Calibri"/>
      <family val="2"/>
    </font>
    <font>
      <u/>
      <sz val="11"/>
      <color theme="11"/>
      <name val="Calibri"/>
      <family val="2"/>
    </font>
    <font>
      <b/>
      <sz val="12"/>
      <color rgb="FF0070C0"/>
      <name val="Calibri"/>
      <family val="2"/>
      <scheme val="minor"/>
    </font>
    <font>
      <sz val="11"/>
      <name val="Calibri"/>
      <family val="2"/>
    </font>
    <font>
      <b/>
      <sz val="12"/>
      <color theme="0"/>
      <name val="Calibri"/>
      <family val="2"/>
      <scheme val="minor"/>
    </font>
    <font>
      <i/>
      <sz val="11"/>
      <color theme="1"/>
      <name val="Calibri"/>
      <family val="2"/>
      <scheme val="minor"/>
    </font>
    <font>
      <b/>
      <sz val="11"/>
      <color theme="1"/>
      <name val="Calibri"/>
      <family val="2"/>
      <scheme val="minor"/>
    </font>
    <font>
      <sz val="10"/>
      <name val="Arial"/>
      <family val="2"/>
      <charset val="204"/>
    </font>
    <font>
      <sz val="11"/>
      <name val="Calibri"/>
      <family val="2"/>
      <scheme val="minor"/>
    </font>
    <font>
      <b/>
      <sz val="13"/>
      <color rgb="FF0070C0"/>
      <name val="Calibri"/>
      <family val="2"/>
      <scheme val="minor"/>
    </font>
    <font>
      <sz val="11"/>
      <color theme="0"/>
      <name val="Calibri"/>
      <family val="2"/>
    </font>
    <font>
      <sz val="11"/>
      <color theme="0"/>
      <name val="Calibri"/>
      <family val="2"/>
      <scheme val="minor"/>
    </font>
    <font>
      <sz val="11"/>
      <color rgb="FF000000"/>
      <name val="Calibri"/>
      <family val="2"/>
    </font>
    <font>
      <b/>
      <sz val="11"/>
      <color rgb="FFFFFFFF"/>
      <name val="Calibri"/>
      <family val="2"/>
    </font>
    <font>
      <b/>
      <sz val="12"/>
      <color theme="1"/>
      <name val="Calibri"/>
      <family val="2"/>
      <scheme val="minor"/>
    </font>
    <font>
      <sz val="12"/>
      <color theme="0"/>
      <name val="Calibri"/>
      <family val="2"/>
      <scheme val="minor"/>
    </font>
    <font>
      <sz val="8"/>
      <color theme="1"/>
      <name val="Arial"/>
      <family val="2"/>
      <charset val="204"/>
    </font>
    <font>
      <sz val="12"/>
      <color rgb="FF000000"/>
      <name val="Calibri"/>
      <family val="2"/>
    </font>
    <font>
      <i/>
      <sz val="11"/>
      <name val="Calibri"/>
      <family val="2"/>
    </font>
    <font>
      <sz val="12"/>
      <color theme="0"/>
      <name val="Calibri"/>
      <family val="2"/>
    </font>
    <font>
      <b/>
      <sz val="11"/>
      <color rgb="FF000000"/>
      <name val="Calibri"/>
      <family val="2"/>
    </font>
    <font>
      <b/>
      <sz val="11"/>
      <color theme="4" tint="-0.249977111117893"/>
      <name val="Calibri"/>
      <family val="2"/>
    </font>
    <font>
      <b/>
      <sz val="13"/>
      <color theme="5" tint="-0.499984740745262"/>
      <name val="Calibri"/>
      <family val="2"/>
      <scheme val="minor"/>
    </font>
    <font>
      <sz val="12"/>
      <color rgb="FFFFC000"/>
      <name val="Calibri"/>
      <family val="2"/>
      <scheme val="minor"/>
    </font>
    <font>
      <b/>
      <sz val="11"/>
      <name val="Calibri"/>
      <family val="2"/>
      <scheme val="minor"/>
    </font>
    <font>
      <sz val="11"/>
      <color theme="7" tint="0.79998168889431442"/>
      <name val="Calibri"/>
      <family val="2"/>
      <scheme val="minor"/>
    </font>
    <font>
      <b/>
      <sz val="11"/>
      <color theme="9" tint="-0.499984740745262"/>
      <name val="Calibri"/>
      <family val="2"/>
      <scheme val="minor"/>
    </font>
    <font>
      <b/>
      <sz val="18"/>
      <color rgb="FF0070C0"/>
      <name val="Calibri"/>
      <family val="2"/>
      <scheme val="minor"/>
    </font>
    <font>
      <b/>
      <sz val="16"/>
      <color theme="5" tint="-0.499984740745262"/>
      <name val="Calibri"/>
      <family val="2"/>
      <scheme val="minor"/>
    </font>
    <font>
      <b/>
      <sz val="14"/>
      <color theme="5" tint="-0.499984740745262"/>
      <name val="Calibri"/>
      <family val="2"/>
      <scheme val="minor"/>
    </font>
    <font>
      <sz val="12"/>
      <color theme="1"/>
      <name val="Calibri"/>
      <family val="2"/>
    </font>
    <font>
      <b/>
      <sz val="16"/>
      <color rgb="FF0070C0"/>
      <name val="Calibri"/>
      <family val="2"/>
      <scheme val="minor"/>
    </font>
    <font>
      <b/>
      <sz val="12"/>
      <color rgb="FF0070C0"/>
      <name val="Calibri"/>
      <family val="2"/>
    </font>
    <font>
      <b/>
      <sz val="11"/>
      <color theme="9" tint="-0.499984740745262"/>
      <name val="Calibri"/>
      <family val="2"/>
    </font>
    <font>
      <sz val="10"/>
      <color theme="1"/>
      <name val="Arial"/>
      <family val="2"/>
      <charset val="204"/>
    </font>
    <font>
      <sz val="10"/>
      <color theme="1"/>
      <name val="Calibri"/>
      <family val="2"/>
      <charset val="204"/>
      <scheme val="minor"/>
    </font>
    <font>
      <sz val="12"/>
      <color theme="7" tint="0.79998168889431442"/>
      <name val="Calibri"/>
      <family val="2"/>
      <scheme val="minor"/>
    </font>
    <font>
      <b/>
      <sz val="14"/>
      <color rgb="FF0070C0"/>
      <name val="Calibri"/>
      <family val="2"/>
      <scheme val="minor"/>
    </font>
    <font>
      <b/>
      <sz val="18"/>
      <color rgb="FF0070C0"/>
      <name val="Calibri"/>
      <family val="2"/>
    </font>
    <font>
      <b/>
      <sz val="11"/>
      <color theme="0"/>
      <name val="Calibri"/>
      <family val="2"/>
      <scheme val="minor"/>
    </font>
    <font>
      <sz val="11"/>
      <color rgb="FFFFC000"/>
      <name val="Calibri"/>
      <family val="2"/>
      <scheme val="minor"/>
    </font>
    <font>
      <b/>
      <sz val="20"/>
      <color rgb="FF0070C0"/>
      <name val="Calibri"/>
      <family val="2"/>
    </font>
    <font>
      <b/>
      <sz val="13"/>
      <color theme="5" tint="-0.499984740745262"/>
      <name val="Calibri"/>
      <family val="2"/>
    </font>
    <font>
      <b/>
      <sz val="16"/>
      <color rgb="FF0070C0"/>
      <name val="Calibri"/>
      <family val="2"/>
    </font>
    <font>
      <b/>
      <sz val="16"/>
      <color theme="5" tint="-0.499984740745262"/>
      <name val="Calibri"/>
      <family val="2"/>
    </font>
    <font>
      <b/>
      <i/>
      <sz val="11"/>
      <name val="Calibri"/>
      <family val="2"/>
    </font>
    <font>
      <sz val="12"/>
      <name val="Calibri"/>
      <family val="2"/>
      <scheme val="minor"/>
    </font>
    <font>
      <i/>
      <sz val="11"/>
      <name val="Calibri"/>
      <family val="2"/>
      <scheme val="minor"/>
    </font>
    <font>
      <sz val="15"/>
      <color rgb="FF000000"/>
      <name val="Calibri"/>
      <family val="2"/>
    </font>
    <font>
      <b/>
      <sz val="11"/>
      <color theme="1"/>
      <name val="Calibri"/>
      <family val="2"/>
    </font>
    <font>
      <b/>
      <sz val="15"/>
      <color theme="5" tint="-0.499984740745262"/>
      <name val="Calibri"/>
      <family val="2"/>
      <scheme val="minor"/>
    </font>
    <font>
      <b/>
      <sz val="11"/>
      <color rgb="FF0070C0"/>
      <name val="Calibri"/>
      <family val="2"/>
    </font>
    <font>
      <sz val="12"/>
      <name val="Calibri"/>
      <family val="2"/>
    </font>
    <font>
      <b/>
      <sz val="12"/>
      <name val="Calibri"/>
      <family val="2"/>
    </font>
    <font>
      <sz val="11"/>
      <color theme="5"/>
      <name val="Calibri"/>
      <family val="2"/>
    </font>
  </fonts>
  <fills count="23">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theme="9" tint="-0.249977111117893"/>
        <bgColor indexed="64"/>
      </patternFill>
    </fill>
    <fill>
      <patternFill patternType="solid">
        <fgColor theme="5"/>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249977111117893"/>
        <bgColor theme="4"/>
      </patternFill>
    </fill>
    <fill>
      <patternFill patternType="solid">
        <fgColor theme="2"/>
        <bgColor theme="4" tint="0.59999389629810485"/>
      </patternFill>
    </fill>
    <fill>
      <patternFill patternType="solid">
        <fgColor theme="9" tint="-0.499984740745262"/>
        <bgColor theme="4"/>
      </patternFill>
    </fill>
    <fill>
      <patternFill patternType="solid">
        <fgColor theme="8"/>
        <bgColor theme="8"/>
      </patternFill>
    </fill>
    <fill>
      <patternFill patternType="solid">
        <fgColor theme="7" tint="-0.499984740745262"/>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000000"/>
        <bgColor rgb="FF000000"/>
      </patternFill>
    </fill>
    <fill>
      <patternFill patternType="solid">
        <fgColor theme="7" tint="-0.249977111117893"/>
        <bgColor indexed="64"/>
      </patternFill>
    </fill>
    <fill>
      <patternFill patternType="solid">
        <fgColor theme="5" tint="-0.249977111117893"/>
        <bgColor indexed="64"/>
      </patternFill>
    </fill>
  </fills>
  <borders count="40">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diagonal/>
    </border>
    <border>
      <left style="thin">
        <color theme="0"/>
      </left>
      <right style="thin">
        <color theme="0"/>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right/>
      <top style="medium">
        <color auto="1"/>
      </top>
      <bottom/>
      <diagonal/>
    </border>
    <border>
      <left/>
      <right/>
      <top style="thin">
        <color theme="8"/>
      </top>
      <bottom/>
      <diagonal/>
    </border>
    <border>
      <left/>
      <right/>
      <top/>
      <bottom style="medium">
        <color rgb="FFFFFFFF"/>
      </bottom>
      <diagonal/>
    </border>
  </borders>
  <cellStyleXfs count="317">
    <xf numFmtId="0" fontId="0" fillId="0" borderId="0"/>
    <xf numFmtId="0" fontId="1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0" fontId="8"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7"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2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9" fontId="17" fillId="0" borderId="0" applyFont="0" applyFill="0" applyBorder="0" applyAlignment="0" applyProtection="0"/>
    <xf numFmtId="0" fontId="6" fillId="0" borderId="0"/>
    <xf numFmtId="9" fontId="6"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367">
    <xf numFmtId="0" fontId="0" fillId="0" borderId="0" xfId="0"/>
    <xf numFmtId="0" fontId="0" fillId="0" borderId="0" xfId="0" applyAlignment="1">
      <alignment horizontal="left"/>
    </xf>
    <xf numFmtId="3" fontId="0" fillId="0" borderId="0" xfId="0" applyNumberFormat="1" applyAlignment="1">
      <alignment horizontal="left"/>
    </xf>
    <xf numFmtId="0" fontId="13" fillId="0" borderId="0" xfId="0" applyFont="1" applyAlignment="1">
      <alignment horizontal="left"/>
    </xf>
    <xf numFmtId="0" fontId="0" fillId="0" borderId="0" xfId="0" applyAlignment="1">
      <alignment horizontal="left" wrapText="1"/>
    </xf>
    <xf numFmtId="9" fontId="0" fillId="0" borderId="0" xfId="0" applyNumberFormat="1" applyAlignment="1">
      <alignment horizontal="left"/>
    </xf>
    <xf numFmtId="0" fontId="10" fillId="0" borderId="0" xfId="1"/>
    <xf numFmtId="0" fontId="22" fillId="0" borderId="0" xfId="1" applyFont="1" applyFill="1"/>
    <xf numFmtId="0" fontId="22" fillId="0" borderId="0" xfId="1" applyFont="1" applyFill="1" applyAlignment="1">
      <alignment horizontal="left"/>
    </xf>
    <xf numFmtId="0" fontId="23" fillId="0" borderId="0" xfId="1" applyFont="1"/>
    <xf numFmtId="164" fontId="10" fillId="0" borderId="0" xfId="1" applyNumberFormat="1"/>
    <xf numFmtId="0" fontId="20" fillId="0" borderId="0" xfId="1" applyFont="1"/>
    <xf numFmtId="166" fontId="10" fillId="0" borderId="0" xfId="1" applyNumberFormat="1" applyAlignment="1">
      <alignment horizontal="left"/>
    </xf>
    <xf numFmtId="165" fontId="10" fillId="0" borderId="0" xfId="1" applyNumberFormat="1" applyAlignment="1">
      <alignment horizontal="left"/>
    </xf>
    <xf numFmtId="0" fontId="25" fillId="0" borderId="0" xfId="1" applyFont="1"/>
    <xf numFmtId="166" fontId="0" fillId="0" borderId="0" xfId="0" applyNumberFormat="1" applyAlignment="1">
      <alignment horizontal="left"/>
    </xf>
    <xf numFmtId="0" fontId="20" fillId="0" borderId="0" xfId="1" applyFont="1" applyAlignment="1">
      <alignment horizontal="right"/>
    </xf>
    <xf numFmtId="0" fontId="9" fillId="0" borderId="0" xfId="0" applyFont="1"/>
    <xf numFmtId="0" fontId="0" fillId="0" borderId="0" xfId="0" applyAlignment="1">
      <alignment wrapText="1"/>
    </xf>
    <xf numFmtId="0" fontId="30" fillId="0" borderId="0" xfId="1" applyFont="1" applyAlignment="1">
      <alignment vertical="center"/>
    </xf>
    <xf numFmtId="0" fontId="26" fillId="0" borderId="0" xfId="0" applyFont="1"/>
    <xf numFmtId="0" fontId="31" fillId="0" borderId="0" xfId="0" applyFont="1"/>
    <xf numFmtId="0" fontId="33" fillId="0" borderId="0" xfId="0" applyFont="1"/>
    <xf numFmtId="4" fontId="0" fillId="0" borderId="0" xfId="0" applyNumberFormat="1" applyAlignment="1">
      <alignment horizontal="left"/>
    </xf>
    <xf numFmtId="0" fontId="34" fillId="0" borderId="0" xfId="0" applyFont="1"/>
    <xf numFmtId="0" fontId="35" fillId="0" borderId="0" xfId="0" applyFont="1"/>
    <xf numFmtId="0" fontId="0" fillId="0" borderId="0" xfId="0" applyAlignment="1">
      <alignment horizontal="left" indent="2"/>
    </xf>
    <xf numFmtId="0" fontId="0" fillId="0" borderId="0" xfId="0" applyFont="1"/>
    <xf numFmtId="0" fontId="28" fillId="0" borderId="0" xfId="116" applyFont="1" applyAlignment="1">
      <alignment horizontal="left"/>
    </xf>
    <xf numFmtId="0" fontId="6" fillId="0" borderId="0" xfId="116" applyAlignment="1">
      <alignment horizontal="left"/>
    </xf>
    <xf numFmtId="165" fontId="0" fillId="0" borderId="0" xfId="117" applyNumberFormat="1" applyFont="1" applyAlignment="1">
      <alignment horizontal="left"/>
    </xf>
    <xf numFmtId="165" fontId="6" fillId="0" borderId="0" xfId="116" applyNumberFormat="1" applyAlignment="1">
      <alignment horizontal="left"/>
    </xf>
    <xf numFmtId="0" fontId="29" fillId="0" borderId="0" xfId="116" applyFont="1" applyAlignment="1">
      <alignment horizontal="left"/>
    </xf>
    <xf numFmtId="0" fontId="29" fillId="0" borderId="0" xfId="116" applyFont="1" applyAlignment="1">
      <alignment horizontal="left" wrapText="1"/>
    </xf>
    <xf numFmtId="0" fontId="18" fillId="2" borderId="2" xfId="116" applyNumberFormat="1" applyFont="1" applyFill="1" applyBorder="1" applyAlignment="1">
      <alignment horizontal="left" wrapText="1"/>
    </xf>
    <xf numFmtId="0" fontId="18" fillId="2" borderId="1" xfId="116" applyNumberFormat="1" applyFont="1" applyFill="1" applyBorder="1" applyAlignment="1">
      <alignment horizontal="left" wrapText="1"/>
    </xf>
    <xf numFmtId="166" fontId="0" fillId="0" borderId="0" xfId="22" applyNumberFormat="1" applyFont="1" applyFill="1" applyAlignment="1">
      <alignment horizontal="left"/>
    </xf>
    <xf numFmtId="166" fontId="17" fillId="0" borderId="0" xfId="22" applyNumberFormat="1" applyFont="1" applyFill="1" applyAlignment="1">
      <alignment horizontal="left"/>
    </xf>
    <xf numFmtId="0" fontId="0" fillId="0" borderId="0" xfId="0" applyAlignment="1">
      <alignment horizontal="left" wrapText="1" indent="1"/>
    </xf>
    <xf numFmtId="165" fontId="0" fillId="0" borderId="0" xfId="22" applyNumberFormat="1" applyFont="1" applyFill="1" applyAlignment="1">
      <alignment horizontal="left"/>
    </xf>
    <xf numFmtId="166" fontId="22" fillId="0" borderId="0" xfId="1" applyNumberFormat="1" applyFont="1" applyFill="1" applyAlignment="1">
      <alignment horizontal="left"/>
    </xf>
    <xf numFmtId="0" fontId="36" fillId="0" borderId="0" xfId="1" applyFont="1"/>
    <xf numFmtId="166" fontId="22" fillId="0" borderId="0" xfId="115" applyNumberFormat="1" applyFont="1" applyAlignment="1">
      <alignment horizontal="left"/>
    </xf>
    <xf numFmtId="166" fontId="17" fillId="0" borderId="0" xfId="117" applyNumberFormat="1" applyFont="1" applyAlignment="1">
      <alignment horizontal="left"/>
    </xf>
    <xf numFmtId="0" fontId="22" fillId="0" borderId="0" xfId="116" applyFont="1" applyAlignment="1">
      <alignment horizontal="left"/>
    </xf>
    <xf numFmtId="166" fontId="22" fillId="0" borderId="0" xfId="116" applyNumberFormat="1" applyFont="1" applyAlignment="1">
      <alignment horizontal="left"/>
    </xf>
    <xf numFmtId="165" fontId="22" fillId="0" borderId="0" xfId="116" applyNumberFormat="1" applyFont="1" applyAlignment="1">
      <alignment horizontal="left"/>
    </xf>
    <xf numFmtId="0" fontId="10" fillId="0" borderId="0" xfId="116" applyFont="1" applyAlignment="1">
      <alignment horizontal="left"/>
    </xf>
    <xf numFmtId="166" fontId="10" fillId="0" borderId="0" xfId="116" applyNumberFormat="1" applyFont="1" applyAlignment="1">
      <alignment horizontal="left"/>
    </xf>
    <xf numFmtId="166" fontId="22" fillId="3" borderId="16" xfId="116" applyNumberFormat="1" applyFont="1" applyFill="1" applyBorder="1" applyAlignment="1">
      <alignment horizontal="left"/>
    </xf>
    <xf numFmtId="166" fontId="10" fillId="4" borderId="16" xfId="116" applyNumberFormat="1" applyFont="1" applyFill="1" applyBorder="1" applyAlignment="1">
      <alignment horizontal="left"/>
    </xf>
    <xf numFmtId="166" fontId="10" fillId="3" borderId="16" xfId="116" applyNumberFormat="1" applyFont="1" applyFill="1" applyBorder="1" applyAlignment="1">
      <alignment horizontal="left"/>
    </xf>
    <xf numFmtId="166" fontId="10" fillId="4" borderId="18" xfId="116" applyNumberFormat="1" applyFont="1" applyFill="1" applyBorder="1" applyAlignment="1">
      <alignment horizontal="left"/>
    </xf>
    <xf numFmtId="0" fontId="22" fillId="3" borderId="15" xfId="116" applyNumberFormat="1" applyFont="1" applyFill="1" applyBorder="1" applyAlignment="1">
      <alignment horizontal="left"/>
    </xf>
    <xf numFmtId="0" fontId="10" fillId="4" borderId="15" xfId="116" applyNumberFormat="1" applyFont="1" applyFill="1" applyBorder="1" applyAlignment="1">
      <alignment horizontal="left"/>
    </xf>
    <xf numFmtId="0" fontId="10" fillId="3" borderId="15" xfId="116" applyNumberFormat="1" applyFont="1" applyFill="1" applyBorder="1" applyAlignment="1">
      <alignment horizontal="left"/>
    </xf>
    <xf numFmtId="0" fontId="10" fillId="4" borderId="17" xfId="116" applyNumberFormat="1" applyFont="1" applyFill="1" applyBorder="1" applyAlignment="1">
      <alignment horizontal="left"/>
    </xf>
    <xf numFmtId="0" fontId="37" fillId="0" borderId="0" xfId="116" applyFont="1" applyAlignment="1">
      <alignment horizontal="left" wrapText="1"/>
    </xf>
    <xf numFmtId="0" fontId="29" fillId="6" borderId="0" xfId="116" applyFont="1" applyFill="1" applyAlignment="1">
      <alignment horizontal="left" wrapText="1"/>
    </xf>
    <xf numFmtId="10" fontId="25" fillId="6" borderId="0" xfId="115" applyNumberFormat="1" applyFont="1" applyFill="1" applyAlignment="1">
      <alignment horizontal="left"/>
    </xf>
    <xf numFmtId="10" fontId="24" fillId="6" borderId="0" xfId="117" applyNumberFormat="1" applyFont="1" applyFill="1" applyAlignment="1">
      <alignment horizontal="left"/>
    </xf>
    <xf numFmtId="165" fontId="10" fillId="7" borderId="0" xfId="116" applyNumberFormat="1" applyFont="1" applyFill="1" applyAlignment="1">
      <alignment horizontal="left"/>
    </xf>
    <xf numFmtId="165" fontId="10" fillId="5" borderId="0" xfId="116" applyNumberFormat="1" applyFont="1" applyFill="1" applyAlignment="1">
      <alignment horizontal="left"/>
    </xf>
    <xf numFmtId="0" fontId="29" fillId="7" borderId="0" xfId="116" applyFont="1" applyFill="1" applyAlignment="1">
      <alignment horizontal="left" wrapText="1"/>
    </xf>
    <xf numFmtId="166" fontId="38" fillId="9" borderId="9" xfId="115" applyNumberFormat="1" applyFont="1" applyFill="1" applyBorder="1" applyAlignment="1">
      <alignment horizontal="left"/>
    </xf>
    <xf numFmtId="166" fontId="20" fillId="9" borderId="9" xfId="115" applyNumberFormat="1" applyFont="1" applyFill="1" applyBorder="1" applyAlignment="1">
      <alignment horizontal="left"/>
    </xf>
    <xf numFmtId="166" fontId="9" fillId="9" borderId="9" xfId="117" applyNumberFormat="1" applyFont="1" applyFill="1" applyBorder="1" applyAlignment="1">
      <alignment horizontal="left"/>
    </xf>
    <xf numFmtId="0" fontId="10" fillId="7" borderId="0" xfId="1" applyFill="1"/>
    <xf numFmtId="0" fontId="25" fillId="7" borderId="0" xfId="1" applyFont="1" applyFill="1" applyAlignment="1">
      <alignment vertical="center" wrapText="1"/>
    </xf>
    <xf numFmtId="0" fontId="10" fillId="0" borderId="0" xfId="1" applyAlignment="1">
      <alignment vertical="center" wrapText="1"/>
    </xf>
    <xf numFmtId="0" fontId="10" fillId="6" borderId="0" xfId="1" applyFill="1"/>
    <xf numFmtId="0" fontId="22" fillId="0" borderId="0" xfId="1" applyFont="1" applyAlignment="1">
      <alignment vertical="center" wrapText="1"/>
    </xf>
    <xf numFmtId="0" fontId="10" fillId="9" borderId="0" xfId="1" applyFill="1"/>
    <xf numFmtId="0" fontId="10" fillId="9" borderId="0" xfId="1" applyFill="1" applyAlignment="1">
      <alignment vertical="center" wrapText="1"/>
    </xf>
    <xf numFmtId="0" fontId="25" fillId="6" borderId="0" xfId="1" applyFont="1" applyFill="1" applyAlignment="1">
      <alignment vertical="center" wrapText="1"/>
    </xf>
    <xf numFmtId="0" fontId="10" fillId="10" borderId="0" xfId="1" applyFill="1"/>
    <xf numFmtId="166" fontId="40" fillId="11" borderId="9" xfId="115" applyNumberFormat="1" applyFont="1" applyFill="1" applyBorder="1" applyAlignment="1">
      <alignment horizontal="left"/>
    </xf>
    <xf numFmtId="0" fontId="29" fillId="10" borderId="0" xfId="116" applyFont="1" applyFill="1" applyAlignment="1">
      <alignment horizontal="left" wrapText="1"/>
    </xf>
    <xf numFmtId="0" fontId="25" fillId="10" borderId="0" xfId="1" applyFont="1" applyFill="1" applyAlignment="1">
      <alignment vertical="center" wrapText="1"/>
    </xf>
    <xf numFmtId="3" fontId="22" fillId="7" borderId="0" xfId="116" applyNumberFormat="1" applyFont="1" applyFill="1" applyAlignment="1">
      <alignment horizontal="left"/>
    </xf>
    <xf numFmtId="0" fontId="41" fillId="0" borderId="0" xfId="1" applyFont="1"/>
    <xf numFmtId="0" fontId="42" fillId="0" borderId="0" xfId="1" applyFont="1"/>
    <xf numFmtId="0" fontId="25" fillId="0" borderId="0" xfId="1" applyFont="1" applyAlignment="1">
      <alignment wrapText="1"/>
    </xf>
    <xf numFmtId="0" fontId="43" fillId="0" borderId="0" xfId="1" applyFont="1"/>
    <xf numFmtId="165" fontId="22" fillId="0" borderId="0" xfId="1" applyNumberFormat="1" applyFont="1" applyAlignment="1">
      <alignment horizontal="left"/>
    </xf>
    <xf numFmtId="166" fontId="22" fillId="0" borderId="0" xfId="1" applyNumberFormat="1" applyFont="1" applyAlignment="1">
      <alignment horizontal="left"/>
    </xf>
    <xf numFmtId="0" fontId="10" fillId="0" borderId="11" xfId="1" applyBorder="1"/>
    <xf numFmtId="0" fontId="10" fillId="0" borderId="12" xfId="1" applyBorder="1"/>
    <xf numFmtId="0" fontId="12" fillId="0" borderId="9" xfId="1" applyFont="1" applyBorder="1"/>
    <xf numFmtId="0" fontId="12" fillId="0" borderId="9" xfId="1" applyFont="1" applyBorder="1" applyAlignment="1">
      <alignment wrapText="1"/>
    </xf>
    <xf numFmtId="0" fontId="26" fillId="0" borderId="9" xfId="1" applyFont="1" applyBorder="1" applyAlignment="1">
      <alignment vertical="center" wrapText="1"/>
    </xf>
    <xf numFmtId="0" fontId="12" fillId="0" borderId="9" xfId="1" applyFont="1" applyBorder="1" applyAlignment="1">
      <alignment vertical="center"/>
    </xf>
    <xf numFmtId="0" fontId="26" fillId="0" borderId="9" xfId="0" applyFont="1" applyBorder="1" applyAlignment="1">
      <alignment vertical="center"/>
    </xf>
    <xf numFmtId="0" fontId="12" fillId="0" borderId="9" xfId="1" applyFont="1" applyBorder="1" applyAlignment="1">
      <alignment horizontal="left" vertical="center"/>
    </xf>
    <xf numFmtId="9" fontId="12" fillId="0" borderId="9" xfId="1" applyNumberFormat="1" applyFont="1" applyBorder="1" applyAlignment="1">
      <alignment horizontal="left" vertical="center"/>
    </xf>
    <xf numFmtId="0" fontId="12" fillId="0" borderId="9" xfId="1" applyFont="1" applyBorder="1" applyAlignment="1">
      <alignment horizontal="left"/>
    </xf>
    <xf numFmtId="1" fontId="12" fillId="0" borderId="9" xfId="1" applyNumberFormat="1" applyFont="1" applyBorder="1" applyAlignment="1">
      <alignment horizontal="left"/>
    </xf>
    <xf numFmtId="0" fontId="45" fillId="0" borderId="0" xfId="1" applyFont="1"/>
    <xf numFmtId="0" fontId="46" fillId="0" borderId="0" xfId="1" applyFont="1" applyAlignment="1">
      <alignment vertical="center"/>
    </xf>
    <xf numFmtId="0" fontId="16" fillId="0" borderId="0" xfId="1" applyFont="1"/>
    <xf numFmtId="0" fontId="10" fillId="0" borderId="0" xfId="1" applyFill="1"/>
    <xf numFmtId="0" fontId="26" fillId="0" borderId="9" xfId="1" applyFont="1" applyFill="1" applyBorder="1" applyAlignment="1">
      <alignment vertical="center" wrapText="1"/>
    </xf>
    <xf numFmtId="0" fontId="12" fillId="0" borderId="9" xfId="1" applyFont="1" applyFill="1" applyBorder="1" applyAlignment="1">
      <alignment horizontal="left"/>
    </xf>
    <xf numFmtId="0" fontId="26" fillId="0" borderId="12" xfId="1" applyFont="1" applyFill="1" applyBorder="1" applyAlignment="1">
      <alignment vertical="center" wrapText="1"/>
    </xf>
    <xf numFmtId="0" fontId="12" fillId="0" borderId="12" xfId="1" applyFont="1" applyBorder="1" applyAlignment="1">
      <alignment horizontal="left"/>
    </xf>
    <xf numFmtId="0" fontId="12" fillId="0" borderId="12" xfId="1" applyFont="1" applyFill="1" applyBorder="1" applyAlignment="1">
      <alignment horizontal="left"/>
    </xf>
    <xf numFmtId="0" fontId="26" fillId="0" borderId="12" xfId="0" applyFont="1" applyBorder="1" applyAlignment="1">
      <alignment vertical="center"/>
    </xf>
    <xf numFmtId="0" fontId="22" fillId="0" borderId="0" xfId="1" applyFont="1"/>
    <xf numFmtId="0" fontId="22" fillId="0" borderId="0" xfId="1" applyFont="1" applyAlignment="1">
      <alignment horizontal="left"/>
    </xf>
    <xf numFmtId="166" fontId="44" fillId="0" borderId="9" xfId="1" applyNumberFormat="1" applyFont="1" applyBorder="1" applyAlignment="1">
      <alignment horizontal="left"/>
    </xf>
    <xf numFmtId="168" fontId="44" fillId="0" borderId="9" xfId="1" applyNumberFormat="1" applyFont="1" applyBorder="1" applyAlignment="1">
      <alignment horizontal="left"/>
    </xf>
    <xf numFmtId="0" fontId="44" fillId="0" borderId="8" xfId="1" applyFont="1" applyBorder="1"/>
    <xf numFmtId="0" fontId="31" fillId="0" borderId="8" xfId="1" applyFont="1" applyBorder="1" applyAlignment="1">
      <alignment vertical="center" wrapText="1"/>
    </xf>
    <xf numFmtId="166" fontId="44" fillId="0" borderId="10" xfId="1" applyNumberFormat="1" applyFont="1" applyBorder="1" applyAlignment="1">
      <alignment horizontal="left"/>
    </xf>
    <xf numFmtId="0" fontId="44" fillId="0" borderId="5" xfId="1" applyFont="1" applyBorder="1"/>
    <xf numFmtId="0" fontId="44" fillId="0" borderId="6" xfId="1" applyFont="1" applyBorder="1"/>
    <xf numFmtId="0" fontId="44" fillId="0" borderId="7" xfId="1" applyFont="1" applyBorder="1"/>
    <xf numFmtId="0" fontId="31" fillId="0" borderId="11" xfId="1" applyFont="1" applyFill="1" applyBorder="1" applyAlignment="1">
      <alignment vertical="center" wrapText="1"/>
    </xf>
    <xf numFmtId="166" fontId="44" fillId="0" borderId="12" xfId="1" applyNumberFormat="1" applyFont="1" applyBorder="1" applyAlignment="1">
      <alignment horizontal="left"/>
    </xf>
    <xf numFmtId="166" fontId="44" fillId="0" borderId="13" xfId="1" applyNumberFormat="1" applyFont="1" applyBorder="1" applyAlignment="1">
      <alignment horizontal="left"/>
    </xf>
    <xf numFmtId="9" fontId="22" fillId="3" borderId="15" xfId="116" applyNumberFormat="1" applyFont="1" applyFill="1" applyBorder="1" applyAlignment="1">
      <alignment horizontal="left"/>
    </xf>
    <xf numFmtId="9" fontId="10" fillId="4" borderId="15" xfId="116" applyNumberFormat="1" applyFont="1" applyFill="1" applyBorder="1" applyAlignment="1">
      <alignment horizontal="left"/>
    </xf>
    <xf numFmtId="9" fontId="10" fillId="3" borderId="15" xfId="116" applyNumberFormat="1" applyFont="1" applyFill="1" applyBorder="1" applyAlignment="1">
      <alignment horizontal="left"/>
    </xf>
    <xf numFmtId="9" fontId="10" fillId="4" borderId="17" xfId="116" applyNumberFormat="1" applyFont="1" applyFill="1" applyBorder="1" applyAlignment="1">
      <alignment horizontal="left"/>
    </xf>
    <xf numFmtId="3" fontId="22" fillId="3" borderId="15" xfId="116" applyNumberFormat="1" applyFont="1" applyFill="1" applyBorder="1" applyAlignment="1">
      <alignment horizontal="left"/>
    </xf>
    <xf numFmtId="3" fontId="10" fillId="4" borderId="15" xfId="116" applyNumberFormat="1" applyFont="1" applyFill="1" applyBorder="1" applyAlignment="1">
      <alignment horizontal="left"/>
    </xf>
    <xf numFmtId="3" fontId="10" fillId="3" borderId="15" xfId="116" applyNumberFormat="1" applyFont="1" applyFill="1" applyBorder="1" applyAlignment="1">
      <alignment horizontal="left"/>
    </xf>
    <xf numFmtId="3" fontId="10" fillId="4" borderId="17" xfId="116" applyNumberFormat="1" applyFont="1" applyFill="1" applyBorder="1" applyAlignment="1">
      <alignment horizontal="left"/>
    </xf>
    <xf numFmtId="0" fontId="10" fillId="8" borderId="0" xfId="1" applyFill="1"/>
    <xf numFmtId="0" fontId="10" fillId="8" borderId="0" xfId="1" applyFill="1" applyAlignment="1">
      <alignment vertical="center"/>
    </xf>
    <xf numFmtId="10" fontId="10" fillId="7" borderId="0" xfId="1" applyNumberFormat="1" applyFill="1" applyAlignment="1">
      <alignment horizontal="left"/>
    </xf>
    <xf numFmtId="10" fontId="0" fillId="7" borderId="0" xfId="0" applyNumberFormat="1" applyFill="1" applyAlignment="1">
      <alignment horizontal="left"/>
    </xf>
    <xf numFmtId="10" fontId="0" fillId="5" borderId="0" xfId="0" applyNumberFormat="1" applyFill="1" applyAlignment="1">
      <alignment horizontal="left"/>
    </xf>
    <xf numFmtId="0" fontId="10" fillId="12" borderId="0" xfId="1" applyFill="1" applyAlignment="1">
      <alignment vertical="center"/>
    </xf>
    <xf numFmtId="0" fontId="10" fillId="12" borderId="0" xfId="1" applyFill="1"/>
    <xf numFmtId="0" fontId="18" fillId="13" borderId="2" xfId="116" applyNumberFormat="1" applyFont="1" applyFill="1" applyBorder="1" applyAlignment="1">
      <alignment horizontal="left" wrapText="1"/>
    </xf>
    <xf numFmtId="10" fontId="25" fillId="6" borderId="0" xfId="1" applyNumberFormat="1" applyFont="1" applyFill="1" applyAlignment="1">
      <alignment horizontal="left"/>
    </xf>
    <xf numFmtId="0" fontId="18" fillId="2" borderId="4" xfId="116" applyNumberFormat="1" applyFont="1" applyFill="1" applyBorder="1" applyAlignment="1">
      <alignment horizontal="left" wrapText="1"/>
    </xf>
    <xf numFmtId="3" fontId="10" fillId="9" borderId="9" xfId="1" applyNumberFormat="1" applyFill="1" applyBorder="1" applyAlignment="1">
      <alignment horizontal="left"/>
    </xf>
    <xf numFmtId="3" fontId="0" fillId="9" borderId="9" xfId="0" applyNumberFormat="1" applyFill="1" applyBorder="1" applyAlignment="1">
      <alignment horizontal="left"/>
    </xf>
    <xf numFmtId="166" fontId="38" fillId="14" borderId="9" xfId="116" applyNumberFormat="1" applyFont="1" applyFill="1" applyBorder="1" applyAlignment="1">
      <alignment horizontal="left"/>
    </xf>
    <xf numFmtId="166" fontId="20" fillId="9" borderId="9" xfId="1" applyNumberFormat="1" applyFont="1" applyFill="1" applyBorder="1" applyAlignment="1">
      <alignment horizontal="left"/>
    </xf>
    <xf numFmtId="166" fontId="9" fillId="9" borderId="9" xfId="0" applyNumberFormat="1" applyFont="1" applyFill="1" applyBorder="1" applyAlignment="1">
      <alignment horizontal="left"/>
    </xf>
    <xf numFmtId="0" fontId="18" fillId="15" borderId="4" xfId="116" applyNumberFormat="1" applyFont="1" applyFill="1" applyBorder="1" applyAlignment="1">
      <alignment horizontal="left" wrapText="1"/>
    </xf>
    <xf numFmtId="166" fontId="40" fillId="11" borderId="9" xfId="1" applyNumberFormat="1" applyFont="1" applyFill="1" applyBorder="1" applyAlignment="1">
      <alignment horizontal="left"/>
    </xf>
    <xf numFmtId="166" fontId="47" fillId="11" borderId="9" xfId="0" applyNumberFormat="1" applyFont="1" applyFill="1" applyBorder="1" applyAlignment="1">
      <alignment horizontal="left"/>
    </xf>
    <xf numFmtId="169" fontId="12" fillId="0" borderId="12" xfId="1" applyNumberFormat="1" applyFont="1" applyBorder="1" applyAlignment="1">
      <alignment horizontal="left"/>
    </xf>
    <xf numFmtId="169" fontId="12" fillId="0" borderId="12" xfId="1" applyNumberFormat="1" applyFont="1" applyBorder="1" applyAlignment="1">
      <alignment horizontal="left" vertical="center"/>
    </xf>
    <xf numFmtId="0" fontId="48" fillId="0" borderId="0" xfId="1" applyFont="1" applyAlignment="1">
      <alignment vertical="center"/>
    </xf>
    <xf numFmtId="166" fontId="6" fillId="0" borderId="0" xfId="116" applyNumberFormat="1" applyAlignment="1">
      <alignment horizontal="left"/>
    </xf>
    <xf numFmtId="0" fontId="5" fillId="0" borderId="0" xfId="116" applyFont="1" applyAlignment="1">
      <alignment horizontal="left"/>
    </xf>
    <xf numFmtId="0" fontId="4" fillId="0" borderId="0" xfId="116" applyFont="1" applyAlignment="1">
      <alignment horizontal="left"/>
    </xf>
    <xf numFmtId="0" fontId="50" fillId="0" borderId="0" xfId="116" applyFont="1" applyAlignment="1">
      <alignment horizontal="left"/>
    </xf>
    <xf numFmtId="166" fontId="50" fillId="0" borderId="0" xfId="116" applyNumberFormat="1" applyFont="1" applyAlignment="1">
      <alignment horizontal="left"/>
    </xf>
    <xf numFmtId="166" fontId="10" fillId="0" borderId="0" xfId="1" applyNumberFormat="1" applyFill="1" applyAlignment="1">
      <alignment horizontal="left"/>
    </xf>
    <xf numFmtId="0" fontId="25" fillId="0" borderId="0" xfId="1" applyFont="1" applyFill="1" applyAlignment="1">
      <alignment wrapText="1"/>
    </xf>
    <xf numFmtId="166" fontId="50" fillId="0" borderId="0" xfId="116" applyNumberFormat="1" applyFont="1" applyFill="1" applyAlignment="1">
      <alignment horizontal="left"/>
    </xf>
    <xf numFmtId="0" fontId="3" fillId="0" borderId="0" xfId="116" applyFont="1" applyAlignment="1">
      <alignment horizontal="left"/>
    </xf>
    <xf numFmtId="0" fontId="41" fillId="0" borderId="0" xfId="116" applyFont="1" applyAlignment="1">
      <alignment horizontal="left"/>
    </xf>
    <xf numFmtId="0" fontId="14" fillId="0" borderId="0" xfId="142"/>
    <xf numFmtId="9" fontId="6" fillId="0" borderId="0" xfId="116" applyNumberFormat="1" applyAlignment="1">
      <alignment horizontal="left"/>
    </xf>
    <xf numFmtId="0" fontId="51" fillId="0" borderId="0" xfId="116" applyFont="1" applyAlignment="1">
      <alignment horizontal="left"/>
    </xf>
    <xf numFmtId="165" fontId="3" fillId="0" borderId="0" xfId="116" applyNumberFormat="1" applyFont="1" applyAlignment="1">
      <alignment horizontal="left"/>
    </xf>
    <xf numFmtId="0" fontId="52" fillId="0" borderId="0" xfId="0" applyFont="1"/>
    <xf numFmtId="0" fontId="11" fillId="16" borderId="0" xfId="0" applyFont="1" applyFill="1" applyBorder="1" applyAlignment="1">
      <alignment horizontal="left"/>
    </xf>
    <xf numFmtId="0" fontId="11" fillId="16" borderId="3" xfId="0" applyFont="1" applyFill="1" applyBorder="1" applyAlignment="1">
      <alignment horizontal="left"/>
    </xf>
    <xf numFmtId="166" fontId="47" fillId="11" borderId="0" xfId="0" applyNumberFormat="1" applyFont="1" applyFill="1" applyBorder="1" applyAlignment="1">
      <alignment horizontal="left"/>
    </xf>
    <xf numFmtId="0" fontId="10" fillId="0" borderId="0" xfId="1" applyFill="1" applyAlignment="1">
      <alignment vertical="center" wrapText="1"/>
    </xf>
    <xf numFmtId="0" fontId="54" fillId="0" borderId="0" xfId="1" applyFont="1" applyAlignment="1">
      <alignment wrapText="1"/>
    </xf>
    <xf numFmtId="0" fontId="25" fillId="10" borderId="0" xfId="1" applyFont="1" applyFill="1" applyAlignment="1">
      <alignment wrapText="1"/>
    </xf>
    <xf numFmtId="166" fontId="40" fillId="11" borderId="0" xfId="1" applyNumberFormat="1" applyFont="1" applyFill="1" applyAlignment="1">
      <alignment horizontal="left"/>
    </xf>
    <xf numFmtId="165" fontId="10" fillId="5" borderId="0" xfId="1" applyNumberFormat="1" applyFill="1" applyAlignment="1">
      <alignment horizontal="left"/>
    </xf>
    <xf numFmtId="0" fontId="25" fillId="7" borderId="0" xfId="1" applyFont="1" applyFill="1" applyAlignment="1">
      <alignment wrapText="1"/>
    </xf>
    <xf numFmtId="165" fontId="22" fillId="5" borderId="0" xfId="1" applyNumberFormat="1" applyFont="1" applyFill="1" applyAlignment="1">
      <alignment horizontal="left"/>
    </xf>
    <xf numFmtId="166" fontId="20" fillId="11" borderId="0" xfId="1" applyNumberFormat="1" applyFont="1" applyFill="1" applyAlignment="1">
      <alignment horizontal="left"/>
    </xf>
    <xf numFmtId="166" fontId="38" fillId="11" borderId="0" xfId="1" applyNumberFormat="1" applyFont="1" applyFill="1" applyAlignment="1">
      <alignment horizontal="left"/>
    </xf>
    <xf numFmtId="166" fontId="20" fillId="0" borderId="0" xfId="1" applyNumberFormat="1" applyFont="1" applyAlignment="1">
      <alignment horizontal="left"/>
    </xf>
    <xf numFmtId="166" fontId="38" fillId="0" borderId="0" xfId="1" applyNumberFormat="1" applyFont="1" applyAlignment="1">
      <alignment horizontal="left"/>
    </xf>
    <xf numFmtId="168" fontId="0" fillId="0" borderId="0" xfId="0" applyNumberFormat="1" applyAlignment="1">
      <alignment horizontal="left"/>
    </xf>
    <xf numFmtId="10" fontId="0" fillId="0" borderId="0" xfId="0" applyNumberFormat="1" applyAlignment="1">
      <alignment horizontal="left"/>
    </xf>
    <xf numFmtId="0" fontId="0" fillId="0" borderId="19" xfId="0" applyBorder="1" applyAlignment="1">
      <alignment horizontal="left"/>
    </xf>
    <xf numFmtId="166" fontId="0" fillId="0" borderId="19" xfId="0" applyNumberFormat="1" applyBorder="1" applyAlignment="1">
      <alignment horizontal="left"/>
    </xf>
    <xf numFmtId="0" fontId="55" fillId="0" borderId="0" xfId="0" applyFont="1" applyAlignment="1">
      <alignment horizontal="left"/>
    </xf>
    <xf numFmtId="0" fontId="56" fillId="0" borderId="0" xfId="0" applyFont="1" applyAlignment="1">
      <alignment horizontal="left"/>
    </xf>
    <xf numFmtId="0" fontId="57" fillId="0" borderId="0" xfId="0" applyFont="1" applyAlignment="1">
      <alignment horizontal="left"/>
    </xf>
    <xf numFmtId="0" fontId="25" fillId="10" borderId="0" xfId="116" applyFont="1" applyFill="1" applyAlignment="1">
      <alignment horizontal="left" wrapText="1"/>
    </xf>
    <xf numFmtId="0" fontId="53" fillId="15" borderId="4" xfId="116" applyNumberFormat="1" applyFont="1" applyFill="1" applyBorder="1" applyAlignment="1">
      <alignment horizontal="left" wrapText="1"/>
    </xf>
    <xf numFmtId="0" fontId="9" fillId="10" borderId="20" xfId="0" applyFont="1" applyFill="1" applyBorder="1" applyAlignment="1">
      <alignment horizontal="left" wrapText="1"/>
    </xf>
    <xf numFmtId="166" fontId="40" fillId="11" borderId="0" xfId="115" applyNumberFormat="1" applyFont="1" applyFill="1" applyBorder="1" applyAlignment="1">
      <alignment horizontal="left"/>
    </xf>
    <xf numFmtId="166" fontId="40" fillId="11" borderId="19" xfId="115" applyNumberFormat="1" applyFont="1" applyFill="1" applyBorder="1" applyAlignment="1">
      <alignment horizontal="left"/>
    </xf>
    <xf numFmtId="166" fontId="47" fillId="11" borderId="19" xfId="0" applyNumberFormat="1" applyFont="1" applyFill="1" applyBorder="1" applyAlignment="1">
      <alignment horizontal="left"/>
    </xf>
    <xf numFmtId="0" fontId="53" fillId="15" borderId="0" xfId="116" applyNumberFormat="1" applyFont="1" applyFill="1" applyBorder="1" applyAlignment="1">
      <alignment horizontal="left" wrapText="1"/>
    </xf>
    <xf numFmtId="166" fontId="9" fillId="8" borderId="19" xfId="0" applyNumberFormat="1" applyFont="1" applyFill="1" applyBorder="1" applyAlignment="1">
      <alignment horizontal="left"/>
    </xf>
    <xf numFmtId="10" fontId="9" fillId="8" borderId="0" xfId="0" applyNumberFormat="1" applyFont="1" applyFill="1" applyAlignment="1">
      <alignment horizontal="left"/>
    </xf>
    <xf numFmtId="10" fontId="9" fillId="8" borderId="19" xfId="0" applyNumberFormat="1" applyFont="1" applyFill="1" applyBorder="1" applyAlignment="1">
      <alignment horizontal="left"/>
    </xf>
    <xf numFmtId="0" fontId="0" fillId="17" borderId="0" xfId="0" applyFill="1" applyAlignment="1">
      <alignment horizontal="left" wrapText="1"/>
    </xf>
    <xf numFmtId="0" fontId="25" fillId="18" borderId="0" xfId="1" applyFont="1" applyFill="1" applyAlignment="1">
      <alignment wrapText="1"/>
    </xf>
    <xf numFmtId="166" fontId="0" fillId="9" borderId="19" xfId="0" applyNumberFormat="1" applyFill="1" applyBorder="1" applyAlignment="1">
      <alignment horizontal="left"/>
    </xf>
    <xf numFmtId="0" fontId="25" fillId="18" borderId="0" xfId="1" applyFont="1" applyFill="1" applyAlignment="1">
      <alignment horizontal="left" wrapText="1"/>
    </xf>
    <xf numFmtId="0" fontId="58" fillId="0" borderId="0" xfId="0" applyFont="1" applyAlignment="1">
      <alignment horizontal="left"/>
    </xf>
    <xf numFmtId="0" fontId="59" fillId="0" borderId="0" xfId="0" applyFont="1" applyAlignment="1">
      <alignment horizontal="left"/>
    </xf>
    <xf numFmtId="0" fontId="59" fillId="0" borderId="0" xfId="0" applyFont="1" applyAlignment="1">
      <alignment horizontal="left" wrapText="1"/>
    </xf>
    <xf numFmtId="0" fontId="0" fillId="0" borderId="13" xfId="0" applyBorder="1" applyAlignment="1">
      <alignment horizontal="left"/>
    </xf>
    <xf numFmtId="0" fontId="0" fillId="0" borderId="21" xfId="0" applyBorder="1" applyAlignment="1">
      <alignment horizontal="left"/>
    </xf>
    <xf numFmtId="166" fontId="0" fillId="0" borderId="21" xfId="0" applyNumberFormat="1" applyBorder="1" applyAlignment="1">
      <alignment horizontal="left"/>
    </xf>
    <xf numFmtId="166" fontId="9" fillId="8" borderId="21" xfId="0" applyNumberFormat="1" applyFont="1" applyFill="1" applyBorder="1" applyAlignment="1">
      <alignment horizontal="left"/>
    </xf>
    <xf numFmtId="10" fontId="9" fillId="8" borderId="21" xfId="0" applyNumberFormat="1" applyFont="1" applyFill="1" applyBorder="1" applyAlignment="1">
      <alignment horizontal="left"/>
    </xf>
    <xf numFmtId="166" fontId="40" fillId="11" borderId="21" xfId="115" applyNumberFormat="1" applyFont="1" applyFill="1" applyBorder="1" applyAlignment="1">
      <alignment horizontal="left"/>
    </xf>
    <xf numFmtId="166" fontId="47" fillId="11" borderId="21" xfId="0" applyNumberFormat="1" applyFont="1" applyFill="1" applyBorder="1" applyAlignment="1">
      <alignment horizontal="left"/>
    </xf>
    <xf numFmtId="166" fontId="0" fillId="9" borderId="21" xfId="0" applyNumberFormat="1" applyFill="1" applyBorder="1" applyAlignment="1">
      <alignment horizontal="left"/>
    </xf>
    <xf numFmtId="0" fontId="0" fillId="0" borderId="22" xfId="0" applyBorder="1" applyAlignment="1">
      <alignment horizontal="left"/>
    </xf>
    <xf numFmtId="0" fontId="0" fillId="0" borderId="0" xfId="0" applyBorder="1" applyAlignment="1">
      <alignment horizontal="left"/>
    </xf>
    <xf numFmtId="166" fontId="0" fillId="0" borderId="0" xfId="0" applyNumberFormat="1" applyBorder="1" applyAlignment="1">
      <alignment horizontal="left"/>
    </xf>
    <xf numFmtId="166" fontId="9" fillId="8" borderId="0" xfId="0" applyNumberFormat="1" applyFont="1" applyFill="1" applyBorder="1" applyAlignment="1">
      <alignment horizontal="left"/>
    </xf>
    <xf numFmtId="10" fontId="9" fillId="8" borderId="0" xfId="0" applyNumberFormat="1" applyFont="1" applyFill="1" applyBorder="1" applyAlignment="1">
      <alignment horizontal="left"/>
    </xf>
    <xf numFmtId="166" fontId="0" fillId="9" borderId="0" xfId="0" applyNumberFormat="1" applyFill="1" applyBorder="1" applyAlignment="1">
      <alignment horizontal="left"/>
    </xf>
    <xf numFmtId="166" fontId="47" fillId="11" borderId="23" xfId="0" applyNumberFormat="1" applyFont="1" applyFill="1" applyBorder="1" applyAlignment="1">
      <alignment horizontal="left"/>
    </xf>
    <xf numFmtId="0" fontId="0" fillId="0" borderId="7" xfId="0" applyBorder="1" applyAlignment="1">
      <alignment horizontal="left"/>
    </xf>
    <xf numFmtId="166" fontId="47" fillId="11" borderId="5" xfId="0" applyNumberFormat="1" applyFont="1" applyFill="1" applyBorder="1" applyAlignment="1">
      <alignment horizontal="left"/>
    </xf>
    <xf numFmtId="0" fontId="0" fillId="0" borderId="0" xfId="0" applyFont="1" applyFill="1"/>
    <xf numFmtId="0" fontId="60" fillId="0" borderId="0" xfId="116" applyFont="1" applyFill="1" applyAlignment="1">
      <alignment horizontal="left"/>
    </xf>
    <xf numFmtId="10" fontId="6" fillId="0" borderId="0" xfId="116" applyNumberFormat="1" applyAlignment="1">
      <alignment horizontal="left"/>
    </xf>
    <xf numFmtId="10" fontId="0" fillId="0" borderId="0" xfId="117" applyNumberFormat="1" applyFont="1" applyAlignment="1">
      <alignment horizontal="left"/>
    </xf>
    <xf numFmtId="0" fontId="29" fillId="0" borderId="0" xfId="116" applyFont="1" applyFill="1" applyAlignment="1">
      <alignment horizontal="left"/>
    </xf>
    <xf numFmtId="0" fontId="10" fillId="0" borderId="24" xfId="1" applyFont="1" applyFill="1" applyBorder="1" applyAlignment="1">
      <alignment vertical="top" wrapText="1"/>
    </xf>
    <xf numFmtId="10" fontId="20" fillId="0" borderId="0" xfId="1" applyNumberFormat="1" applyFont="1" applyFill="1" applyBorder="1" applyAlignment="1">
      <alignment horizontal="left" vertical="top"/>
    </xf>
    <xf numFmtId="0" fontId="10" fillId="0" borderId="26" xfId="1" applyFont="1" applyFill="1" applyBorder="1" applyAlignment="1">
      <alignment vertical="top" wrapText="1"/>
    </xf>
    <xf numFmtId="10" fontId="20" fillId="0" borderId="14" xfId="1" applyNumberFormat="1" applyFont="1" applyFill="1" applyBorder="1" applyAlignment="1">
      <alignment horizontal="left" vertical="top"/>
    </xf>
    <xf numFmtId="0" fontId="23" fillId="19" borderId="28" xfId="1" applyFont="1" applyFill="1" applyBorder="1"/>
    <xf numFmtId="0" fontId="23" fillId="19" borderId="29" xfId="1" applyFont="1" applyFill="1" applyBorder="1"/>
    <xf numFmtId="0" fontId="23" fillId="19" borderId="30" xfId="1" applyFont="1" applyFill="1" applyBorder="1"/>
    <xf numFmtId="165" fontId="17" fillId="0" borderId="0" xfId="22" applyNumberFormat="1" applyFont="1" applyFill="1" applyAlignment="1">
      <alignment horizontal="left"/>
    </xf>
    <xf numFmtId="165" fontId="10" fillId="0" borderId="0" xfId="116" applyNumberFormat="1" applyFont="1" applyAlignment="1">
      <alignment horizontal="left"/>
    </xf>
    <xf numFmtId="0" fontId="39" fillId="0" borderId="0" xfId="1" applyFont="1" applyFill="1" applyAlignment="1">
      <alignment vertical="center"/>
    </xf>
    <xf numFmtId="166" fontId="20" fillId="11" borderId="6" xfId="115" applyNumberFormat="1" applyFont="1" applyFill="1" applyBorder="1" applyAlignment="1">
      <alignment horizontal="left"/>
    </xf>
    <xf numFmtId="166" fontId="20" fillId="11" borderId="9" xfId="115" applyNumberFormat="1" applyFont="1" applyFill="1" applyBorder="1" applyAlignment="1">
      <alignment horizontal="left"/>
    </xf>
    <xf numFmtId="166" fontId="20" fillId="11" borderId="12" xfId="115" applyNumberFormat="1" applyFont="1" applyFill="1" applyBorder="1" applyAlignment="1">
      <alignment horizontal="left"/>
    </xf>
    <xf numFmtId="166" fontId="9" fillId="8" borderId="0" xfId="0" applyNumberFormat="1" applyFont="1" applyFill="1" applyAlignment="1">
      <alignment horizontal="left"/>
    </xf>
    <xf numFmtId="0" fontId="62" fillId="0" borderId="0" xfId="0" applyFont="1"/>
    <xf numFmtId="9" fontId="0" fillId="0" borderId="0" xfId="115" applyFont="1" applyAlignment="1">
      <alignment horizontal="left"/>
    </xf>
    <xf numFmtId="3" fontId="12" fillId="0" borderId="0" xfId="0" applyNumberFormat="1" applyFont="1" applyBorder="1" applyAlignment="1">
      <alignment horizontal="left"/>
    </xf>
    <xf numFmtId="0" fontId="12" fillId="0" borderId="0" xfId="0" applyFont="1" applyBorder="1" applyAlignment="1">
      <alignment horizontal="left"/>
    </xf>
    <xf numFmtId="10" fontId="12" fillId="0" borderId="0" xfId="0" applyNumberFormat="1" applyFont="1" applyBorder="1" applyAlignment="1">
      <alignment horizontal="left"/>
    </xf>
    <xf numFmtId="166" fontId="12" fillId="0" borderId="0" xfId="0" applyNumberFormat="1" applyFont="1" applyBorder="1" applyAlignment="1">
      <alignment horizontal="left"/>
    </xf>
    <xf numFmtId="4" fontId="12" fillId="0" borderId="0" xfId="0" applyNumberFormat="1" applyFont="1" applyBorder="1" applyAlignment="1">
      <alignment horizontal="left"/>
    </xf>
    <xf numFmtId="0" fontId="11" fillId="0" borderId="22" xfId="0" applyFont="1" applyFill="1" applyBorder="1" applyAlignment="1">
      <alignment horizontal="left"/>
    </xf>
    <xf numFmtId="0" fontId="11" fillId="0" borderId="22" xfId="0" applyFont="1" applyFill="1" applyBorder="1" applyAlignment="1">
      <alignment horizontal="left" wrapText="1"/>
    </xf>
    <xf numFmtId="0" fontId="27" fillId="0" borderId="22" xfId="0" applyFont="1" applyFill="1" applyBorder="1" applyAlignment="1">
      <alignment horizontal="left" wrapText="1"/>
    </xf>
    <xf numFmtId="0" fontId="11" fillId="0" borderId="20" xfId="0" applyFont="1" applyFill="1" applyBorder="1" applyAlignment="1">
      <alignment horizontal="left" wrapText="1"/>
    </xf>
    <xf numFmtId="3" fontId="12" fillId="0" borderId="34" xfId="0" applyNumberFormat="1" applyFont="1" applyFill="1" applyBorder="1" applyAlignment="1">
      <alignment horizontal="left"/>
    </xf>
    <xf numFmtId="3" fontId="12" fillId="0" borderId="35" xfId="0" applyNumberFormat="1" applyFont="1" applyFill="1" applyBorder="1" applyAlignment="1">
      <alignment horizontal="left"/>
    </xf>
    <xf numFmtId="0" fontId="12" fillId="0" borderId="35" xfId="0" applyFont="1" applyFill="1" applyBorder="1" applyAlignment="1">
      <alignment horizontal="left"/>
    </xf>
    <xf numFmtId="10" fontId="12" fillId="0" borderId="35" xfId="0" applyNumberFormat="1" applyFont="1" applyFill="1" applyBorder="1" applyAlignment="1">
      <alignment horizontal="left"/>
    </xf>
    <xf numFmtId="166" fontId="12" fillId="0" borderId="35" xfId="0" applyNumberFormat="1" applyFont="1" applyFill="1" applyBorder="1" applyAlignment="1">
      <alignment horizontal="left"/>
    </xf>
    <xf numFmtId="4" fontId="12" fillId="0" borderId="35" xfId="0" applyNumberFormat="1" applyFont="1" applyFill="1" applyBorder="1" applyAlignment="1">
      <alignment horizontal="left"/>
    </xf>
    <xf numFmtId="4" fontId="12" fillId="0" borderId="36" xfId="0" applyNumberFormat="1" applyFont="1" applyFill="1" applyBorder="1" applyAlignment="1">
      <alignment horizontal="left"/>
    </xf>
    <xf numFmtId="3" fontId="12" fillId="0" borderId="31" xfId="0" applyNumberFormat="1" applyFont="1" applyFill="1" applyBorder="1" applyAlignment="1">
      <alignment horizontal="left"/>
    </xf>
    <xf numFmtId="3" fontId="12" fillId="0" borderId="32" xfId="0" applyNumberFormat="1" applyFont="1" applyFill="1" applyBorder="1" applyAlignment="1">
      <alignment horizontal="left"/>
    </xf>
    <xf numFmtId="0" fontId="12" fillId="0" borderId="32" xfId="0" applyFont="1" applyFill="1" applyBorder="1" applyAlignment="1">
      <alignment horizontal="left"/>
    </xf>
    <xf numFmtId="10" fontId="12" fillId="0" borderId="32" xfId="0" applyNumberFormat="1" applyFont="1" applyFill="1" applyBorder="1" applyAlignment="1">
      <alignment horizontal="left"/>
    </xf>
    <xf numFmtId="166" fontId="12" fillId="0" borderId="32" xfId="0" applyNumberFormat="1" applyFont="1" applyFill="1" applyBorder="1" applyAlignment="1">
      <alignment horizontal="left"/>
    </xf>
    <xf numFmtId="4" fontId="12" fillId="0" borderId="32" xfId="0" applyNumberFormat="1" applyFont="1" applyFill="1" applyBorder="1" applyAlignment="1">
      <alignment horizontal="left"/>
    </xf>
    <xf numFmtId="4" fontId="12" fillId="0" borderId="33" xfId="0" applyNumberFormat="1" applyFont="1" applyFill="1" applyBorder="1" applyAlignment="1">
      <alignment horizontal="left"/>
    </xf>
    <xf numFmtId="0" fontId="11" fillId="0" borderId="0" xfId="0" applyFont="1" applyFill="1" applyBorder="1" applyAlignment="1">
      <alignment horizontal="left"/>
    </xf>
    <xf numFmtId="0" fontId="12" fillId="0" borderId="0" xfId="0" applyFont="1" applyFill="1" applyBorder="1" applyAlignment="1">
      <alignment horizontal="left"/>
    </xf>
    <xf numFmtId="0" fontId="9" fillId="0" borderId="0" xfId="0" applyFont="1" applyAlignment="1">
      <alignment horizontal="left"/>
    </xf>
    <xf numFmtId="3" fontId="24" fillId="0" borderId="0" xfId="0" applyNumberFormat="1" applyFont="1" applyBorder="1" applyAlignment="1">
      <alignment horizontal="left"/>
    </xf>
    <xf numFmtId="3" fontId="24" fillId="0" borderId="0" xfId="0" applyNumberFormat="1" applyFont="1" applyBorder="1" applyAlignment="1">
      <alignment horizontal="left" wrapText="1"/>
    </xf>
    <xf numFmtId="10" fontId="24" fillId="0" borderId="0" xfId="0" applyNumberFormat="1" applyFont="1" applyBorder="1" applyAlignment="1">
      <alignment horizontal="left" wrapText="1"/>
    </xf>
    <xf numFmtId="166" fontId="24" fillId="0" borderId="0" xfId="0" applyNumberFormat="1" applyFont="1" applyBorder="1" applyAlignment="1">
      <alignment horizontal="left" wrapText="1"/>
    </xf>
    <xf numFmtId="4" fontId="24" fillId="0" borderId="0" xfId="0" applyNumberFormat="1" applyFont="1" applyBorder="1" applyAlignment="1">
      <alignment horizontal="left" wrapText="1"/>
    </xf>
    <xf numFmtId="9" fontId="12" fillId="0" borderId="0" xfId="0" applyNumberFormat="1" applyFont="1" applyBorder="1" applyAlignment="1">
      <alignment horizontal="left"/>
    </xf>
    <xf numFmtId="16" fontId="12" fillId="0" borderId="0" xfId="0" applyNumberFormat="1" applyFont="1" applyBorder="1" applyAlignment="1">
      <alignment horizontal="left"/>
    </xf>
    <xf numFmtId="0" fontId="64" fillId="0" borderId="0" xfId="1" applyFont="1"/>
    <xf numFmtId="0" fontId="12" fillId="0" borderId="0" xfId="0" applyFont="1" applyFill="1" applyBorder="1"/>
    <xf numFmtId="0" fontId="63" fillId="0" borderId="0" xfId="0" applyFont="1" applyFill="1" applyBorder="1" applyAlignment="1">
      <alignment horizontal="left"/>
    </xf>
    <xf numFmtId="0" fontId="63" fillId="0" borderId="0" xfId="0" applyFont="1" applyFill="1" applyBorder="1"/>
    <xf numFmtId="0" fontId="2" fillId="0" borderId="0" xfId="1" applyFont="1" applyAlignment="1">
      <alignment horizontal="left" indent="1"/>
    </xf>
    <xf numFmtId="0" fontId="65" fillId="0" borderId="0" xfId="0" applyFont="1" applyFill="1" applyAlignment="1">
      <alignment horizontal="left"/>
    </xf>
    <xf numFmtId="0" fontId="65" fillId="0" borderId="0" xfId="0" applyFont="1"/>
    <xf numFmtId="0" fontId="12" fillId="0" borderId="0" xfId="0" applyFont="1" applyFill="1" applyBorder="1" applyAlignment="1">
      <alignment horizontal="left" wrapText="1"/>
    </xf>
    <xf numFmtId="0" fontId="12" fillId="0" borderId="0" xfId="0" applyFont="1" applyFill="1" applyBorder="1" applyAlignment="1">
      <alignment horizontal="left" vertical="top" wrapText="1"/>
    </xf>
    <xf numFmtId="0" fontId="66" fillId="0" borderId="0" xfId="0" applyFont="1" applyAlignment="1">
      <alignment horizontal="left"/>
    </xf>
    <xf numFmtId="0" fontId="67" fillId="0" borderId="0" xfId="0" applyFont="1" applyAlignment="1">
      <alignment horizontal="left"/>
    </xf>
    <xf numFmtId="168" fontId="12" fillId="0" borderId="0" xfId="0" applyNumberFormat="1" applyFont="1" applyBorder="1" applyAlignment="1">
      <alignment horizontal="left"/>
    </xf>
    <xf numFmtId="168" fontId="12" fillId="0" borderId="35" xfId="0" applyNumberFormat="1" applyFont="1" applyFill="1" applyBorder="1" applyAlignment="1">
      <alignment horizontal="left"/>
    </xf>
    <xf numFmtId="168" fontId="12" fillId="0" borderId="36" xfId="0" applyNumberFormat="1" applyFont="1" applyFill="1" applyBorder="1" applyAlignment="1">
      <alignment horizontal="left"/>
    </xf>
    <xf numFmtId="168" fontId="12" fillId="0" borderId="32" xfId="0" applyNumberFormat="1" applyFont="1" applyFill="1" applyBorder="1" applyAlignment="1">
      <alignment horizontal="left"/>
    </xf>
    <xf numFmtId="168" fontId="12" fillId="0" borderId="33" xfId="0" applyNumberFormat="1" applyFont="1" applyFill="1" applyBorder="1" applyAlignment="1">
      <alignment horizontal="left"/>
    </xf>
    <xf numFmtId="0" fontId="61" fillId="0" borderId="14" xfId="1" applyFont="1" applyBorder="1" applyAlignment="1">
      <alignment horizontal="left" vertical="top"/>
    </xf>
    <xf numFmtId="0" fontId="19" fillId="0" borderId="0" xfId="1" applyFont="1" applyBorder="1" applyAlignment="1">
      <alignment horizontal="left" vertical="top" wrapText="1"/>
    </xf>
    <xf numFmtId="0" fontId="10" fillId="0" borderId="25" xfId="1" applyBorder="1" applyAlignment="1">
      <alignment vertical="top" wrapText="1"/>
    </xf>
    <xf numFmtId="0" fontId="10" fillId="0" borderId="27" xfId="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vertical="top" wrapText="1"/>
    </xf>
    <xf numFmtId="0" fontId="12" fillId="0" borderId="0" xfId="0" applyFont="1" applyFill="1" applyBorder="1" applyAlignment="1">
      <alignment horizontal="left" vertical="top"/>
    </xf>
    <xf numFmtId="0" fontId="63" fillId="0" borderId="0" xfId="0" applyFont="1" applyFill="1" applyBorder="1" applyAlignment="1">
      <alignment vertical="top"/>
    </xf>
    <xf numFmtId="0" fontId="63" fillId="0" borderId="0" xfId="0" applyFont="1" applyFill="1" applyBorder="1" applyAlignment="1">
      <alignment horizontal="left" vertical="top"/>
    </xf>
    <xf numFmtId="3" fontId="12" fillId="0" borderId="0" xfId="0" applyNumberFormat="1" applyFont="1" applyFill="1" applyBorder="1" applyAlignment="1">
      <alignment horizontal="left" vertical="top"/>
    </xf>
    <xf numFmtId="0" fontId="12" fillId="0" borderId="38" xfId="0" applyFont="1" applyBorder="1" applyAlignment="1">
      <alignment horizontal="left" vertical="top"/>
    </xf>
    <xf numFmtId="3" fontId="12" fillId="0" borderId="38" xfId="0" applyNumberFormat="1" applyFont="1" applyBorder="1" applyAlignment="1">
      <alignment horizontal="left" vertical="top"/>
    </xf>
    <xf numFmtId="0" fontId="12" fillId="0" borderId="37" xfId="0" applyFont="1" applyBorder="1" applyAlignment="1">
      <alignment horizontal="left" vertical="top"/>
    </xf>
    <xf numFmtId="3" fontId="12" fillId="0" borderId="37" xfId="0" applyNumberFormat="1" applyFont="1" applyBorder="1" applyAlignment="1">
      <alignment horizontal="left" vertical="top"/>
    </xf>
    <xf numFmtId="0" fontId="12" fillId="0" borderId="0" xfId="0" applyFont="1" applyBorder="1" applyAlignment="1">
      <alignment horizontal="left" vertical="top"/>
    </xf>
    <xf numFmtId="3" fontId="12" fillId="0" borderId="0" xfId="0" applyNumberFormat="1" applyFont="1" applyBorder="1" applyAlignment="1">
      <alignment horizontal="left" vertical="top"/>
    </xf>
    <xf numFmtId="0" fontId="12" fillId="0" borderId="0" xfId="0" applyFont="1" applyBorder="1" applyAlignment="1">
      <alignment horizontal="left" vertical="top" wrapText="1"/>
    </xf>
    <xf numFmtId="0" fontId="12" fillId="0" borderId="38" xfId="0" applyFont="1" applyBorder="1" applyAlignment="1">
      <alignment horizontal="left" vertical="top" wrapText="1"/>
    </xf>
    <xf numFmtId="0" fontId="12" fillId="0" borderId="37" xfId="0" applyFont="1" applyBorder="1" applyAlignment="1">
      <alignment horizontal="left" vertical="top" wrapText="1"/>
    </xf>
    <xf numFmtId="166" fontId="12" fillId="0" borderId="0" xfId="0" applyNumberFormat="1" applyFont="1" applyFill="1" applyBorder="1" applyAlignment="1">
      <alignment horizontal="left" vertical="top"/>
    </xf>
    <xf numFmtId="0" fontId="2" fillId="0" borderId="0" xfId="1" applyFont="1" applyFill="1" applyAlignment="1">
      <alignment horizontal="left" indent="1"/>
    </xf>
    <xf numFmtId="3" fontId="0" fillId="0" borderId="0" xfId="0" applyNumberFormat="1"/>
    <xf numFmtId="3" fontId="0" fillId="0" borderId="0" xfId="0" applyNumberFormat="1" applyFont="1" applyFill="1" applyAlignment="1">
      <alignment vertical="top"/>
    </xf>
    <xf numFmtId="0" fontId="0" fillId="0" borderId="0" xfId="0" applyFont="1" applyFill="1" applyAlignment="1">
      <alignment vertical="top"/>
    </xf>
    <xf numFmtId="0" fontId="0" fillId="0" borderId="0" xfId="0" applyFont="1" applyFill="1" applyBorder="1" applyAlignment="1">
      <alignment horizontal="left" vertical="top"/>
    </xf>
    <xf numFmtId="0" fontId="9" fillId="0" borderId="0" xfId="0" applyFont="1" applyFill="1" applyBorder="1" applyAlignment="1">
      <alignment horizontal="left"/>
    </xf>
    <xf numFmtId="0" fontId="0" fillId="0" borderId="0" xfId="0" applyFont="1" applyFill="1" applyBorder="1" applyAlignment="1">
      <alignment vertical="top"/>
    </xf>
    <xf numFmtId="0" fontId="0" fillId="0" borderId="0" xfId="0" applyFont="1" applyFill="1" applyBorder="1" applyAlignment="1">
      <alignment vertical="top" wrapText="1"/>
    </xf>
    <xf numFmtId="3" fontId="0" fillId="0" borderId="0" xfId="0" applyNumberFormat="1" applyFont="1" applyFill="1" applyBorder="1" applyAlignment="1">
      <alignment vertical="top"/>
    </xf>
    <xf numFmtId="0" fontId="0" fillId="0" borderId="0" xfId="0" applyFont="1" applyFill="1" applyBorder="1" applyAlignment="1">
      <alignment horizontal="left" vertical="top" wrapText="1"/>
    </xf>
    <xf numFmtId="0" fontId="0" fillId="0" borderId="0" xfId="0" applyFont="1" applyFill="1" applyBorder="1" applyAlignment="1">
      <alignment wrapText="1"/>
    </xf>
    <xf numFmtId="0" fontId="27" fillId="20" borderId="39" xfId="0" applyFont="1" applyFill="1" applyBorder="1" applyAlignment="1">
      <alignment wrapText="1"/>
    </xf>
    <xf numFmtId="0" fontId="9" fillId="0" borderId="39" xfId="0" applyFont="1" applyFill="1" applyBorder="1" applyAlignment="1">
      <alignment wrapText="1"/>
    </xf>
    <xf numFmtId="0" fontId="0" fillId="0" borderId="0" xfId="0" applyFont="1" applyFill="1" applyAlignment="1">
      <alignment vertical="top" wrapText="1"/>
    </xf>
    <xf numFmtId="9" fontId="0" fillId="0" borderId="0" xfId="0" applyNumberFormat="1" applyFont="1" applyFill="1" applyAlignment="1">
      <alignment vertical="top"/>
    </xf>
    <xf numFmtId="165" fontId="0" fillId="0" borderId="0" xfId="0" applyNumberFormat="1" applyFont="1" applyFill="1" applyAlignment="1">
      <alignment vertical="top"/>
    </xf>
    <xf numFmtId="0" fontId="0" fillId="0" borderId="0" xfId="0" applyFont="1" applyFill="1" applyAlignment="1">
      <alignment horizontal="left"/>
    </xf>
    <xf numFmtId="0" fontId="57" fillId="0" borderId="0" xfId="0" applyFont="1"/>
    <xf numFmtId="0" fontId="0" fillId="0" borderId="0" xfId="0" applyFont="1" applyFill="1" applyAlignment="1">
      <alignment horizontal="left" vertical="top"/>
    </xf>
    <xf numFmtId="0" fontId="63" fillId="9" borderId="0" xfId="0" applyFont="1" applyFill="1"/>
    <xf numFmtId="0" fontId="63" fillId="9" borderId="0" xfId="0" applyFont="1" applyFill="1" applyAlignment="1">
      <alignment vertical="top" wrapText="1"/>
    </xf>
    <xf numFmtId="0" fontId="63" fillId="9" borderId="0" xfId="0" applyFont="1" applyFill="1" applyAlignment="1">
      <alignment horizontal="left"/>
    </xf>
    <xf numFmtId="0" fontId="63" fillId="9" borderId="0" xfId="0" applyFont="1" applyFill="1" applyBorder="1" applyAlignment="1">
      <alignment horizontal="left" vertical="top"/>
    </xf>
    <xf numFmtId="3" fontId="63" fillId="9" borderId="0" xfId="0" applyNumberFormat="1" applyFont="1" applyFill="1" applyAlignment="1">
      <alignment vertical="top"/>
    </xf>
    <xf numFmtId="165" fontId="63" fillId="9" borderId="0" xfId="0" applyNumberFormat="1" applyFont="1" applyFill="1" applyAlignment="1">
      <alignment vertical="top"/>
    </xf>
    <xf numFmtId="0" fontId="63" fillId="9" borderId="0" xfId="0" applyFont="1" applyFill="1" applyAlignment="1">
      <alignment horizontal="left" vertical="top"/>
    </xf>
    <xf numFmtId="9" fontId="63" fillId="9" borderId="0" xfId="0" applyNumberFormat="1" applyFont="1" applyFill="1" applyAlignment="1">
      <alignment vertical="top"/>
    </xf>
    <xf numFmtId="3" fontId="68" fillId="0" borderId="0" xfId="0" applyNumberFormat="1" applyFont="1" applyFill="1" applyBorder="1" applyAlignment="1">
      <alignment vertical="top"/>
    </xf>
    <xf numFmtId="0" fontId="50" fillId="0" borderId="14" xfId="116" applyFont="1" applyBorder="1" applyAlignment="1">
      <alignment horizontal="left"/>
    </xf>
    <xf numFmtId="166" fontId="50" fillId="0" borderId="14" xfId="116" applyNumberFormat="1" applyFont="1" applyFill="1" applyBorder="1" applyAlignment="1">
      <alignment horizontal="left"/>
    </xf>
    <xf numFmtId="166" fontId="50" fillId="0" borderId="14" xfId="116" applyNumberFormat="1" applyFont="1" applyBorder="1" applyAlignment="1">
      <alignment horizontal="left"/>
    </xf>
    <xf numFmtId="0" fontId="1" fillId="21" borderId="0" xfId="116" applyFont="1" applyFill="1" applyAlignment="1">
      <alignment horizontal="left"/>
    </xf>
    <xf numFmtId="166" fontId="1" fillId="21" borderId="0" xfId="116" applyNumberFormat="1" applyFont="1" applyFill="1" applyAlignment="1">
      <alignment horizontal="left"/>
    </xf>
    <xf numFmtId="0" fontId="10" fillId="0" borderId="0" xfId="1" applyAlignment="1">
      <alignment vertical="top"/>
    </xf>
    <xf numFmtId="0" fontId="10" fillId="0" borderId="0" xfId="1" applyAlignment="1">
      <alignment horizontal="left" vertical="top"/>
    </xf>
    <xf numFmtId="3" fontId="10" fillId="0" borderId="0" xfId="1" applyNumberFormat="1" applyAlignment="1">
      <alignment horizontal="left" vertical="top"/>
    </xf>
    <xf numFmtId="9" fontId="10" fillId="0" borderId="0" xfId="1" applyNumberFormat="1" applyAlignment="1">
      <alignment horizontal="left" vertical="top"/>
    </xf>
    <xf numFmtId="0" fontId="10" fillId="0" borderId="0" xfId="1" applyFont="1" applyAlignment="1">
      <alignment vertical="top" wrapText="1"/>
    </xf>
    <xf numFmtId="0" fontId="10" fillId="0" borderId="0" xfId="1" applyFill="1" applyAlignment="1">
      <alignment vertical="top"/>
    </xf>
    <xf numFmtId="0" fontId="10" fillId="0" borderId="0" xfId="1" applyFill="1" applyAlignment="1">
      <alignment horizontal="left" vertical="top"/>
    </xf>
    <xf numFmtId="167" fontId="10" fillId="0" borderId="0" xfId="1" applyNumberFormat="1" applyAlignment="1">
      <alignment horizontal="left" vertical="top"/>
    </xf>
    <xf numFmtId="166" fontId="10" fillId="0" borderId="0" xfId="1" applyNumberFormat="1" applyAlignment="1">
      <alignment horizontal="left" vertical="top"/>
    </xf>
    <xf numFmtId="168" fontId="0" fillId="0" borderId="21" xfId="0" applyNumberFormat="1" applyBorder="1" applyAlignment="1">
      <alignment horizontal="left"/>
    </xf>
    <xf numFmtId="168" fontId="0" fillId="0" borderId="0" xfId="0" applyNumberFormat="1" applyBorder="1" applyAlignment="1">
      <alignment horizontal="left"/>
    </xf>
    <xf numFmtId="168" fontId="0" fillId="0" borderId="19" xfId="0" applyNumberFormat="1" applyBorder="1" applyAlignment="1">
      <alignment horizontal="left"/>
    </xf>
    <xf numFmtId="10" fontId="0" fillId="5" borderId="21" xfId="0" applyNumberFormat="1" applyFill="1" applyBorder="1" applyAlignment="1">
      <alignment horizontal="left"/>
    </xf>
    <xf numFmtId="10" fontId="0" fillId="5" borderId="0" xfId="0" applyNumberFormat="1" applyFill="1" applyBorder="1" applyAlignment="1">
      <alignment horizontal="left"/>
    </xf>
    <xf numFmtId="10" fontId="0" fillId="5" borderId="19" xfId="0" applyNumberFormat="1" applyFill="1" applyBorder="1" applyAlignment="1">
      <alignment horizontal="left"/>
    </xf>
    <xf numFmtId="0" fontId="0" fillId="22" borderId="0" xfId="0" applyFill="1" applyAlignment="1">
      <alignment horizontal="left" wrapText="1"/>
    </xf>
    <xf numFmtId="0" fontId="17" fillId="0" borderId="0" xfId="0" applyFont="1" applyAlignment="1">
      <alignment horizontal="left" wrapText="1"/>
    </xf>
    <xf numFmtId="0" fontId="17" fillId="17" borderId="0" xfId="0" applyFont="1" applyFill="1" applyAlignment="1">
      <alignment horizontal="left" wrapText="1"/>
    </xf>
    <xf numFmtId="10" fontId="0" fillId="5" borderId="21" xfId="115" applyNumberFormat="1" applyFont="1" applyFill="1" applyBorder="1" applyAlignment="1">
      <alignment horizontal="left"/>
    </xf>
    <xf numFmtId="10" fontId="0" fillId="5" borderId="0" xfId="115" applyNumberFormat="1" applyFont="1" applyFill="1" applyBorder="1" applyAlignment="1">
      <alignment horizontal="left"/>
    </xf>
    <xf numFmtId="10" fontId="0" fillId="5" borderId="19" xfId="115" applyNumberFormat="1" applyFont="1" applyFill="1" applyBorder="1" applyAlignment="1">
      <alignment horizontal="left"/>
    </xf>
    <xf numFmtId="0" fontId="17" fillId="0" borderId="19" xfId="0" applyFont="1" applyBorder="1" applyAlignment="1">
      <alignment horizontal="left" wrapText="1"/>
    </xf>
    <xf numFmtId="0" fontId="25" fillId="6" borderId="0" xfId="1" applyFont="1" applyFill="1" applyAlignment="1">
      <alignment horizontal="center" vertical="center" wrapText="1"/>
    </xf>
    <xf numFmtId="0" fontId="10" fillId="9" borderId="0" xfId="1" applyFill="1" applyAlignment="1">
      <alignment horizontal="center" vertical="center" wrapText="1"/>
    </xf>
    <xf numFmtId="0" fontId="25" fillId="10" borderId="0" xfId="1" applyFont="1" applyFill="1" applyAlignment="1">
      <alignment horizontal="center" vertical="center" wrapText="1"/>
    </xf>
  </cellXfs>
  <cellStyles count="317">
    <cellStyle name="Comma 11" xfId="23"/>
    <cellStyle name="Comma 2" xfId="2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cellStyle name="Normal" xfId="0" builtinId="0"/>
    <cellStyle name="Normal 2" xfId="1"/>
    <cellStyle name="Normal 3" xfId="24"/>
    <cellStyle name="Normal 4" xfId="63"/>
    <cellStyle name="Normal 5" xfId="116"/>
    <cellStyle name="Percent" xfId="115" builtinId="5"/>
    <cellStyle name="Percent 2" xfId="117"/>
    <cellStyle name="Обычный 2" xfId="96"/>
  </cellStyles>
  <dxfs count="1699">
    <dxf>
      <numFmt numFmtId="3" formatCode="#,##0"/>
      <alignment horizontal="left" vertical="bottom" textRotation="0" wrapText="0" indent="0" justifyLastLine="0" shrinkToFit="0"/>
    </dxf>
    <dxf>
      <numFmt numFmtId="3" formatCode="#,##0"/>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font>
        <b val="0"/>
        <i val="0"/>
        <strike val="0"/>
        <condense val="0"/>
        <extend val="0"/>
        <outline val="0"/>
        <shadow val="0"/>
        <u val="none"/>
        <vertAlign val="baseline"/>
        <sz val="11"/>
        <color rgb="FF000000"/>
        <name val="Calibri"/>
        <scheme val="none"/>
      </font>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font>
      <numFmt numFmtId="14" formatCode="0.00%"/>
      <fill>
        <patternFill patternType="solid">
          <fgColor indexed="64"/>
          <bgColor theme="7" tint="0.79998168889431442"/>
        </patternFill>
      </fill>
      <alignment horizontal="left" vertical="bottom" textRotation="0" wrapText="0" indent="0" justifyLastLine="0" shrinkToFit="0" readingOrder="0"/>
    </dxf>
    <dxf>
      <font>
        <b/>
      </font>
      <numFmt numFmtId="14" formatCode="0.0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4" formatCode="0.00%"/>
      <fill>
        <patternFill patternType="solid">
          <fgColor indexed="64"/>
          <bgColor theme="5"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vertical/>
      </border>
    </dxf>
    <dxf>
      <alignment horizontal="left" vertical="bottom" textRotation="0" wrapText="0" indent="0" justifyLastLine="0" shrinkToFit="0" readingOrder="0"/>
    </dxf>
    <dxf>
      <alignment horizontal="left" vertical="bottom"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font>
      <numFmt numFmtId="14" formatCode="0.00%"/>
      <fill>
        <patternFill patternType="solid">
          <fgColor indexed="64"/>
          <bgColor theme="7" tint="0.79998168889431442"/>
        </patternFill>
      </fill>
      <alignment horizontal="left" vertical="bottom" textRotation="0" wrapText="0" indent="0" justifyLastLine="0" shrinkToFit="0" readingOrder="0"/>
    </dxf>
    <dxf>
      <font>
        <b/>
      </font>
      <numFmt numFmtId="14" formatCode="0.0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4" formatCode="0.00%"/>
      <fill>
        <patternFill patternType="solid">
          <fgColor indexed="64"/>
          <bgColor theme="5"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vertical/>
      </border>
    </dxf>
    <dxf>
      <alignment horizontal="left" vertical="bottom" textRotation="0" wrapText="0" indent="0" justifyLastLine="0" shrinkToFit="0" readingOrder="0"/>
    </dxf>
    <dxf>
      <alignment horizontal="left" vertical="bottom"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font>
      <numFmt numFmtId="14" formatCode="0.00%"/>
      <fill>
        <patternFill patternType="solid">
          <fgColor indexed="64"/>
          <bgColor theme="7" tint="0.79998168889431442"/>
        </patternFill>
      </fill>
      <alignment horizontal="left" vertical="bottom" textRotation="0" wrapText="0" indent="0" justifyLastLine="0" shrinkToFit="0" readingOrder="0"/>
    </dxf>
    <dxf>
      <font>
        <b/>
      </font>
      <numFmt numFmtId="14" formatCode="0.0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4" formatCode="0.00%"/>
      <fill>
        <patternFill patternType="solid">
          <fgColor indexed="64"/>
          <bgColor theme="5"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vertical/>
      </border>
    </dxf>
    <dxf>
      <alignment horizontal="left" vertical="bottom" textRotation="0" wrapText="0" indent="0" justifyLastLine="0" shrinkToFit="0" readingOrder="0"/>
    </dxf>
    <dxf>
      <alignment horizontal="left" vertical="bottom"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font>
      <numFmt numFmtId="14" formatCode="0.00%"/>
      <fill>
        <patternFill patternType="solid">
          <fgColor indexed="64"/>
          <bgColor theme="7" tint="0.79998168889431442"/>
        </patternFill>
      </fill>
      <alignment horizontal="left" vertical="bottom" textRotation="0" wrapText="0" indent="0" justifyLastLine="0" shrinkToFit="0" readingOrder="0"/>
    </dxf>
    <dxf>
      <font>
        <b/>
      </font>
      <numFmt numFmtId="14" formatCode="0.0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ont>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4" formatCode="0.00%"/>
      <fill>
        <patternFill patternType="solid">
          <fgColor indexed="64"/>
          <bgColor theme="5"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font>
        <b/>
        <family val="2"/>
      </font>
      <numFmt numFmtId="0" formatCode="General"/>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vertical/>
      </border>
    </dxf>
    <dxf>
      <alignment horizontal="left" vertical="bottom" textRotation="0" wrapText="0" indent="0" justifyLastLine="0" shrinkToFit="0" readingOrder="0"/>
    </dxf>
    <dxf>
      <alignment horizontal="left" vertical="bottom" textRotation="0" wrapText="1"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border diagonalUp="0" diagonalDown="0">
        <left/>
        <right style="thin">
          <color indexed="64"/>
        </right>
        <vertical/>
      </border>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9" tint="-0.499984740745262"/>
        <name val="Calibri"/>
        <scheme val="none"/>
      </font>
      <numFmt numFmtId="166" formatCode="[$GEL]\ #,##0"/>
      <fill>
        <patternFill patternType="solid">
          <fgColor indexed="64"/>
          <bgColor theme="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none"/>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none"/>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none"/>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none"/>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font>
      <numFmt numFmtId="166" formatCode="[$GEL]\ #,##0"/>
      <fill>
        <patternFill>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none"/>
      </font>
      <numFmt numFmtId="14" formatCode="0.00%"/>
      <fill>
        <patternFill patternType="solid">
          <fgColor indexed="64"/>
          <bgColor theme="7"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none"/>
      </font>
      <numFmt numFmtId="14" formatCode="0.00%"/>
      <fill>
        <patternFill patternType="solid">
          <fgColor indexed="64"/>
          <bgColor theme="7" tint="0.79998168889431442"/>
        </patternFill>
      </fill>
      <alignment horizontal="left" vertical="bottom" textRotation="0" wrapText="0" indent="0" justifyLastLine="0" shrinkToFit="0" readingOrder="0"/>
    </dxf>
    <dxf>
      <numFmt numFmtId="14" formatCode="0.0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none"/>
      </font>
      <numFmt numFmtId="166" formatCode="[$GEL]\ #,##0"/>
      <fill>
        <patternFill patternType="solid">
          <fgColor indexed="64"/>
          <bgColor theme="7"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none"/>
      </font>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4" formatCode="0.00%"/>
      <fill>
        <patternFill patternType="solid">
          <fgColor indexed="64"/>
          <bgColor theme="5" tint="0.79998168889431442"/>
        </patternFill>
      </fill>
      <alignment horizontal="left" vertical="bottom" textRotation="0" wrapText="0" indent="0" justifyLastLine="0" shrinkToFit="0" readingOrder="0"/>
    </dxf>
    <dxf>
      <font>
        <b/>
        <family val="2"/>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amily val="2"/>
      </font>
      <numFmt numFmtId="166" formatCode="[$GEL]\ #,##0"/>
      <fill>
        <patternFill patternType="solid">
          <fgColor indexed="64"/>
          <bgColor theme="7" tint="0.79998168889431442"/>
        </patternFill>
      </fill>
      <alignment horizontal="left" vertical="bottom" textRotation="0" wrapText="0" indent="0" justifyLastLine="0" shrinkToFit="0" readingOrder="0"/>
    </dxf>
    <dxf>
      <font>
        <b/>
        <family val="2"/>
      </font>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vertical/>
      </border>
    </dxf>
    <dxf>
      <alignment horizontal="left" vertical="bottom" textRotation="0" wrapText="0" indent="0" justifyLastLine="0" shrinkToFit="0" readingOrder="0"/>
    </dxf>
    <dxf>
      <alignment horizontal="left" vertical="bottom" textRotation="0" wrapText="1" indent="0" justifyLastLine="0" shrinkToFit="0" readingOrder="0"/>
    </dxf>
    <dxf>
      <numFmt numFmtId="14" formatCode="0.00%"/>
      <fill>
        <patternFill patternType="solid">
          <fgColor indexed="64"/>
          <bgColor theme="7" tint="0.79998168889431442"/>
        </patternFill>
      </fill>
      <alignment horizontal="left" vertical="bottom" textRotation="0" wrapText="0" indent="0" justifyLastLine="0" shrinkToFit="0"/>
    </dxf>
    <dxf>
      <numFmt numFmtId="14" formatCode="0.00%"/>
      <fill>
        <patternFill patternType="solid">
          <fgColor indexed="64"/>
          <bgColor theme="7" tint="0.79998168889431442"/>
        </patternFill>
      </fill>
      <alignment horizontal="left" vertical="bottom" textRotation="0" wrapText="0" indent="0" justifyLastLine="0" shrinkToFit="0"/>
    </dxf>
    <dxf>
      <numFmt numFmtId="14" formatCode="0.00%"/>
      <fill>
        <patternFill patternType="solid">
          <fgColor indexed="64"/>
          <bgColor theme="7" tint="0.79998168889431442"/>
        </patternFill>
      </fill>
      <alignment horizontal="left" vertical="bottom" textRotation="0" wrapText="0" indent="0" justifyLastLine="0" shrinkToFit="0"/>
    </dxf>
    <dxf>
      <numFmt numFmtId="166" formatCode="[$GEL]\ #,##0"/>
      <alignment horizontal="left" vertical="bottom" textRotation="0" wrapText="0" indent="0" justifyLastLine="0" shrinkToFit="0"/>
    </dxf>
    <dxf>
      <font>
        <b/>
        <i val="0"/>
        <strike val="0"/>
        <condense val="0"/>
        <extend val="0"/>
        <outline val="0"/>
        <shadow val="0"/>
        <u val="none"/>
        <vertAlign val="baseline"/>
        <sz val="11"/>
        <color auto="1"/>
        <name val="Calibri"/>
        <scheme val="none"/>
      </font>
      <numFmt numFmtId="166" formatCode="[$GEL]\ #,##0"/>
      <fill>
        <patternFill patternType="solid">
          <fgColor indexed="64"/>
          <bgColor theme="7"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none"/>
      </font>
      <numFmt numFmtId="166" formatCode="[$GEL]\ #,##0"/>
      <fill>
        <patternFill patternType="solid">
          <fgColor indexed="64"/>
          <bgColor theme="7" tint="0.79998168889431442"/>
        </patternFill>
      </fill>
      <alignment horizontal="left" vertical="bottom" textRotation="0" wrapText="0" indent="0" justifyLastLine="0" shrinkToFit="0" readingOrder="0"/>
    </dxf>
    <dxf>
      <numFmt numFmtId="166" formatCode="[$GEL]\ #,##0"/>
      <fill>
        <patternFill patternType="solid">
          <fgColor indexed="64"/>
          <bgColor theme="7" tint="0.79998168889431442"/>
        </patternFill>
      </fill>
      <alignment horizontal="left" vertical="bottom" textRotation="0" wrapText="0" indent="0" justifyLastLine="0" shrinkToFit="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68" formatCode="[$GEL]\ #,##0.00"/>
      <fill>
        <patternFill patternType="solid">
          <fgColor rgb="FFB4C6E7"/>
          <bgColor rgb="FFB4C6E7"/>
        </patternFill>
      </fill>
      <alignment horizontal="left" vertical="bottom" textRotation="0" wrapText="0" indent="0" justifyLastLine="0" shrinkToFit="0" readingOrder="0"/>
      <border diagonalUp="0" diagonalDown="0" outline="0">
        <left style="thin">
          <color rgb="FFFFFFFF"/>
        </left>
        <right style="thin">
          <color rgb="FFFFFFFF"/>
        </right>
        <top style="thin">
          <color rgb="FFFFFFFF"/>
        </top>
        <bottom/>
      </border>
    </dxf>
    <dxf>
      <numFmt numFmtId="168" formatCode="[$GEL]\ #,##0.00"/>
      <alignment horizontal="left" vertical="bottom" textRotation="0" wrapText="0" indent="0" justifyLastLine="0" shrinkToFit="0" readingOrder="0"/>
    </dxf>
    <dxf>
      <numFmt numFmtId="168" formatCode="[$GEL]\ #,##0.00"/>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0" indent="0" justifyLastLine="0" shrinkToFit="0"/>
    </dxf>
    <dxf>
      <alignment horizontal="left" vertical="bottom" textRotation="0" wrapText="1" indent="0" justifyLastLine="0" shrinkToFit="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border diagonalUp="0" diagonalDown="0">
        <left/>
        <right/>
        <top/>
        <bottom/>
      </border>
    </dxf>
    <dxf>
      <font>
        <strike val="0"/>
        <outline val="0"/>
        <shadow val="0"/>
        <u val="none"/>
        <vertAlign val="baseline"/>
        <sz val="11"/>
        <color auto="1"/>
        <name val="Calibri"/>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border diagonalUp="0" diagonalDown="0">
        <left/>
        <right/>
        <top/>
        <bottom/>
      </border>
    </dxf>
    <dxf>
      <font>
        <strike val="0"/>
        <outline val="0"/>
        <shadow val="0"/>
        <u val="none"/>
        <vertAlign val="baseline"/>
        <sz val="11"/>
        <color auto="1"/>
        <name val="Calibri"/>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numFmt numFmtId="165" formatCode="0.0%"/>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3" formatCode="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3" formatCode="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3" formatCode="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3" formatCode="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3" formatCode="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3" formatCode="0%"/>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165" formatCode="0.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border diagonalUp="0" diagonalDown="0">
        <left/>
        <right/>
        <top/>
        <bottom/>
      </border>
    </dxf>
    <dxf>
      <font>
        <strike val="0"/>
        <outline val="0"/>
        <shadow val="0"/>
        <u val="none"/>
        <vertAlign val="baseline"/>
        <sz val="11"/>
        <color auto="1"/>
        <name val="Calibri"/>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numFmt numFmtId="166" formatCode="[$GEL]\ #,##0"/>
      <alignment horizontal="left" vertical="bottom" textRotation="0" wrapText="0" indent="0" justifyLastLine="0" shrinkToFit="0" readingOrder="0"/>
    </dxf>
    <dxf>
      <numFmt numFmtId="166" formatCode="[$GEL]\ #,##0"/>
      <fill>
        <patternFill patternType="none">
          <fgColor indexed="64"/>
          <bgColor indexed="65"/>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none">
          <fgColor indexed="64"/>
          <bgColor indexed="65"/>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none">
          <fgColor indexed="64"/>
          <bgColor indexed="65"/>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none">
          <fgColor indexed="64"/>
          <bgColor indexed="65"/>
        </patternFill>
      </fill>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9" tint="-0.499984740745262"/>
        <name val="Calibri"/>
      </font>
      <numFmt numFmtId="166" formatCode="[$GEL]\ #,##0"/>
      <fill>
        <patternFill patternType="solid">
          <fgColor indexed="64"/>
          <bgColor theme="9" tint="0.7999816888943144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outline="0">
        <left style="thin">
          <color indexed="64"/>
        </left>
        <right/>
        <top style="thin">
          <color indexed="64"/>
        </top>
        <bottom style="thin">
          <color indexed="64"/>
        </bottom>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6" formatCode="[$GEL]\ #,##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fill>
        <patternFill>
          <bgColor theme="2"/>
        </patternFill>
      </fill>
      <alignment horizontal="left" vertical="bottom"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0"/>
        <name val="Calibri"/>
        <scheme val="minor"/>
      </font>
      <numFmt numFmtId="14" formatCode="0.00%"/>
      <fill>
        <patternFill patternType="solid">
          <fgColor indexed="64"/>
          <bgColor theme="9" tint="-0.249977111117893"/>
        </patternFill>
      </fill>
    </dxf>
    <dxf>
      <font>
        <strike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dxf>
    <dxf>
      <numFmt numFmtId="166" formatCode="[$GEL]\ #,##0"/>
      <alignment horizontal="left" vertical="bottom" textRotation="0" wrapText="0" indent="0" justifyLastLine="0" shrinkToFit="0"/>
    </dxf>
    <dxf>
      <numFmt numFmtId="166" formatCode="[$GEL]\ #,##0"/>
      <alignment horizontal="left" vertical="bottom" textRotation="0" wrapText="0" indent="0" justifyLastLine="0" shrinkToFit="0"/>
    </dxf>
    <dxf>
      <font>
        <b val="0"/>
        <i val="0"/>
        <strike val="0"/>
        <condense val="0"/>
        <extend val="0"/>
        <outline val="0"/>
        <shadow val="0"/>
        <u val="none"/>
        <vertAlign val="baseline"/>
        <sz val="11"/>
        <color theme="1"/>
        <name val="Calibri"/>
        <scheme val="minor"/>
      </font>
      <numFmt numFmtId="166" formatCode="[$GEL]\ #,##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2"/>
        <color theme="0"/>
        <name val="Calibri"/>
        <scheme val="minor"/>
      </font>
      <numFmt numFmtId="0" formatCode="General"/>
      <fill>
        <patternFill patternType="solid">
          <fgColor theme="4"/>
          <bgColor theme="4"/>
        </patternFill>
      </fill>
      <alignment horizontal="left"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Calibri"/>
        <scheme val="none"/>
      </font>
      <numFmt numFmtId="166" formatCode="[$GEL]\ #,##0"/>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none"/>
      </font>
      <numFmt numFmtId="166" formatCode="[$GEL]\ #,##0"/>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none"/>
      </font>
      <numFmt numFmtId="166" formatCode="[$GEL]\ #,##0"/>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rgb="FF000000"/>
        <name val="Calibri"/>
        <scheme val="none"/>
      </font>
      <alignment horizontal="general"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val="0"/>
        <i val="0"/>
        <strike val="0"/>
        <condense val="0"/>
        <extend val="0"/>
        <outline val="0"/>
        <shadow val="0"/>
        <u val="none"/>
        <vertAlign val="baseline"/>
        <sz val="12"/>
        <color theme="1"/>
        <name val="Calibri"/>
        <scheme val="none"/>
      </font>
      <border diagonalUp="0" diagonalDown="0" outline="0">
        <left style="thin">
          <color auto="1"/>
        </left>
        <right style="thin">
          <color auto="1"/>
        </right>
        <top/>
        <bottom/>
      </border>
    </dxf>
    <dxf>
      <alignment vertical="top" textRotation="0" justifyLastLine="0" shrinkToFit="0"/>
    </dxf>
    <dxf>
      <alignment vertical="top" textRotation="0" justifyLastLine="0" shrinkToFit="0"/>
    </dxf>
    <dxf>
      <alignment vertical="top" textRotation="0" justifyLastLine="0" shrinkToFit="0"/>
    </dxf>
    <dxf>
      <alignment horizontal="left" vertical="top" textRotation="0" wrapText="0" indent="0" justifyLastLine="0" shrinkToFit="0" readingOrder="0"/>
    </dxf>
    <dxf>
      <alignment vertical="top" textRotation="0" justifyLastLine="0" shrinkToFit="0"/>
    </dxf>
    <dxf>
      <alignment vertical="top" textRotation="0" justifyLastLine="0" shrinkToFit="0"/>
    </dxf>
    <dxf>
      <font>
        <strike val="0"/>
        <outline val="0"/>
        <shadow val="0"/>
        <u val="none"/>
        <vertAlign val="baseline"/>
        <sz val="11"/>
        <color auto="1"/>
        <name val="Calibri"/>
        <scheme val="minor"/>
      </font>
      <alignment horizontal="left" vertical="bottom" textRotation="0" wrapText="0" indent="0" justifyLastLine="0" shrinkToFit="0" readingOrder="0"/>
    </dxf>
    <dxf>
      <font>
        <strike val="0"/>
        <outline val="0"/>
        <shadow val="0"/>
        <u val="none"/>
        <vertAlign val="baseline"/>
        <sz val="11"/>
        <name val="Calibri"/>
        <scheme val="none"/>
      </font>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name val="Calibri"/>
        <scheme val="none"/>
      </font>
      <alignment horizontal="left" textRotation="0" wrapText="0" indent="0" justifyLastLine="0" shrinkToFit="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name val="Calibri"/>
        <scheme val="none"/>
      </font>
      <alignment horizontal="left" textRotation="0" wrapText="0" indent="0" justifyLastLine="0" shrinkToFit="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1"/>
        <name val="Calibri"/>
        <scheme val="none"/>
      </font>
      <alignment horizontal="left" textRotation="0" wrapText="0" indent="0" justifyLastLine="0" shrinkToFit="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border outline="0">
        <left style="thin">
          <color auto="1"/>
        </left>
      </border>
    </dxf>
    <dxf>
      <font>
        <strike val="0"/>
        <outline val="0"/>
        <shadow val="0"/>
        <u val="none"/>
        <vertAlign val="baseline"/>
        <sz val="11"/>
        <name val="Calibri"/>
        <scheme val="none"/>
      </font>
    </dxf>
    <dxf>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solid">
          <fgColor theme="8"/>
          <bgColor them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vertical="top" textRotation="0"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vertical="top" textRotation="0" wrapText="1"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vertical="top" textRotation="0" justifyLastLine="0" shrinkToFit="0"/>
    </dxf>
    <dxf>
      <border diagonalUp="0" diagonalDown="0">
        <left/>
        <right/>
        <top/>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left" vertical="bottom" textRotation="0" wrapText="0" indent="0" justifyLastLine="0" shrinkToFit="0" readingOrder="0"/>
    </dxf>
    <dxf>
      <font>
        <strike val="0"/>
        <outline val="0"/>
        <shadow val="0"/>
        <u val="none"/>
        <vertAlign val="baseline"/>
        <sz val="11"/>
        <color theme="0"/>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style="thin">
          <color theme="8" tint="0.39997558519241921"/>
        </right>
        <top style="thin">
          <color theme="8" tint="0.39997558519241921"/>
        </top>
        <bottom/>
      </border>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style="thin">
          <color theme="8" tint="0.39997558519241921"/>
        </left>
        <right/>
        <top style="thin">
          <color theme="8" tint="0.39997558519241921"/>
        </top>
        <bottom/>
      </border>
    </dxf>
    <dxf>
      <border outline="0">
        <top style="thin">
          <color auto="1"/>
        </top>
        <bottom style="thin">
          <color rgb="FF9BC2E6"/>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solid">
          <fgColor theme="8"/>
          <bgColor them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vertical="top" textRotation="0"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vertical="top" textRotation="0" wrapText="1"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vertical="top" textRotation="0" justifyLastLine="0" shrinkToFit="0"/>
    </dxf>
    <dxf>
      <border diagonalUp="0" diagonalDown="0">
        <left/>
        <right/>
        <top/>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left" vertical="bottom" textRotation="0" wrapText="0" indent="0" justifyLastLine="0" shrinkToFit="0" readingOrder="0"/>
    </dxf>
    <dxf>
      <font>
        <strike val="0"/>
        <outline val="0"/>
        <shadow val="0"/>
        <u val="none"/>
        <vertAlign val="baseline"/>
        <sz val="11"/>
        <color theme="0"/>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style="thin">
          <color theme="8" tint="0.39997558519241921"/>
        </right>
        <top style="thin">
          <color theme="8" tint="0.39997558519241921"/>
        </top>
        <bottom/>
      </border>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style="thin">
          <color theme="8" tint="0.39997558519241921"/>
        </left>
        <right/>
        <top style="thin">
          <color theme="8" tint="0.39997558519241921"/>
        </top>
        <bottom/>
      </border>
    </dxf>
    <dxf>
      <border outline="0">
        <top style="thin">
          <color auto="1"/>
        </top>
        <bottom style="thin">
          <color rgb="FF9BC2E6"/>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solid">
          <fgColor theme="8"/>
          <bgColor them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left" vertical="top" textRotation="0" indent="0"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1" indent="0"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indent="0" justifyLastLine="0" shrinkToFit="0"/>
    </dxf>
    <dxf>
      <border diagonalUp="0" diagonalDown="0">
        <left/>
        <right/>
        <top/>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left" vertical="bottom" textRotation="0" wrapText="0" indent="0" justifyLastLine="0" shrinkToFit="0" readingOrder="0"/>
    </dxf>
    <dxf>
      <font>
        <strike val="0"/>
        <outline val="0"/>
        <shadow val="0"/>
        <u val="none"/>
        <vertAlign val="baseline"/>
        <sz val="11"/>
        <color theme="0"/>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style="thin">
          <color theme="8" tint="0.39997558519241921"/>
        </right>
        <top style="thin">
          <color theme="8" tint="0.39997558519241921"/>
        </top>
        <bottom/>
      </border>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style="thin">
          <color theme="8" tint="0.39997558519241921"/>
        </left>
        <right/>
        <top style="thin">
          <color theme="8" tint="0.39997558519241921"/>
        </top>
        <bottom/>
      </border>
    </dxf>
    <dxf>
      <border outline="0">
        <top style="thin">
          <color auto="1"/>
        </top>
        <bottom style="thin">
          <color rgb="FF9BC2E6"/>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vertical="top" textRotation="0"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vertical="top" textRotation="0" wrapText="1"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vertical="top" textRotation="0" justifyLastLine="0" shrinkToFit="0"/>
    </dxf>
    <dxf>
      <border diagonalUp="0" diagonalDown="0">
        <left/>
        <right/>
        <top/>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0" indent="0" justifyLastLine="0" shrinkToFit="0" readingOrder="0"/>
    </dxf>
    <dxf>
      <numFmt numFmtId="166" formatCode="[$GEL]\ #,##0"/>
      <fill>
        <patternFill patternType="none">
          <fgColor indexed="64"/>
          <bgColor auto="1"/>
        </patternFill>
      </fill>
      <alignment horizontal="left" vertical="top" textRotation="0" indent="0" justifyLastLine="0" shrinkToFit="0"/>
    </dxf>
    <dxf>
      <numFmt numFmtId="166" formatCode="[$GEL]\ #,##0"/>
      <fill>
        <patternFill patternType="none">
          <fgColor indexed="64"/>
          <bgColor auto="1"/>
        </patternFill>
      </fill>
      <alignment horizontal="left" vertical="top" textRotation="0" indent="0" justifyLastLine="0" shrinkToFit="0"/>
    </dxf>
    <dxf>
      <numFmt numFmtId="166" formatCode="[$GEL]\ #,##0"/>
      <fill>
        <patternFill patternType="none">
          <fgColor indexed="64"/>
          <bgColor auto="1"/>
        </patternFill>
      </fill>
      <alignment horizontal="left" vertical="top" textRotation="0" indent="0" justifyLastLine="0" shrinkToFit="0"/>
    </dxf>
    <dxf>
      <fill>
        <patternFill patternType="none">
          <fgColor indexed="64"/>
          <bgColor auto="1"/>
        </patternFill>
      </fill>
      <alignment horizontal="left" vertical="top" textRotation="0" indent="0" justifyLastLine="0" shrinkToFit="0"/>
    </dxf>
    <dxf>
      <fill>
        <patternFill patternType="none">
          <fgColor indexed="64"/>
          <bgColor auto="1"/>
        </patternFill>
      </fill>
      <alignment horizontal="left" vertical="top" textRotation="0" indent="0" justifyLastLine="0" shrinkToFit="0"/>
    </dxf>
    <dxf>
      <fill>
        <patternFill patternType="none">
          <fgColor indexed="64"/>
          <bgColor auto="1"/>
        </patternFill>
      </fill>
      <alignment horizontal="left" vertical="top" textRotation="0" wrapText="1" indent="0" justifyLastLine="0" shrinkToFit="0"/>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alignment horizontal="left" vertical="top" textRotation="0" indent="0" justifyLastLine="0" shrinkToFit="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8" formatCode="[$GEL]\ #,##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8" formatCode="[$GEL]\ #,##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8" formatCode="[$GEL]\ #,##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left" vertical="bottom" textRotation="0" wrapText="0" indent="0" justifyLastLine="0" shrinkToFit="0" readingOrder="0"/>
    </dxf>
    <dxf>
      <font>
        <strike val="0"/>
        <outline val="0"/>
        <shadow val="0"/>
        <u val="none"/>
        <vertAlign val="baseline"/>
        <sz val="11"/>
        <color theme="0"/>
        <name val="Calibri"/>
        <scheme val="none"/>
      </font>
    </dxf>
    <dxf>
      <font>
        <b val="0"/>
        <i val="0"/>
        <strike val="0"/>
        <condense val="0"/>
        <extend val="0"/>
        <outline val="0"/>
        <shadow val="0"/>
        <u val="none"/>
        <vertAlign val="baseline"/>
        <sz val="11"/>
        <color theme="1"/>
        <name val="Calibri"/>
        <scheme val="none"/>
      </font>
      <numFmt numFmtId="168" formatCode="[$GEL]\ #,##0.00"/>
      <fill>
        <patternFill patternType="none">
          <fgColor indexed="64"/>
          <bgColor auto="1"/>
        </patternFill>
      </fill>
      <alignment horizontal="left" vertical="bottom" textRotation="0" wrapText="0" indent="0" justifyLastLine="0" shrinkToFit="0" readingOrder="0"/>
      <border diagonalUp="0" diagonalDown="0">
        <left/>
        <right style="thin">
          <color theme="8" tint="0.39997558519241921"/>
        </right>
        <top style="thin">
          <color theme="8" tint="0.39997558519241921"/>
        </top>
        <bottom/>
      </border>
    </dxf>
    <dxf>
      <font>
        <b val="0"/>
        <i val="0"/>
        <strike val="0"/>
        <condense val="0"/>
        <extend val="0"/>
        <outline val="0"/>
        <shadow val="0"/>
        <u val="none"/>
        <vertAlign val="baseline"/>
        <sz val="11"/>
        <color theme="1"/>
        <name val="Calibri"/>
        <scheme val="none"/>
      </font>
      <numFmt numFmtId="168" formatCode="[$GEL]\ #,##0.00"/>
      <fill>
        <patternFill patternType="none">
          <fgColor indexed="64"/>
          <bgColor auto="1"/>
        </patternFill>
      </fill>
      <alignment horizontal="left" vertical="bottom" textRotation="0" wrapText="0" indent="0" justifyLastLine="0" shrinkToFit="0" readingOrder="0"/>
      <border diagonalUp="0" diagonalDown="0">
        <left/>
        <right/>
        <top style="thin">
          <color theme="8" tint="0.39997558519241921"/>
        </top>
        <bottom/>
      </border>
    </dxf>
    <dxf>
      <font>
        <b val="0"/>
        <i val="0"/>
        <strike val="0"/>
        <condense val="0"/>
        <extend val="0"/>
        <outline val="0"/>
        <shadow val="0"/>
        <u val="none"/>
        <vertAlign val="baseline"/>
        <sz val="11"/>
        <color theme="1"/>
        <name val="Calibri"/>
        <scheme val="none"/>
      </font>
      <numFmt numFmtId="168" formatCode="[$GEL]\ #,##0.00"/>
      <fill>
        <patternFill patternType="none">
          <fgColor indexed="64"/>
          <bgColor auto="1"/>
        </patternFill>
      </fill>
      <alignment horizontal="left" vertical="bottom" textRotation="0" wrapText="0" indent="0" justifyLastLine="0" shrinkToFit="0" readingOrder="0"/>
      <border diagonalUp="0" diagonalDown="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left/>
        <right/>
        <top style="thin">
          <color theme="8" tint="0.39997558519241921"/>
        </top>
        <bottom/>
      </border>
    </dxf>
    <dxf>
      <font>
        <b val="0"/>
        <i val="0"/>
        <strike val="0"/>
        <condense val="0"/>
        <extend val="0"/>
        <outline val="0"/>
        <shadow val="0"/>
        <u val="none"/>
        <vertAlign val="baseline"/>
        <sz val="11"/>
        <color theme="1"/>
        <name val="Calibri"/>
        <scheme val="none"/>
      </font>
      <numFmt numFmtId="1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style="thin">
          <color theme="8" tint="0.39997558519241921"/>
        </left>
        <right/>
        <top style="thin">
          <color theme="8" tint="0.39997558519241921"/>
        </top>
        <bottom/>
      </border>
    </dxf>
    <dxf>
      <border outline="0">
        <top style="thin">
          <color auto="1"/>
        </top>
        <bottom style="thin">
          <color rgb="FF9BC2E6"/>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border diagonalUp="0" diagonalDown="0">
        <left/>
        <right/>
        <top style="thin">
          <color theme="8"/>
        </top>
        <bottom/>
        <vertical/>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solid">
          <fgColor theme="8"/>
          <bgColor them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numFmt numFmtId="3" formatCode="#,##0"/>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theme="1"/>
        <name val="Calibri"/>
        <scheme val="none"/>
      </font>
      <alignment horizontal="left" vertical="top" textRotation="0" wrapText="1" indent="0" justifyLastLine="0" shrinkToFit="0" readingOrder="0"/>
      <border diagonalUp="0" diagonalDown="0">
        <left/>
        <right/>
        <top style="thin">
          <color theme="8"/>
        </top>
        <bottom/>
        <vertical/>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solid">
          <fgColor theme="8"/>
          <bgColor theme="8"/>
        </patternFill>
      </fill>
      <alignment horizontal="left" vertical="bottom" textRotation="0" wrapText="0" indent="0" justifyLastLine="0" shrinkToFit="0" readingOrder="0"/>
    </dxf>
    <dxf>
      <fill>
        <patternFill patternType="none">
          <fgColor indexed="64"/>
          <bgColor auto="1"/>
        </patternFill>
      </fill>
      <alignment vertical="top" textRotation="0"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vertical="top" textRotation="0" wrapText="1" justifyLastLine="0" shrinkToFit="0"/>
    </dxf>
    <dxf>
      <font>
        <b val="0"/>
        <i val="0"/>
        <strike val="0"/>
        <condense val="0"/>
        <extend val="0"/>
        <outline val="0"/>
        <shadow val="0"/>
        <u val="none"/>
        <vertAlign val="baseline"/>
        <sz val="11"/>
        <color theme="1"/>
        <name val="Calibri"/>
        <scheme val="none"/>
      </font>
      <fill>
        <patternFill patternType="none">
          <fgColor indexed="64"/>
          <bgColor auto="1"/>
        </patternFill>
      </fill>
      <alignment vertical="top" textRotation="0" justifyLastLine="0" shrinkToFit="0"/>
    </dxf>
    <dxf>
      <border diagonalUp="0" diagonalDown="0">
        <left/>
        <right/>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left" vertical="bottom" textRotation="0" wrapText="0" indent="0" justifyLastLine="0" shrinkToFit="0" readingOrder="0"/>
    </dxf>
    <dxf>
      <font>
        <strike val="0"/>
        <outline val="0"/>
        <shadow val="0"/>
        <u val="none"/>
        <vertAlign val="baseline"/>
        <sz val="11"/>
        <color theme="0"/>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style="thin">
          <color theme="8" tint="0.39997558519241921"/>
        </right>
        <top style="thin">
          <color theme="8" tint="0.39997558519241921"/>
        </top>
        <bottom/>
      </border>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66" formatCode="[$GEL]\ #,##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14" formatCode="0.0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right/>
        <top style="thin">
          <color theme="8" tint="0.39997558519241921"/>
        </top>
        <bottom/>
        <vertical/>
        <horizontal/>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style="thin">
          <color theme="8" tint="0.39997558519241921"/>
        </left>
        <right/>
        <top style="thin">
          <color theme="8" tint="0.39997558519241921"/>
        </top>
        <bottom/>
      </border>
    </dxf>
    <dxf>
      <border outline="0">
        <top style="thin">
          <color auto="1"/>
        </top>
        <bottom style="thin">
          <color theme="8" tint="0.39997558519241921"/>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indexed="64"/>
        </left>
        <right style="thin">
          <color auto="1"/>
        </right>
        <top style="thin">
          <color indexed="64"/>
        </top>
        <bottom style="thin">
          <color indexed="64"/>
        </bottom>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readingOrder="0"/>
    </dxf>
    <dxf>
      <font>
        <strike val="0"/>
        <outline val="0"/>
        <shadow val="0"/>
        <u val="none"/>
        <vertAlign val="baseline"/>
        <sz val="11"/>
        <name val="Calibri"/>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strike val="0"/>
        <outline val="0"/>
        <shadow val="0"/>
        <u val="none"/>
        <vertAlign val="baseline"/>
        <sz val="12"/>
        <color theme="0"/>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indexed="64"/>
        </left>
        <right style="thin">
          <color auto="1"/>
        </right>
        <top style="thin">
          <color indexed="64"/>
        </top>
        <bottom style="thin">
          <color indexed="64"/>
        </bottom>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readingOrder="0"/>
    </dxf>
    <dxf>
      <font>
        <strike val="0"/>
        <outline val="0"/>
        <shadow val="0"/>
        <u val="none"/>
        <vertAlign val="baseline"/>
        <sz val="11"/>
        <name val="Calibri"/>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strike val="0"/>
        <outline val="0"/>
        <shadow val="0"/>
        <u val="none"/>
        <vertAlign val="baseline"/>
        <sz val="12"/>
        <color theme="0"/>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indexed="64"/>
        </left>
        <right style="thin">
          <color auto="1"/>
        </right>
        <top style="thin">
          <color indexed="64"/>
        </top>
        <bottom style="thin">
          <color indexed="64"/>
        </bottom>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readingOrder="0"/>
    </dxf>
    <dxf>
      <font>
        <strike val="0"/>
        <outline val="0"/>
        <shadow val="0"/>
        <u val="none"/>
        <vertAlign val="baseline"/>
        <sz val="11"/>
        <name val="Calibri"/>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strike val="0"/>
        <outline val="0"/>
        <shadow val="0"/>
        <u val="none"/>
        <vertAlign val="baseline"/>
        <sz val="12"/>
        <color theme="0"/>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indexed="64"/>
        </left>
        <right style="thin">
          <color auto="1"/>
        </right>
        <top style="thin">
          <color indexed="64"/>
        </top>
        <bottom style="thin">
          <color indexed="64"/>
        </bottom>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readingOrder="0"/>
    </dxf>
    <dxf>
      <font>
        <strike val="0"/>
        <outline val="0"/>
        <shadow val="0"/>
        <u val="none"/>
        <vertAlign val="baseline"/>
        <sz val="11"/>
        <name val="Calibri"/>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strike val="0"/>
        <outline val="0"/>
        <shadow val="0"/>
        <u val="none"/>
        <vertAlign val="baseline"/>
        <sz val="12"/>
        <color theme="0"/>
        <name val="Calibri"/>
        <scheme val="minor"/>
      </font>
      <alignment horizontal="left" vertical="bottom" textRotation="0" wrapText="1"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5"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5"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5"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5"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minor"/>
      </font>
      <fill>
        <patternFill patternType="solid">
          <fgColor indexed="64"/>
          <bgColor theme="9" tint="-0.499984740745262"/>
        </patternFill>
      </fill>
      <alignment horizontal="general" vertical="bottom" textRotation="0" wrapText="1"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5"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minor"/>
      </font>
      <fill>
        <patternFill patternType="solid">
          <fgColor indexed="64"/>
          <bgColor theme="9" tint="-0.499984740745262"/>
        </patternFill>
      </fill>
      <alignment horizontal="general" vertical="bottom" textRotation="0" wrapText="1"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5"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strike val="0"/>
        <outline val="0"/>
        <shadow val="0"/>
        <u val="none"/>
        <vertAlign val="baseline"/>
        <sz val="11"/>
        <color rgb="FFC00000"/>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numFmt numFmtId="166" formatCode="[$GEL]\ #,##0"/>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5"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numFmt numFmtId="166" formatCode="[$GEL]\ #,##0"/>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5"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numFmt numFmtId="166" formatCode="[$GEL]\ #,##0"/>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strike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5" formatCode="0.0%"/>
      <fill>
        <patternFill patternType="solid">
          <fgColor indexed="64"/>
          <bgColor theme="5" tint="0.7999816888943144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GEL]\ #,##0"/>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9" tint="-0.499984740745262"/>
        <name val="Calibri"/>
        <scheme val="minor"/>
      </font>
      <numFmt numFmtId="166" formatCode="[$GEL]\ #,##0"/>
      <fill>
        <patternFill patternType="solid">
          <fgColor indexed="64"/>
          <bgColor theme="9" tint="0.79998168889431442"/>
        </patternFill>
      </fill>
      <alignment horizontal="left" vertical="bottom" textRotation="0" wrapText="0" indent="0" justifyLastLine="0" shrinkToFit="0" readingOrder="0"/>
      <border diagonalUp="0" diagonalDown="0">
        <left style="thin">
          <color indexed="64"/>
        </left>
        <right style="thin">
          <color auto="1"/>
        </right>
        <top style="thin">
          <color indexed="64"/>
        </top>
        <bottom style="thin">
          <color indexed="64"/>
        </bottom>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indexed="64"/>
        </top>
        <bottom style="thin">
          <color indexed="64"/>
        </bottom>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scheme val="none"/>
      </font>
      <numFmt numFmtId="166" formatCode="[$GEL]\ #,##0"/>
      <fill>
        <patternFill patternType="solid">
          <fgColor indexed="64"/>
          <bgColor theme="2"/>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6" formatCode="[$GEL]\ #,##0"/>
      <fill>
        <patternFill patternType="solid">
          <fgColor indexed="64"/>
          <bgColor theme="2"/>
        </patternFill>
      </fill>
      <alignment horizontal="lef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none"/>
      </font>
      <numFmt numFmtId="14" formatCode="0.00%"/>
      <fill>
        <patternFill patternType="solid">
          <fgColor indexed="64"/>
          <bgColor theme="9"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minor"/>
      </font>
      <numFmt numFmtId="14" formatCode="0.00%"/>
      <fill>
        <patternFill patternType="solid">
          <fgColor indexed="64"/>
          <bgColor theme="9" tint="-0.249977111117893"/>
        </patternFill>
      </fill>
      <alignment horizontal="left" vertical="bottom" textRotation="0" wrapText="0" indent="0" justifyLastLine="0" shrinkToFit="0" readingOrder="0"/>
    </dxf>
    <dxf>
      <font>
        <strike val="0"/>
        <outline val="0"/>
        <shadow val="0"/>
        <u val="none"/>
        <vertAlign val="baseline"/>
        <sz val="11"/>
        <name val="Calibri"/>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6" formatCode="[$GEL]\ #,##0"/>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numFmt numFmtId="166" formatCode="[$GEL]\ #,##0"/>
      <alignment horizontal="left" vertical="bottom" textRotation="0" wrapText="0" indent="0" justifyLastLine="0" shrinkToFit="0" readingOrder="0"/>
    </dxf>
    <dxf>
      <font>
        <strike val="0"/>
        <outline val="0"/>
        <shadow val="0"/>
        <u val="none"/>
        <vertAlign val="baseline"/>
        <sz val="11"/>
        <name val="Calibri"/>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strike val="0"/>
        <outline val="0"/>
        <shadow val="0"/>
        <u val="none"/>
        <vertAlign val="baseline"/>
        <sz val="12"/>
        <color theme="0"/>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none"/>
      </font>
      <numFmt numFmtId="166" formatCode="[$GEL]\ #,##0"/>
      <fill>
        <patternFill patternType="none">
          <fgColor indexed="64"/>
          <bgColor indexed="65"/>
        </patternFill>
      </fill>
      <alignment horizontal="left" vertical="bottom" textRotation="0" wrapText="0" relativeIndent="-1" justifyLastLine="0" shrinkToFit="0" readingOrder="0"/>
    </dxf>
    <dxf>
      <font>
        <strike val="0"/>
        <outline val="0"/>
        <shadow val="0"/>
        <u val="none"/>
        <vertAlign val="baseline"/>
        <sz val="11"/>
        <color auto="1"/>
        <name val="Calibri"/>
      </font>
      <numFmt numFmtId="166" formatCode="[$GEL]\ #,##0"/>
      <fill>
        <patternFill patternType="none">
          <fgColor indexed="64"/>
          <bgColor auto="1"/>
        </patternFill>
      </fill>
      <alignment horizontal="left" vertical="bottom" textRotation="0" wrapText="0" indent="0" justifyLastLine="0" shrinkToFit="0"/>
    </dxf>
    <dxf>
      <font>
        <strike val="0"/>
        <outline val="0"/>
        <shadow val="0"/>
        <u val="none"/>
        <vertAlign val="baseline"/>
        <sz val="11"/>
        <color auto="1"/>
        <name val="Calibri"/>
      </font>
      <fill>
        <patternFill patternType="none">
          <fgColor indexed="64"/>
          <bgColor auto="1"/>
        </patternFill>
      </fill>
      <alignment horizontal="left" vertical="bottom" textRotation="0" wrapText="0" indent="0" justifyLastLine="0" shrinkToFit="0"/>
    </dxf>
    <dxf>
      <font>
        <strike val="0"/>
        <outline val="0"/>
        <shadow val="0"/>
        <u val="none"/>
        <vertAlign val="baseline"/>
        <sz val="11"/>
        <color auto="1"/>
        <name val="Calibri"/>
      </font>
      <fill>
        <patternFill patternType="none">
          <fgColor indexed="64"/>
          <bgColor auto="1"/>
        </patternFill>
      </fill>
    </dxf>
    <dxf>
      <font>
        <strike val="0"/>
        <outline val="0"/>
        <shadow val="0"/>
        <u val="none"/>
        <vertAlign val="baseline"/>
        <sz val="11"/>
        <color auto="1"/>
        <name val="Calibri"/>
      </font>
      <fill>
        <patternFill patternType="none">
          <fgColor indexed="64"/>
          <bgColor auto="1"/>
        </patternFill>
      </fill>
    </dxf>
    <dxf>
      <font>
        <strike val="0"/>
        <outline val="0"/>
        <shadow val="0"/>
        <u val="none"/>
        <vertAlign val="baseline"/>
        <sz val="11"/>
        <color auto="1"/>
        <name val="Calibri"/>
      </font>
      <numFmt numFmtId="166" formatCode="[$GEL]\ #,##0"/>
      <fill>
        <patternFill patternType="none">
          <fgColor indexed="64"/>
          <bgColor auto="1"/>
        </patternFill>
      </fill>
      <alignment horizontal="left" vertical="bottom" textRotation="0" wrapText="0" indent="0" justifyLastLine="0" shrinkToFit="0"/>
    </dxf>
    <dxf>
      <font>
        <strike val="0"/>
        <outline val="0"/>
        <shadow val="0"/>
        <u val="none"/>
        <vertAlign val="baseline"/>
        <sz val="11"/>
        <color auto="1"/>
        <name val="Calibri"/>
      </font>
      <numFmt numFmtId="166" formatCode="[$GEL]\ #,##0"/>
      <fill>
        <patternFill patternType="none">
          <fgColor indexed="64"/>
          <bgColor auto="1"/>
        </patternFill>
      </fill>
      <alignment horizontal="left" vertical="bottom" textRotation="0" wrapText="0" indent="0" justifyLastLine="0" shrinkToFit="0"/>
    </dxf>
    <dxf>
      <font>
        <b val="0"/>
        <i val="0"/>
        <strike val="0"/>
        <condense val="0"/>
        <extend val="0"/>
        <outline val="0"/>
        <shadow val="0"/>
        <u val="none"/>
        <vertAlign val="baseline"/>
        <sz val="11"/>
        <color auto="1"/>
        <name val="Calibri"/>
        <scheme val="none"/>
      </font>
      <numFmt numFmtId="166" formatCode="[$GEL]\ #,##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5" formatCode="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5" formatCode="0.0%"/>
      <fill>
        <patternFill patternType="none">
          <fgColor indexed="64"/>
          <bgColor indexed="65"/>
        </patternFill>
      </fill>
      <alignment horizontal="left" vertical="bottom" textRotation="0" wrapText="0" relativeIndent="-1" justifyLastLine="0" shrinkToFit="0" readingOrder="0"/>
    </dxf>
    <dxf>
      <font>
        <b val="0"/>
        <i val="0"/>
        <strike val="0"/>
        <condense val="0"/>
        <extend val="0"/>
        <outline val="0"/>
        <shadow val="0"/>
        <u val="none"/>
        <vertAlign val="baseline"/>
        <sz val="11"/>
        <color auto="1"/>
        <name val="Calibri"/>
        <scheme val="none"/>
      </font>
      <numFmt numFmtId="165" formatCode="0.0%"/>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Calibri"/>
      </font>
      <numFmt numFmtId="166" formatCode="[$GEL]\ #,##0"/>
      <fill>
        <patternFill patternType="none">
          <fgColor indexed="64"/>
          <bgColor auto="1"/>
        </patternFill>
      </fill>
      <alignment horizontal="left" vertical="bottom" textRotation="0" wrapText="0" indent="0" justifyLastLine="0" shrinkToFit="0"/>
    </dxf>
    <dxf>
      <font>
        <strike val="0"/>
        <outline val="0"/>
        <shadow val="0"/>
        <u val="none"/>
        <vertAlign val="baseline"/>
        <sz val="11"/>
        <color auto="1"/>
        <name val="Calibri"/>
      </font>
      <fill>
        <patternFill patternType="none">
          <fgColor indexed="64"/>
          <bgColor auto="1"/>
        </patternFill>
      </fill>
      <alignment horizontal="left" vertical="bottom" textRotation="0" wrapText="0" indent="0" justifyLastLine="0" shrinkToFit="0"/>
    </dxf>
    <dxf>
      <font>
        <strike val="0"/>
        <outline val="0"/>
        <shadow val="0"/>
        <u val="none"/>
        <vertAlign val="baseline"/>
        <sz val="11"/>
        <color auto="1"/>
        <name val="Calibri"/>
      </font>
      <fill>
        <patternFill patternType="none">
          <fgColor indexed="64"/>
          <bgColor auto="1"/>
        </patternFill>
      </fill>
    </dxf>
    <dxf>
      <font>
        <strike val="0"/>
        <outline val="0"/>
        <shadow val="0"/>
        <u val="none"/>
        <vertAlign val="baseline"/>
        <sz val="11"/>
        <color auto="1"/>
        <name val="Calibri"/>
      </font>
      <fill>
        <patternFill patternType="none">
          <fgColor indexed="64"/>
          <bgColor auto="1"/>
        </patternFill>
      </fill>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alignment horizontal="left" vertical="bottom" textRotation="0" wrapText="0" indent="0" justifyLastLine="0" shrinkToFit="0" readingOrder="0"/>
    </dxf>
    <dxf>
      <numFmt numFmtId="166" formatCode="[$GEL]\ #,##0"/>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2"/>
        <color theme="0"/>
        <name val="Calibri"/>
        <scheme val="minor"/>
      </font>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2"/>
        <color theme="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4" formatCode="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4" formatCode="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4" formatCode="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4" formatCode="0.00%"/>
      <alignment horizontal="left" vertical="bottom" textRotation="0" wrapText="0" indent="0" justifyLastLine="0" shrinkToFit="0" readingOrder="0"/>
    </dxf>
    <dxf>
      <numFmt numFmtId="14" formatCode="0.00%"/>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bottom" textRotation="0" wrapText="0" indent="0" justifyLastLine="0" shrinkToFit="0" readingOrder="0"/>
    </dxf>
    <dxf>
      <font>
        <strike val="0"/>
        <outline val="0"/>
        <shadow val="0"/>
        <u val="none"/>
        <vertAlign val="baseline"/>
        <sz val="12"/>
        <color theme="0"/>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5" formatCod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5" formatCode="0.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bottom" textRotation="0" wrapText="0" indent="0" justifyLastLine="0" shrinkToFit="0" readingOrder="0"/>
    </dxf>
    <dxf>
      <font>
        <strike val="0"/>
        <outline val="0"/>
        <shadow val="0"/>
        <u val="none"/>
        <vertAlign val="baseline"/>
        <sz val="12"/>
        <color theme="0"/>
        <name val="Calibri"/>
        <scheme val="minor"/>
      </font>
      <alignment horizontal="left" vertical="bottom"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8921417565485"/>
          <c:y val="6.2595001711742607E-2"/>
          <c:w val="0.57022918360166497"/>
          <c:h val="0.73138090940213496"/>
        </c:manualLayout>
      </c:layout>
      <c:pieChart>
        <c:varyColors val="1"/>
        <c:ser>
          <c:idx val="0"/>
          <c:order val="0"/>
          <c:tx>
            <c:strRef>
              <c:f>'Cigarette Revenue'!$B$27</c:f>
              <c:strCache>
                <c:ptCount val="1"/>
                <c:pt idx="0">
                  <c:v>Measure</c:v>
                </c:pt>
              </c:strCache>
            </c:strRef>
          </c:tx>
          <c:spPr>
            <a:solidFill>
              <a:schemeClr val="accent1">
                <a:lumMod val="60000"/>
                <a:lumOff val="4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EB51-45D9-A899-52C1270D2B5F}"/>
              </c:ext>
            </c:extLst>
          </c:dPt>
          <c:dPt>
            <c:idx val="1"/>
            <c:bubble3D val="0"/>
            <c:spPr>
              <a:solidFill>
                <a:schemeClr val="tx2">
                  <a:lumMod val="40000"/>
                  <a:lumOff val="60000"/>
                </a:schemeClr>
              </a:solidFill>
              <a:ln w="19050">
                <a:solidFill>
                  <a:schemeClr val="lt1"/>
                </a:solidFill>
              </a:ln>
              <a:effectLst/>
            </c:spPr>
            <c:extLst>
              <c:ext xmlns:c16="http://schemas.microsoft.com/office/drawing/2014/chart" uri="{C3380CC4-5D6E-409C-BE32-E72D297353CC}">
                <c16:uniqueId val="{00000003-EB51-45D9-A899-52C1270D2B5F}"/>
              </c:ext>
            </c:extLst>
          </c:dPt>
          <c:dLbls>
            <c:dLbl>
              <c:idx val="0"/>
              <c:layout>
                <c:manualLayout>
                  <c:x val="-0.190931778751077"/>
                  <c:y val="0.129218511717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51-45D9-A899-52C1270D2B5F}"/>
                </c:ext>
              </c:extLst>
            </c:dLbl>
            <c:dLbl>
              <c:idx val="1"/>
              <c:layout>
                <c:manualLayout>
                  <c:x val="0.22754194824260199"/>
                  <c:y val="-0.1162830288506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1-45D9-A899-52C1270D2B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'Cigarette Revenue'!$B$29:$B$30</c:f>
              <c:strCache>
                <c:ptCount val="2"/>
                <c:pt idx="0">
                  <c:v>Excise Tax Revenue from Cigarette Sales</c:v>
                </c:pt>
                <c:pt idx="1">
                  <c:v>Manufacturer/Retailer Revenue from Cigarette Sales</c:v>
                </c:pt>
              </c:strCache>
            </c:strRef>
          </c:cat>
          <c:val>
            <c:numRef>
              <c:f>'Cigarette Revenue'!$C$29:$C$30</c:f>
              <c:numCache>
                <c:formatCode>#,##0</c:formatCode>
                <c:ptCount val="2"/>
                <c:pt idx="0">
                  <c:v>358546692</c:v>
                </c:pt>
                <c:pt idx="1">
                  <c:v>750557741.91999984</c:v>
                </c:pt>
              </c:numCache>
            </c:numRef>
          </c:val>
          <c:extLst>
            <c:ext xmlns:c16="http://schemas.microsoft.com/office/drawing/2014/chart" uri="{C3380CC4-5D6E-409C-BE32-E72D297353CC}">
              <c16:uniqueId val="{00000004-EB51-45D9-A899-52C1270D2B5F}"/>
            </c:ext>
          </c:extLst>
        </c:ser>
        <c:dLbls>
          <c:showLegendKey val="0"/>
          <c:showVal val="0"/>
          <c:showCatName val="0"/>
          <c:showSerName val="0"/>
          <c:showPercent val="0"/>
          <c:showBubbleSize val="0"/>
          <c:showLeaderLines val="1"/>
        </c:dLbls>
        <c:firstSliceAng val="0"/>
      </c:pieChart>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21</xdr:row>
      <xdr:rowOff>12700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25500" y="711200"/>
          <a:ext cx="11709400" cy="36703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FCTC Investment Case Analysis Model examines the effects of four tobacco interventions/policies on smoking prevalence, tobacco-related mortality, premature mortality costs, years of life lost due to premature mortality caused by tobacco use (YLM), years of life lived with a disability caused by tobacco use (YLD), disability-adjusted life years (DALY), healthcare costs due to tobacco use, and workplace costs of tobacco use. </a:t>
          </a:r>
        </a:p>
        <a:p>
          <a:endParaRPr lang="en-US" sz="1100" baseline="0"/>
        </a:p>
        <a:p>
          <a:r>
            <a:rPr lang="en-US" sz="1100" baseline="0"/>
            <a:t>The four specific interventions/policies examined are as follows:</a:t>
          </a:r>
        </a:p>
        <a:p>
          <a:r>
            <a:rPr lang="en-US" sz="1100" baseline="0"/>
            <a:t>1. Increase Cigarette Taxes</a:t>
          </a:r>
        </a:p>
        <a:p>
          <a:r>
            <a:rPr lang="en-US" sz="1100" baseline="0"/>
            <a:t>2. Smoke-Free Air Laws</a:t>
          </a:r>
        </a:p>
        <a:p>
          <a:r>
            <a:rPr lang="en-US" sz="1100" baseline="0"/>
            <a:t>3. Enforce Marketing Restrictions</a:t>
          </a:r>
        </a:p>
        <a:p>
          <a:r>
            <a:rPr lang="en-US" sz="1100" baseline="0"/>
            <a:t>4. Cigarette Package Warnings</a:t>
          </a:r>
        </a:p>
        <a:p>
          <a:endParaRPr lang="en-US" sz="1100" baseline="0"/>
        </a:p>
        <a:p>
          <a:r>
            <a:rPr lang="en-US" sz="1100" baseline="0"/>
            <a:t>To assess the impact of these interventions, we used estimates from a WHO Fact Sheet for Georgia: "Tobacco Control Fact Sheet: Georgia. Health Impact of Tobacco Control Policies in Line with the WHO Framework Convention on Tobacco Control (WHO FCTC)"</a:t>
          </a:r>
        </a:p>
        <a:p>
          <a:r>
            <a:rPr lang="en-US" sz="1100" baseline="0"/>
            <a:t>http://www.euro.who.int/__data/assets/pdf_file/0020/337430/Tobacco-Control-Fact-Sheet-Georgia.pdf</a:t>
          </a:r>
        </a:p>
        <a:p>
          <a:endParaRPr lang="en-US" sz="1100" baseline="0"/>
        </a:p>
        <a:p>
          <a:r>
            <a:rPr lang="en-US" sz="1100" baseline="0"/>
            <a:t>The fact sheet presents the individual effects of each tobacco control intervention/policy separately. These estimates represent the effects of those interventions/policies on smoking prevalence in isolation of other efforts (i.e. no other interventions/policies implemented simultaneously).</a:t>
          </a:r>
        </a:p>
        <a:p>
          <a:endParaRPr lang="en-US" sz="1100" baseline="0"/>
        </a:p>
        <a:p>
          <a:r>
            <a:rPr lang="en-US" sz="1100" baseline="0"/>
            <a:t>We also assess the total impact of all four interventions combined. As with the WHO Fact Sheet for Georgia, the combined effect of all interventions on smoking prevalence is less than the straight sum of the relative changes in smoking prevalence for each of the four interventions. The total effects for all interventions combined represent about 83% of the straight sum of the relative effects of the individual interventions/policies. </a:t>
          </a:r>
        </a:p>
      </xdr:txBody>
    </xdr:sp>
    <xdr:clientData/>
  </xdr:twoCellAnchor>
  <xdr:twoCellAnchor>
    <xdr:from>
      <xdr:col>1</xdr:col>
      <xdr:colOff>0</xdr:colOff>
      <xdr:row>47</xdr:row>
      <xdr:rowOff>0</xdr:rowOff>
    </xdr:from>
    <xdr:to>
      <xdr:col>6</xdr:col>
      <xdr:colOff>0</xdr:colOff>
      <xdr:row>58</xdr:row>
      <xdr:rowOff>190500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25500" y="10452100"/>
          <a:ext cx="12179300" cy="24257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The WHO Fact Sheet for Georgia presents the results of tobacco control interventions/policies in terms of relative reductions in prevalence in 5 years and 15 years. For our FCTC Investment Case Analysis model, we need annual estimates of the relative change in smoking prevalence for each intervention. To calculate those estimates, we adjust the 5-year and 15-year estimates reported in the WHO Fact Sheet for Georgia to create annual trajectories for a 15-year period.</a:t>
          </a:r>
        </a:p>
        <a:p>
          <a:endParaRPr lang="en-US" sz="1100" baseline="0"/>
        </a:p>
        <a:p>
          <a:r>
            <a:rPr lang="en-US" sz="1100" baseline="0"/>
            <a:t>For the first 5 years, we adjust the 5-year estimate reported in the WHO Fact Sheet for Georgia. For Years 6-15, we subtract the effects from the first 5 years and then adjust the totals for the 10 years from year 6 through year 15.</a:t>
          </a:r>
        </a:p>
        <a:p>
          <a:endParaRPr lang="en-US" sz="1100" baseline="0"/>
        </a:p>
        <a:p>
          <a:r>
            <a:rPr lang="en-US" sz="1100" baseline="0"/>
            <a:t>The WHO Fact Sheet for Georgia does not present any information on how smoking rates decline within the 5-year and 15-year periods. It is possible that smoking prevalence declines at a higher rate in the first few years. Because we lack specific information on how smoking prevalence will decline with each intervention, we assume an equal proportional decline during the first 5 years and the following 10 years from year 6 through year 15.</a:t>
          </a:r>
        </a:p>
        <a:p>
          <a:endParaRPr lang="en-US" sz="1100" baseline="0"/>
        </a:p>
        <a:p>
          <a:r>
            <a:rPr lang="en-US" sz="1100" baseline="0"/>
            <a:t>The annual relative changes in smoking prevalence in the table below are based on simple calculations assuming an equal proportional linear decline during the first 5 years and the following 10 years from years 6-15.</a:t>
          </a:r>
        </a:p>
      </xdr:txBody>
    </xdr:sp>
    <xdr:clientData/>
  </xdr:twoCellAnchor>
  <xdr:twoCellAnchor>
    <xdr:from>
      <xdr:col>0</xdr:col>
      <xdr:colOff>812800</xdr:colOff>
      <xdr:row>34</xdr:row>
      <xdr:rowOff>0</xdr:rowOff>
    </xdr:from>
    <xdr:to>
      <xdr:col>5</xdr:col>
      <xdr:colOff>2413000</xdr:colOff>
      <xdr:row>36</xdr:row>
      <xdr:rowOff>190500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12800" y="7708900"/>
          <a:ext cx="12014200" cy="5969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The WHO Fact Sheet for Georgia presents the results of tobacco control interventions/policies in terms of relative reductions in prevalence in 5 years and 15 years. We calculate the relative reduction in smoking prevalence for Years 6-15 by subtracting the relative reduction in prevalence in 5 years from the relative reduction in prevalence in 15 years. The table below presents the results of those calculations.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9</xdr:row>
      <xdr:rowOff>0</xdr:rowOff>
    </xdr:from>
    <xdr:to>
      <xdr:col>8</xdr:col>
      <xdr:colOff>12700</xdr:colOff>
      <xdr:row>21</xdr:row>
      <xdr:rowOff>165100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635000" y="1930400"/>
          <a:ext cx="13385800" cy="24511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total economic cost of tobacco use is the sum of direct costs and indirect costs.</a:t>
          </a:r>
          <a:r>
            <a:rPr lang="en-US" sz="1100" baseline="0"/>
            <a:t> For our model, direct costs consist of the healthcare costs attributable to tobacco use. We examined two different types or sets of indirect costs. The first set of indirect costs we examined is the cost of premature mortality due to tobacco use. These costs represent the present value of current and future GDP lost as a result of premature mortality (number of deaths x per capita GDP). The second set of indirect costs we examined is workplace smoking costs. Our analysis of workplace smoking costs breaks down into three separate subcategories: the cost of excess absenteeism, the cost of presenteeism (productivity losses), and the cost of smoking breaks. Excess absenteeism is the average additional number of days of missed work for smokers relative to nonsmokers. Presenteeism, or productivity losses, is the average decreased worker productivity for smokers, relative to nonsmokers, while they are at work. Finally, the cost of smoking breaks is the currency value of the time that smokers spend taking smoke breaks during the work day.</a:t>
          </a:r>
          <a:endParaRPr lang="en-US" sz="1100"/>
        </a:p>
        <a:p>
          <a:endParaRPr lang="en-US" sz="1100"/>
        </a:p>
        <a:p>
          <a:r>
            <a:rPr lang="en-US" sz="1100" b="1" baseline="0"/>
            <a:t>	Total Economic Cost of Tobacco Use = Direct Costs + Indirect Costs</a:t>
          </a:r>
        </a:p>
        <a:p>
          <a:r>
            <a:rPr lang="en-US" sz="1100" b="1" baseline="0"/>
            <a:t>	</a:t>
          </a:r>
        </a:p>
        <a:p>
          <a:r>
            <a:rPr lang="en-US" sz="1100" b="1" baseline="0"/>
            <a:t>	Total Economic Cost of Tobacco Use = Direct Costs (Healthcare Costs) + Indirect Costs (Cost of Premature Mortality + Workplace Smoking Costs)</a:t>
          </a:r>
        </a:p>
        <a:p>
          <a:endParaRPr lang="en-US" sz="1100" b="1" baseline="0"/>
        </a:p>
        <a:p>
          <a:r>
            <a:rPr lang="en-US" sz="1100" b="1"/>
            <a:t>	Workplace</a:t>
          </a:r>
          <a:r>
            <a:rPr lang="en-US" sz="1100" b="1" baseline="0"/>
            <a:t> Smoking Costs: Excess Absenteeism; Presenteeism; Smoking Breaks</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241300</xdr:colOff>
      <xdr:row>10</xdr:row>
      <xdr:rowOff>76200</xdr:rowOff>
    </xdr:to>
    <xdr:sp macro="" textlink="">
      <xdr:nvSpPr>
        <xdr:cNvPr id="13313" name="Picture_x0020_1" descr="cid:image001.jpg@01D2D3F5.856B0F80">
          <a:extLst>
            <a:ext uri="{FF2B5EF4-FFF2-40B4-BE49-F238E27FC236}">
              <a16:creationId xmlns:a16="http://schemas.microsoft.com/office/drawing/2014/main" id="{00000000-0008-0000-0B00-000001340000}"/>
            </a:ext>
          </a:extLst>
        </xdr:cNvPr>
        <xdr:cNvSpPr>
          <a:spLocks noChangeAspect="1" noChangeArrowheads="1"/>
        </xdr:cNvSpPr>
      </xdr:nvSpPr>
      <xdr:spPr bwMode="auto">
        <a:xfrm>
          <a:off x="825500" y="1727200"/>
          <a:ext cx="5943600" cy="14351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1</xdr:col>
      <xdr:colOff>279400</xdr:colOff>
      <xdr:row>15</xdr:row>
      <xdr:rowOff>63500</xdr:rowOff>
    </xdr:from>
    <xdr:to>
      <xdr:col>4</xdr:col>
      <xdr:colOff>520700</xdr:colOff>
      <xdr:row>22</xdr:row>
      <xdr:rowOff>165100</xdr:rowOff>
    </xdr:to>
    <xdr:sp macro="" textlink="">
      <xdr:nvSpPr>
        <xdr:cNvPr id="3" name="Picture_x0020_1" descr="cid:image001.jpg@01D2D3F5.856B0F80">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104900" y="4089400"/>
          <a:ext cx="5943600" cy="14351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4</xdr:col>
      <xdr:colOff>793750</xdr:colOff>
      <xdr:row>29</xdr:row>
      <xdr:rowOff>0</xdr:rowOff>
    </xdr:from>
    <xdr:to>
      <xdr:col>9</xdr:col>
      <xdr:colOff>787400</xdr:colOff>
      <xdr:row>45</xdr:row>
      <xdr:rowOff>165100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12700</xdr:rowOff>
    </xdr:from>
    <xdr:to>
      <xdr:col>6</xdr:col>
      <xdr:colOff>0</xdr:colOff>
      <xdr:row>6</xdr:row>
      <xdr:rowOff>190500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96900" y="723900"/>
          <a:ext cx="12179300" cy="7874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The financial costs for implementing tobacco control interventions/policies were obtained from the WHO Costing Tool for Prevention and Control of Noncommunicable Diseases (NCDs). We obtained country-specific financial cost estimates for Georgia from the tool. We adjusted the financial cost estimates produced from the WHO Costing Tool for inflation. All financial cost estimates used for our FCTC Investment Case Analysis are in 2016 Georgian Laris (GEL).</a:t>
          </a:r>
        </a:p>
      </xdr:txBody>
    </xdr:sp>
    <xdr:clientData/>
  </xdr:twoCellAnchor>
  <xdr:twoCellAnchor>
    <xdr:from>
      <xdr:col>1</xdr:col>
      <xdr:colOff>12700</xdr:colOff>
      <xdr:row>10</xdr:row>
      <xdr:rowOff>0</xdr:rowOff>
    </xdr:from>
    <xdr:to>
      <xdr:col>6</xdr:col>
      <xdr:colOff>12700</xdr:colOff>
      <xdr:row>35</xdr:row>
      <xdr:rowOff>12700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609600" y="2133600"/>
          <a:ext cx="12179300" cy="5092700"/>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lnSpc>
              <a:spcPts val="1400"/>
            </a:lnSpc>
            <a:defRPr sz="1000"/>
          </a:pPr>
          <a:r>
            <a:rPr lang="en-US" sz="1100" b="1" i="0" u="none" strike="noStrike" baseline="0">
              <a:solidFill>
                <a:schemeClr val="tx1"/>
              </a:solidFill>
              <a:latin typeface="+mn-lt"/>
              <a:cs typeface="Calibri"/>
            </a:rPr>
            <a:t>Purpose and principles of the costing tool</a:t>
          </a:r>
          <a:endParaRPr lang="en-US" sz="1100" b="0" i="0" u="none" strike="noStrike" baseline="0">
            <a:solidFill>
              <a:schemeClr val="tx1"/>
            </a:solidFill>
            <a:latin typeface="+mn-lt"/>
            <a:cs typeface="Calibri"/>
          </a:endParaRPr>
        </a:p>
        <a:p>
          <a:pPr algn="l" rtl="0">
            <a:lnSpc>
              <a:spcPts val="1400"/>
            </a:lnSpc>
            <a:defRPr sz="1000"/>
          </a:pPr>
          <a:r>
            <a:rPr lang="en-US" sz="1100" b="0" i="0" u="none" strike="noStrike" baseline="0">
              <a:solidFill>
                <a:schemeClr val="tx1"/>
              </a:solidFill>
              <a:latin typeface="+mn-lt"/>
              <a:cs typeface="Calibri"/>
            </a:rPr>
            <a:t>Reference: World Health Organization.  Scaling-up action against Noncommunicable Diseases. How much will it cost? World Health Organization 2011</a:t>
          </a:r>
        </a:p>
        <a:p>
          <a:pPr algn="l" rtl="0">
            <a:lnSpc>
              <a:spcPts val="1400"/>
            </a:lnSpc>
            <a:defRPr sz="1000"/>
          </a:pPr>
          <a:r>
            <a:rPr lang="en-US" sz="1100" b="0" i="0" u="none" strike="noStrike" baseline="0">
              <a:solidFill>
                <a:schemeClr val="tx1"/>
              </a:solidFill>
              <a:latin typeface="+mn-lt"/>
              <a:cs typeface="Calibri"/>
            </a:rPr>
            <a:t>   </a:t>
          </a:r>
        </a:p>
        <a:p>
          <a:pPr algn="l" rtl="0">
            <a:lnSpc>
              <a:spcPts val="1400"/>
            </a:lnSpc>
            <a:defRPr sz="1000"/>
          </a:pPr>
          <a:r>
            <a:rPr lang="en-US" sz="1100" b="0" i="0" u="none" strike="noStrike" baseline="0">
              <a:solidFill>
                <a:schemeClr val="tx1"/>
              </a:solidFill>
              <a:latin typeface="+mn-lt"/>
              <a:cs typeface="Calibri"/>
            </a:rPr>
            <a:t>The </a:t>
          </a:r>
          <a:r>
            <a:rPr lang="en-US" sz="1100" b="1" i="0" u="sng" strike="noStrike" baseline="0">
              <a:solidFill>
                <a:schemeClr val="tx1"/>
              </a:solidFill>
              <a:latin typeface="+mn-lt"/>
              <a:cs typeface="Calibri"/>
            </a:rPr>
            <a:t>NCD costing tool</a:t>
          </a:r>
          <a:r>
            <a:rPr lang="en-US" sz="1100" b="0" i="0" u="none" strike="noStrike" baseline="0">
              <a:solidFill>
                <a:schemeClr val="tx1"/>
              </a:solidFill>
              <a:latin typeface="+mn-lt"/>
              <a:cs typeface="Calibri"/>
            </a:rPr>
            <a:t> was developed as a financial planning tool in preparation for the  United Nations High Level meeting on Prevention and Control of Noncommunicable diseases (NCD), in September 2011, for scaled-up delivery of a defined set of core NCD interventions (Best buys).  It is a strategic tool for medium-term planning (over the period 2010-2025) that can be used to generate forecasts of financial resource needs at the national or sub-national level.  It is useful for enhancing traditional budgeting mechanisms in countries and for providing new information to development agencies concerning appropriate resourcing levels needed to tackle the growing burden of NCD.</a:t>
          </a:r>
        </a:p>
        <a:p>
          <a:pPr algn="l" rtl="0">
            <a:lnSpc>
              <a:spcPts val="1300"/>
            </a:lnSpc>
            <a:defRPr sz="1000"/>
          </a:pPr>
          <a:endParaRPr lang="en-US" sz="1100" b="0" i="0" u="none" strike="noStrike" baseline="0">
            <a:solidFill>
              <a:schemeClr val="tx1"/>
            </a:solidFill>
            <a:latin typeface="+mn-lt"/>
            <a:cs typeface="Calibri"/>
          </a:endParaRPr>
        </a:p>
        <a:p>
          <a:pPr algn="l" rtl="0">
            <a:lnSpc>
              <a:spcPts val="1400"/>
            </a:lnSpc>
            <a:defRPr sz="1000"/>
          </a:pPr>
          <a:r>
            <a:rPr lang="en-US" sz="1100" b="0" i="0" u="none" strike="noStrike" baseline="0">
              <a:solidFill>
                <a:schemeClr val="tx1"/>
              </a:solidFill>
              <a:latin typeface="+mn-lt"/>
              <a:cs typeface="Calibri"/>
            </a:rPr>
            <a:t>The </a:t>
          </a:r>
          <a:r>
            <a:rPr lang="en-US" sz="1100" b="1" i="0" u="sng" strike="noStrike" baseline="0">
              <a:solidFill>
                <a:schemeClr val="tx1"/>
              </a:solidFill>
              <a:latin typeface="+mn-lt"/>
              <a:cs typeface="Calibri"/>
            </a:rPr>
            <a:t>principles of costing</a:t>
          </a:r>
          <a:r>
            <a:rPr lang="en-US" sz="1100" b="0" i="0" u="none" strike="noStrike" baseline="0">
              <a:solidFill>
                <a:schemeClr val="tx1"/>
              </a:solidFill>
              <a:latin typeface="+mn-lt"/>
              <a:cs typeface="Calibri"/>
            </a:rPr>
            <a:t> in this tool  reflect funds and resources  that need to be mobilized from the perspective of a broadly defined health system: </a:t>
          </a:r>
        </a:p>
        <a:p>
          <a:pPr algn="l" rtl="0">
            <a:lnSpc>
              <a:spcPts val="1300"/>
            </a:lnSpc>
            <a:defRPr sz="1000"/>
          </a:pPr>
          <a:endParaRPr lang="en-US" sz="1100" b="0" i="0" u="none" strike="noStrike" baseline="0">
            <a:solidFill>
              <a:schemeClr val="tx1"/>
            </a:solidFill>
            <a:latin typeface="+mn-lt"/>
            <a:cs typeface="Calibri"/>
          </a:endParaRPr>
        </a:p>
        <a:p>
          <a:pPr algn="l" rtl="0">
            <a:lnSpc>
              <a:spcPts val="1400"/>
            </a:lnSpc>
            <a:defRPr sz="1000"/>
          </a:pPr>
          <a:r>
            <a:rPr lang="en-US" sz="1100" b="0" i="0" u="none" strike="noStrike" baseline="0">
              <a:solidFill>
                <a:schemeClr val="tx1"/>
              </a:solidFill>
              <a:latin typeface="+mn-lt"/>
              <a:cs typeface="Calibri"/>
            </a:rPr>
            <a:t>1. The approach is  a financial (as opposed to an economic or opportunity cost) approach; that is, the interest is in identifying the actual budgetary resources needed to develop and implement policies or strategies that have been shown to be technically efficient.</a:t>
          </a:r>
        </a:p>
        <a:p>
          <a:pPr algn="l" rtl="0">
            <a:lnSpc>
              <a:spcPts val="1300"/>
            </a:lnSpc>
            <a:defRPr sz="1000"/>
          </a:pPr>
          <a:endParaRPr lang="en-US" sz="1100" b="0" i="0" u="none" strike="noStrike" baseline="0">
            <a:solidFill>
              <a:schemeClr val="tx1"/>
            </a:solidFill>
            <a:latin typeface="+mn-lt"/>
            <a:cs typeface="Calibri"/>
          </a:endParaRPr>
        </a:p>
        <a:p>
          <a:pPr algn="l" rtl="0">
            <a:lnSpc>
              <a:spcPts val="1300"/>
            </a:lnSpc>
            <a:defRPr sz="1000"/>
          </a:pPr>
          <a:r>
            <a:rPr lang="en-US" sz="1100" b="0" i="0" u="none" strike="noStrike" baseline="0">
              <a:solidFill>
                <a:schemeClr val="tx1"/>
              </a:solidFill>
              <a:latin typeface="+mn-lt"/>
              <a:cs typeface="Calibri"/>
            </a:rPr>
            <a:t>2. Financial costs incurred but not usually paid for by the health system, for example travel costs incurred by patients and families to access care, are not included. Other costs such as travel time and lost home production, which have an economic if not a financial value, were likewise excluded.</a:t>
          </a:r>
        </a:p>
        <a:p>
          <a:pPr algn="l" rtl="0">
            <a:lnSpc>
              <a:spcPts val="1400"/>
            </a:lnSpc>
            <a:defRPr sz="1000"/>
          </a:pPr>
          <a:endParaRPr lang="en-US" sz="1100" b="0" i="0" u="none" strike="noStrike" baseline="0">
            <a:solidFill>
              <a:schemeClr val="tx1"/>
            </a:solidFill>
            <a:latin typeface="+mn-lt"/>
            <a:cs typeface="Calibri"/>
          </a:endParaRPr>
        </a:p>
        <a:p>
          <a:pPr algn="l" rtl="0">
            <a:lnSpc>
              <a:spcPts val="1400"/>
            </a:lnSpc>
            <a:defRPr sz="1000"/>
          </a:pPr>
          <a:r>
            <a:rPr lang="en-US" sz="1100" b="0" i="0" u="none" strike="noStrike" baseline="0">
              <a:solidFill>
                <a:schemeClr val="tx1"/>
              </a:solidFill>
              <a:latin typeface="+mn-lt"/>
              <a:cs typeface="Calibri"/>
            </a:rPr>
            <a:t>3. Country-specific data are used to the extent possible to build credible costing estimates, since the need for services as well as prices for ‘non-traded’ goods may vary substantially from country to country.</a:t>
          </a:r>
        </a:p>
        <a:p>
          <a:pPr algn="l" rtl="0">
            <a:lnSpc>
              <a:spcPts val="1300"/>
            </a:lnSpc>
            <a:defRPr sz="1000"/>
          </a:pPr>
          <a:endParaRPr lang="en-US" sz="1100" b="0" i="0" u="none" strike="noStrike" baseline="0">
            <a:solidFill>
              <a:schemeClr val="tx1"/>
            </a:solidFill>
            <a:latin typeface="+mn-lt"/>
            <a:cs typeface="Calibri"/>
          </a:endParaRPr>
        </a:p>
        <a:p>
          <a:pPr algn="l" rtl="0">
            <a:lnSpc>
              <a:spcPts val="1300"/>
            </a:lnSpc>
            <a:defRPr sz="1000"/>
          </a:pPr>
          <a:r>
            <a:rPr lang="en-US" sz="1100" b="0" i="0" u="none" strike="noStrike" baseline="0">
              <a:solidFill>
                <a:schemeClr val="tx1"/>
              </a:solidFill>
              <a:latin typeface="+mn-lt"/>
              <a:cs typeface="Calibri"/>
            </a:rPr>
            <a:t>4. Variable costs, including individual based therapy or treatment, depend directly on the number of patients in need and the projected coverage level. By contrast, capital costs (e.g., equipment or buildings) do not vary with each new patient treated. In addition, programme costs incurred above the level of service delivery, such as district or national training and supervision were estimated, including assessment of the capacity of each country’s current health system to manage and monitor scale-up.</a:t>
          </a:r>
        </a:p>
        <a:p>
          <a:pPr algn="l" rtl="0">
            <a:lnSpc>
              <a:spcPts val="1400"/>
            </a:lnSpc>
            <a:defRPr sz="1000"/>
          </a:pPr>
          <a:endParaRPr lang="en-US" sz="1100" b="0" i="0" u="none" strike="noStrike" baseline="0">
            <a:solidFill>
              <a:schemeClr val="tx1"/>
            </a:solidFill>
            <a:latin typeface="+mn-lt"/>
            <a:cs typeface="Calibri"/>
          </a:endParaRPr>
        </a:p>
        <a:p>
          <a:pPr algn="l" rtl="0">
            <a:lnSpc>
              <a:spcPts val="1400"/>
            </a:lnSpc>
            <a:defRPr sz="1000"/>
          </a:pPr>
          <a:r>
            <a:rPr lang="en-US" sz="1100" b="0" i="0" u="none" strike="noStrike" baseline="0">
              <a:solidFill>
                <a:schemeClr val="tx1"/>
              </a:solidFill>
              <a:latin typeface="+mn-lt"/>
              <a:cs typeface="Calibri"/>
            </a:rPr>
            <a:t>5. To reflect incremental costing, expenditure associated with current intervention coverage is estimated and assumed to continue to be available, meaning that only the resources and expenditures required over and above current spending levels are included.</a:t>
          </a:r>
        </a:p>
        <a:p>
          <a:pPr algn="l" rtl="0">
            <a:lnSpc>
              <a:spcPts val="1300"/>
            </a:lnSpc>
            <a:defRPr sz="1000"/>
          </a:pPr>
          <a:endParaRPr lang="en-US" sz="1100" b="0" i="0" u="none" strike="noStrike" baseline="0">
            <a:solidFill>
              <a:schemeClr val="tx1"/>
            </a:solidFill>
            <a:latin typeface="+mn-lt"/>
            <a:cs typeface="Calibri"/>
          </a:endParaRPr>
        </a:p>
        <a:p>
          <a:pPr algn="l" rtl="0">
            <a:lnSpc>
              <a:spcPts val="1400"/>
            </a:lnSpc>
            <a:defRPr sz="1000"/>
          </a:pPr>
          <a:r>
            <a:rPr lang="en-US" sz="1100" b="0" i="0" u="none" strike="noStrike" baseline="0">
              <a:solidFill>
                <a:schemeClr val="tx1"/>
              </a:solidFill>
              <a:latin typeface="+mn-lt"/>
              <a:cs typeface="Calibri"/>
            </a:rPr>
            <a:t>The total cost for a given year is calculated for the entire population in need at the specified level of coverage, and is not adjusted for already incurred expenditures. </a:t>
          </a:r>
        </a:p>
        <a:p>
          <a:pPr algn="l" rtl="0">
            <a:lnSpc>
              <a:spcPts val="1400"/>
            </a:lnSpc>
            <a:defRPr sz="1000"/>
          </a:pPr>
          <a:endParaRPr lang="en-US" sz="1100" b="0" i="0" u="none" strike="noStrike" baseline="0">
            <a:solidFill>
              <a:schemeClr val="tx1"/>
            </a:solidFill>
            <a:latin typeface="+mn-lt"/>
            <a:cs typeface="Calibri"/>
          </a:endParaRPr>
        </a:p>
        <a:p>
          <a:pPr algn="l" rtl="0">
            <a:lnSpc>
              <a:spcPts val="1200"/>
            </a:lnSpc>
            <a:defRPr sz="1000"/>
          </a:pPr>
          <a:r>
            <a:rPr lang="en-US" sz="1100" b="0" i="0" u="none" strike="noStrike" baseline="0">
              <a:solidFill>
                <a:schemeClr val="tx1"/>
              </a:solidFill>
              <a:latin typeface="+mn-lt"/>
              <a:cs typeface="Calibri"/>
            </a:rPr>
            <a:t>Country-specific data are used to the extent possible to build credible costing estimates as prices for ‘non-traded’ goods and need for services may vary greatly from country to country.</a:t>
          </a:r>
        </a:p>
        <a:p>
          <a:endParaRPr lang="en-US"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29</xdr:row>
      <xdr:rowOff>211666</xdr:rowOff>
    </xdr:from>
    <xdr:to>
      <xdr:col>5</xdr:col>
      <xdr:colOff>2709333</xdr:colOff>
      <xdr:row>30</xdr:row>
      <xdr:rowOff>1142999</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499556" y="6237110"/>
          <a:ext cx="11853333" cy="1143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Base Scenario</a:t>
          </a:r>
          <a:r>
            <a:rPr lang="en-US" sz="1100" baseline="0"/>
            <a:t> represents our calculations of current "actual" outcomes for Georgia. The calculations for the Base Scenario are based on the most recent year of data available.</a:t>
          </a:r>
        </a:p>
        <a:p>
          <a:endParaRPr lang="en-US" sz="1100"/>
        </a:p>
        <a:p>
          <a:r>
            <a:rPr lang="en-US" sz="1100"/>
            <a:t>The Base Scenario</a:t>
          </a:r>
          <a:r>
            <a:rPr lang="en-US" sz="1100" baseline="0"/>
            <a:t> table columns below are based on the annual total healthcare expenditures data provided to us by the Georgia Ministry of Health (MoH).</a:t>
          </a:r>
        </a:p>
        <a:p>
          <a:endParaRPr lang="en-US" sz="1100" baseline="0"/>
        </a:p>
        <a:p>
          <a:r>
            <a:rPr lang="en-US" sz="1100" baseline="0"/>
            <a:t>We are assuming flat trends (no growth over time) in the Base Scenario for the 15-year period.</a:t>
          </a:r>
          <a:endParaRPr lang="en-US" sz="1100"/>
        </a:p>
      </xdr:txBody>
    </xdr:sp>
    <xdr:clientData/>
  </xdr:twoCellAnchor>
  <xdr:twoCellAnchor>
    <xdr:from>
      <xdr:col>6</xdr:col>
      <xdr:colOff>28220</xdr:colOff>
      <xdr:row>30</xdr:row>
      <xdr:rowOff>0</xdr:rowOff>
    </xdr:from>
    <xdr:to>
      <xdr:col>8</xdr:col>
      <xdr:colOff>2808110</xdr:colOff>
      <xdr:row>30</xdr:row>
      <xdr:rowOff>1142999</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6340664" y="7295444"/>
          <a:ext cx="7718779"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a:t>
          </a:r>
          <a:r>
            <a:rPr lang="en-US" sz="1100" baseline="0"/>
            <a:t> are the </a:t>
          </a:r>
          <a:r>
            <a:rPr lang="en-US" sz="1100"/>
            <a:t>Input Parameters from the table</a:t>
          </a:r>
          <a:r>
            <a:rPr lang="en-US" sz="1100" baseline="0"/>
            <a:t> above.</a:t>
          </a:r>
          <a:endParaRPr lang="en-US" sz="1100"/>
        </a:p>
      </xdr:txBody>
    </xdr:sp>
    <xdr:clientData/>
  </xdr:twoCellAnchor>
  <xdr:twoCellAnchor>
    <xdr:from>
      <xdr:col>9</xdr:col>
      <xdr:colOff>14113</xdr:colOff>
      <xdr:row>30</xdr:row>
      <xdr:rowOff>14111</xdr:rowOff>
    </xdr:from>
    <xdr:to>
      <xdr:col>20</xdr:col>
      <xdr:colOff>1890889</xdr:colOff>
      <xdr:row>30</xdr:row>
      <xdr:rowOff>1157110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4101780" y="7309555"/>
          <a:ext cx="31058553" cy="114299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These columns were calculated based on the total healthcare expenditures data provided by the Georgia MoH and the SAF input parameter .</a:t>
          </a:r>
        </a:p>
      </xdr:txBody>
    </xdr:sp>
    <xdr:clientData/>
  </xdr:twoCellAnchor>
  <xdr:twoCellAnchor>
    <xdr:from>
      <xdr:col>2</xdr:col>
      <xdr:colOff>14111</xdr:colOff>
      <xdr:row>54</xdr:row>
      <xdr:rowOff>14111</xdr:rowOff>
    </xdr:from>
    <xdr:to>
      <xdr:col>6</xdr:col>
      <xdr:colOff>0</xdr:colOff>
      <xdr:row>54</xdr:row>
      <xdr:rowOff>1157111</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3513667" y="12911667"/>
          <a:ext cx="11853333" cy="1143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Base Scenario</a:t>
          </a:r>
          <a:r>
            <a:rPr lang="en-US" sz="1100" baseline="0"/>
            <a:t> represents our calculations of current "actual" outcomes for Georgia. The calculations for the Base Scenario are based on the most recent year of data available.</a:t>
          </a:r>
        </a:p>
        <a:p>
          <a:endParaRPr lang="en-US" sz="1100"/>
        </a:p>
        <a:p>
          <a:r>
            <a:rPr lang="en-US" sz="1100"/>
            <a:t>The Base Scenario</a:t>
          </a:r>
          <a:r>
            <a:rPr lang="en-US" sz="1100" baseline="0"/>
            <a:t> table columns below are based on the annual total healthcare expenditures data provided to us by the Georgia Ministry of Health (MoH).</a:t>
          </a:r>
        </a:p>
        <a:p>
          <a:endParaRPr lang="en-US" sz="1100" baseline="0"/>
        </a:p>
        <a:p>
          <a:r>
            <a:rPr lang="en-US" sz="1100" baseline="0"/>
            <a:t>We are assuming flat trends (no growth over time) in the Base Scenario for the 15-year period.</a:t>
          </a:r>
          <a:endParaRPr lang="en-US" sz="1100"/>
        </a:p>
      </xdr:txBody>
    </xdr:sp>
    <xdr:clientData/>
  </xdr:twoCellAnchor>
  <xdr:twoCellAnchor>
    <xdr:from>
      <xdr:col>2</xdr:col>
      <xdr:colOff>0</xdr:colOff>
      <xdr:row>78</xdr:row>
      <xdr:rowOff>28220</xdr:rowOff>
    </xdr:from>
    <xdr:to>
      <xdr:col>5</xdr:col>
      <xdr:colOff>2709333</xdr:colOff>
      <xdr:row>78</xdr:row>
      <xdr:rowOff>1171220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499556" y="19572109"/>
          <a:ext cx="11853333" cy="1143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Base Scenario</a:t>
          </a:r>
          <a:r>
            <a:rPr lang="en-US" sz="1100" baseline="0"/>
            <a:t> represents our calculations of current "actual" outcomes for Georgia. The calculations for the Base Scenario are based on the most recent year of data available.</a:t>
          </a:r>
        </a:p>
        <a:p>
          <a:endParaRPr lang="en-US" sz="1100"/>
        </a:p>
        <a:p>
          <a:r>
            <a:rPr lang="en-US" sz="1100"/>
            <a:t>The Base Scenario</a:t>
          </a:r>
          <a:r>
            <a:rPr lang="en-US" sz="1100" baseline="0"/>
            <a:t> table columns below are based on the annual total healthcare expenditures data provided to us by the Georgia Ministry of Health (MoH).</a:t>
          </a:r>
        </a:p>
        <a:p>
          <a:endParaRPr lang="en-US" sz="1100" baseline="0"/>
        </a:p>
        <a:p>
          <a:r>
            <a:rPr lang="en-US" sz="1100" baseline="0"/>
            <a:t>We are assuming flat trends (no growth over time) in the Base Scenario for the 15-year period.</a:t>
          </a:r>
          <a:endParaRPr lang="en-US" sz="1100"/>
        </a:p>
      </xdr:txBody>
    </xdr:sp>
    <xdr:clientData/>
  </xdr:twoCellAnchor>
  <xdr:twoCellAnchor>
    <xdr:from>
      <xdr:col>2</xdr:col>
      <xdr:colOff>0</xdr:colOff>
      <xdr:row>102</xdr:row>
      <xdr:rowOff>28222</xdr:rowOff>
    </xdr:from>
    <xdr:to>
      <xdr:col>5</xdr:col>
      <xdr:colOff>2709333</xdr:colOff>
      <xdr:row>102</xdr:row>
      <xdr:rowOff>1171222</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3499556" y="26218444"/>
          <a:ext cx="11853333" cy="1143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Base Scenario</a:t>
          </a:r>
          <a:r>
            <a:rPr lang="en-US" sz="1100" baseline="0"/>
            <a:t> represents our calculations of current "actual" outcomes for Georgia. The calculations for the Base Scenario are based on the most recent year of data available.</a:t>
          </a:r>
        </a:p>
        <a:p>
          <a:endParaRPr lang="en-US" sz="1100"/>
        </a:p>
        <a:p>
          <a:r>
            <a:rPr lang="en-US" sz="1100"/>
            <a:t>The Base Scenario</a:t>
          </a:r>
          <a:r>
            <a:rPr lang="en-US" sz="1100" baseline="0"/>
            <a:t> table columns below are based on the annual total healthcare expenditures data provided to us by the Georgia Ministry of Health (MoH).</a:t>
          </a:r>
        </a:p>
        <a:p>
          <a:endParaRPr lang="en-US" sz="1100" baseline="0"/>
        </a:p>
        <a:p>
          <a:r>
            <a:rPr lang="en-US" sz="1100" baseline="0"/>
            <a:t>We are assuming flat trends (no growth over time) in the Base Scenario for the 15-year period.</a:t>
          </a:r>
          <a:endParaRPr lang="en-US" sz="1100"/>
        </a:p>
      </xdr:txBody>
    </xdr:sp>
    <xdr:clientData/>
  </xdr:twoCellAnchor>
  <xdr:twoCellAnchor>
    <xdr:from>
      <xdr:col>2</xdr:col>
      <xdr:colOff>0</xdr:colOff>
      <xdr:row>126</xdr:row>
      <xdr:rowOff>28222</xdr:rowOff>
    </xdr:from>
    <xdr:to>
      <xdr:col>5</xdr:col>
      <xdr:colOff>2709333</xdr:colOff>
      <xdr:row>126</xdr:row>
      <xdr:rowOff>1171222</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3499556" y="32864778"/>
          <a:ext cx="11853333" cy="1143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Base Scenario</a:t>
          </a:r>
          <a:r>
            <a:rPr lang="en-US" sz="1100" baseline="0"/>
            <a:t> represents our calculations of current "actual" outcomes for Georgia. The calculations for the Base Scenario are based on the most recent year of data available.</a:t>
          </a:r>
        </a:p>
        <a:p>
          <a:endParaRPr lang="en-US" sz="1100"/>
        </a:p>
        <a:p>
          <a:r>
            <a:rPr lang="en-US" sz="1100"/>
            <a:t>The Base Scenario</a:t>
          </a:r>
          <a:r>
            <a:rPr lang="en-US" sz="1100" baseline="0"/>
            <a:t> table columns below are based on the annual total healthcare expenditures data provided to us by the Georgia Ministry of Health (MoH).</a:t>
          </a:r>
        </a:p>
        <a:p>
          <a:endParaRPr lang="en-US" sz="1100" baseline="0"/>
        </a:p>
        <a:p>
          <a:r>
            <a:rPr lang="en-US" sz="1100" baseline="0"/>
            <a:t>We are assuming flat trends (no growth over time) in the Base Scenario for the 15-year period.</a:t>
          </a:r>
          <a:endParaRPr lang="en-US" sz="1100"/>
        </a:p>
      </xdr:txBody>
    </xdr:sp>
    <xdr:clientData/>
  </xdr:twoCellAnchor>
  <xdr:twoCellAnchor>
    <xdr:from>
      <xdr:col>2</xdr:col>
      <xdr:colOff>0</xdr:colOff>
      <xdr:row>53</xdr:row>
      <xdr:rowOff>211666</xdr:rowOff>
    </xdr:from>
    <xdr:to>
      <xdr:col>5</xdr:col>
      <xdr:colOff>2709333</xdr:colOff>
      <xdr:row>54</xdr:row>
      <xdr:rowOff>1142999</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3499556" y="7295444"/>
          <a:ext cx="12798777" cy="114299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Base Scenario</a:t>
          </a:r>
          <a:r>
            <a:rPr lang="en-US" sz="1100" baseline="0"/>
            <a:t> represents our calculations of current "actual" outcomes for Georgia. The calculations for the Base Scenario are based on the most recent year of data available.</a:t>
          </a:r>
        </a:p>
        <a:p>
          <a:endParaRPr lang="en-US" sz="1100"/>
        </a:p>
        <a:p>
          <a:r>
            <a:rPr lang="en-US" sz="1100"/>
            <a:t>The Base Scenario</a:t>
          </a:r>
          <a:r>
            <a:rPr lang="en-US" sz="1100" baseline="0"/>
            <a:t> table columns below are based on the annual total healthcare expenditures data provided to us by the Georgia Ministry of Health (MoH).</a:t>
          </a:r>
        </a:p>
        <a:p>
          <a:endParaRPr lang="en-US" sz="1100" baseline="0"/>
        </a:p>
        <a:p>
          <a:r>
            <a:rPr lang="en-US" sz="1100" baseline="0"/>
            <a:t>We are assuming flat trends (no growth over time) in the Base Scenario for the 15-year period.</a:t>
          </a:r>
          <a:endParaRPr lang="en-US" sz="1100"/>
        </a:p>
      </xdr:txBody>
    </xdr:sp>
    <xdr:clientData/>
  </xdr:twoCellAnchor>
  <xdr:twoCellAnchor>
    <xdr:from>
      <xdr:col>6</xdr:col>
      <xdr:colOff>28220</xdr:colOff>
      <xdr:row>54</xdr:row>
      <xdr:rowOff>0</xdr:rowOff>
    </xdr:from>
    <xdr:to>
      <xdr:col>8</xdr:col>
      <xdr:colOff>2808110</xdr:colOff>
      <xdr:row>54</xdr:row>
      <xdr:rowOff>1142999</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16340664" y="7295444"/>
          <a:ext cx="7718779"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a:t>
          </a:r>
          <a:r>
            <a:rPr lang="en-US" sz="1100" baseline="0"/>
            <a:t> are the </a:t>
          </a:r>
          <a:r>
            <a:rPr lang="en-US" sz="1100"/>
            <a:t>Input Parameters from the table</a:t>
          </a:r>
          <a:r>
            <a:rPr lang="en-US" sz="1100" baseline="0"/>
            <a:t> above.</a:t>
          </a:r>
          <a:endParaRPr lang="en-US" sz="1100"/>
        </a:p>
      </xdr:txBody>
    </xdr:sp>
    <xdr:clientData/>
  </xdr:twoCellAnchor>
  <xdr:twoCellAnchor>
    <xdr:from>
      <xdr:col>9</xdr:col>
      <xdr:colOff>14113</xdr:colOff>
      <xdr:row>54</xdr:row>
      <xdr:rowOff>14111</xdr:rowOff>
    </xdr:from>
    <xdr:to>
      <xdr:col>13</xdr:col>
      <xdr:colOff>719667</xdr:colOff>
      <xdr:row>54</xdr:row>
      <xdr:rowOff>1157110</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24101780" y="7309555"/>
          <a:ext cx="12699998" cy="114299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These columns were calculated based on the total healthcare expenditures data provided by the Georgia MoH and the SAF input parameter .</a:t>
          </a:r>
        </a:p>
      </xdr:txBody>
    </xdr:sp>
    <xdr:clientData/>
  </xdr:twoCellAnchor>
  <xdr:twoCellAnchor>
    <xdr:from>
      <xdr:col>2</xdr:col>
      <xdr:colOff>0</xdr:colOff>
      <xdr:row>77</xdr:row>
      <xdr:rowOff>211666</xdr:rowOff>
    </xdr:from>
    <xdr:to>
      <xdr:col>5</xdr:col>
      <xdr:colOff>2709333</xdr:colOff>
      <xdr:row>78</xdr:row>
      <xdr:rowOff>1142999</xdr:rowOff>
    </xdr:to>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3499556" y="7295444"/>
          <a:ext cx="12798777" cy="114299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Base Scenario</a:t>
          </a:r>
          <a:r>
            <a:rPr lang="en-US" sz="1100" baseline="0"/>
            <a:t> represents our calculations of current "actual" outcomes for Georgia. The calculations for the Base Scenario are based on the most recent year of data available.</a:t>
          </a:r>
        </a:p>
        <a:p>
          <a:endParaRPr lang="en-US" sz="1100"/>
        </a:p>
        <a:p>
          <a:r>
            <a:rPr lang="en-US" sz="1100"/>
            <a:t>The Base Scenario</a:t>
          </a:r>
          <a:r>
            <a:rPr lang="en-US" sz="1100" baseline="0"/>
            <a:t> table columns below are based on the annual total healthcare expenditures data provided to us by the Georgia Ministry of Health (MoH).</a:t>
          </a:r>
        </a:p>
        <a:p>
          <a:endParaRPr lang="en-US" sz="1100" baseline="0"/>
        </a:p>
        <a:p>
          <a:r>
            <a:rPr lang="en-US" sz="1100" baseline="0"/>
            <a:t>We are assuming flat trends (no growth over time) in the Base Scenario for the 15-year period.</a:t>
          </a:r>
          <a:endParaRPr lang="en-US" sz="1100"/>
        </a:p>
      </xdr:txBody>
    </xdr:sp>
    <xdr:clientData/>
  </xdr:twoCellAnchor>
  <xdr:twoCellAnchor>
    <xdr:from>
      <xdr:col>6</xdr:col>
      <xdr:colOff>28220</xdr:colOff>
      <xdr:row>78</xdr:row>
      <xdr:rowOff>0</xdr:rowOff>
    </xdr:from>
    <xdr:to>
      <xdr:col>8</xdr:col>
      <xdr:colOff>2808110</xdr:colOff>
      <xdr:row>78</xdr:row>
      <xdr:rowOff>1142999</xdr:rowOff>
    </xdr:to>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16340664" y="7295444"/>
          <a:ext cx="7718779"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a:t>
          </a:r>
          <a:r>
            <a:rPr lang="en-US" sz="1100" baseline="0"/>
            <a:t> are the </a:t>
          </a:r>
          <a:r>
            <a:rPr lang="en-US" sz="1100"/>
            <a:t>Input Parameters from the table</a:t>
          </a:r>
          <a:r>
            <a:rPr lang="en-US" sz="1100" baseline="0"/>
            <a:t> above.</a:t>
          </a:r>
          <a:endParaRPr lang="en-US" sz="1100"/>
        </a:p>
      </xdr:txBody>
    </xdr:sp>
    <xdr:clientData/>
  </xdr:twoCellAnchor>
  <xdr:twoCellAnchor>
    <xdr:from>
      <xdr:col>9</xdr:col>
      <xdr:colOff>14113</xdr:colOff>
      <xdr:row>78</xdr:row>
      <xdr:rowOff>14111</xdr:rowOff>
    </xdr:from>
    <xdr:to>
      <xdr:col>13</xdr:col>
      <xdr:colOff>719667</xdr:colOff>
      <xdr:row>78</xdr:row>
      <xdr:rowOff>1157110</xdr:rowOff>
    </xdr:to>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24101780" y="7309555"/>
          <a:ext cx="12699998" cy="114299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These columns were calculated based on the total healthcare expenditures data provided by the Georgia MoH and the SAF input parameter .</a:t>
          </a:r>
        </a:p>
      </xdr:txBody>
    </xdr:sp>
    <xdr:clientData/>
  </xdr:twoCellAnchor>
  <xdr:twoCellAnchor>
    <xdr:from>
      <xdr:col>2</xdr:col>
      <xdr:colOff>0</xdr:colOff>
      <xdr:row>101</xdr:row>
      <xdr:rowOff>211666</xdr:rowOff>
    </xdr:from>
    <xdr:to>
      <xdr:col>5</xdr:col>
      <xdr:colOff>2709333</xdr:colOff>
      <xdr:row>102</xdr:row>
      <xdr:rowOff>1142999</xdr:rowOff>
    </xdr:to>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3499556" y="7295444"/>
          <a:ext cx="12798777" cy="114299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Base Scenario</a:t>
          </a:r>
          <a:r>
            <a:rPr lang="en-US" sz="1100" baseline="0"/>
            <a:t> represents our calculations of current "actual" outcomes for Georgia. The calculations for the Base Scenario are based on the most recent year of data available.</a:t>
          </a:r>
        </a:p>
        <a:p>
          <a:endParaRPr lang="en-US" sz="1100"/>
        </a:p>
        <a:p>
          <a:r>
            <a:rPr lang="en-US" sz="1100"/>
            <a:t>The Base Scenario</a:t>
          </a:r>
          <a:r>
            <a:rPr lang="en-US" sz="1100" baseline="0"/>
            <a:t> table columns below are based on the annual total healthcare expenditures data provided to us by the Georgia Ministry of Health (MoH).</a:t>
          </a:r>
        </a:p>
        <a:p>
          <a:endParaRPr lang="en-US" sz="1100" baseline="0"/>
        </a:p>
        <a:p>
          <a:r>
            <a:rPr lang="en-US" sz="1100" baseline="0"/>
            <a:t>We are assuming flat trends (no growth over time) in the Base Scenario for the 15-year period.</a:t>
          </a:r>
          <a:endParaRPr lang="en-US" sz="1100"/>
        </a:p>
      </xdr:txBody>
    </xdr:sp>
    <xdr:clientData/>
  </xdr:twoCellAnchor>
  <xdr:twoCellAnchor>
    <xdr:from>
      <xdr:col>6</xdr:col>
      <xdr:colOff>28220</xdr:colOff>
      <xdr:row>102</xdr:row>
      <xdr:rowOff>0</xdr:rowOff>
    </xdr:from>
    <xdr:to>
      <xdr:col>8</xdr:col>
      <xdr:colOff>2808110</xdr:colOff>
      <xdr:row>102</xdr:row>
      <xdr:rowOff>1142999</xdr:rowOff>
    </xdr:to>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16340664" y="7295444"/>
          <a:ext cx="7718779"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a:t>
          </a:r>
          <a:r>
            <a:rPr lang="en-US" sz="1100" baseline="0"/>
            <a:t> are the </a:t>
          </a:r>
          <a:r>
            <a:rPr lang="en-US" sz="1100"/>
            <a:t>Input Parameters from the table</a:t>
          </a:r>
          <a:r>
            <a:rPr lang="en-US" sz="1100" baseline="0"/>
            <a:t> above.</a:t>
          </a:r>
          <a:endParaRPr lang="en-US" sz="1100"/>
        </a:p>
      </xdr:txBody>
    </xdr:sp>
    <xdr:clientData/>
  </xdr:twoCellAnchor>
  <xdr:twoCellAnchor>
    <xdr:from>
      <xdr:col>9</xdr:col>
      <xdr:colOff>14113</xdr:colOff>
      <xdr:row>102</xdr:row>
      <xdr:rowOff>14111</xdr:rowOff>
    </xdr:from>
    <xdr:to>
      <xdr:col>13</xdr:col>
      <xdr:colOff>719667</xdr:colOff>
      <xdr:row>102</xdr:row>
      <xdr:rowOff>1157110</xdr:rowOff>
    </xdr:to>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24101780" y="7309555"/>
          <a:ext cx="12699998" cy="114299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These columns were calculated based on the total healthcare expenditures data provided by the Georgia MoH and the SAF input parameter .</a:t>
          </a:r>
        </a:p>
      </xdr:txBody>
    </xdr:sp>
    <xdr:clientData/>
  </xdr:twoCellAnchor>
  <xdr:twoCellAnchor>
    <xdr:from>
      <xdr:col>2</xdr:col>
      <xdr:colOff>0</xdr:colOff>
      <xdr:row>125</xdr:row>
      <xdr:rowOff>211666</xdr:rowOff>
    </xdr:from>
    <xdr:to>
      <xdr:col>5</xdr:col>
      <xdr:colOff>2709333</xdr:colOff>
      <xdr:row>126</xdr:row>
      <xdr:rowOff>1142999</xdr:rowOff>
    </xdr:to>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3499556" y="7295444"/>
          <a:ext cx="12798777" cy="114299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Base Scenario</a:t>
          </a:r>
          <a:r>
            <a:rPr lang="en-US" sz="1100" baseline="0"/>
            <a:t> represents our calculations of current "actual" outcomes for Georgia. The calculations for the Base Scenario are based on the most recent year of data available.</a:t>
          </a:r>
        </a:p>
        <a:p>
          <a:endParaRPr lang="en-US" sz="1100"/>
        </a:p>
        <a:p>
          <a:r>
            <a:rPr lang="en-US" sz="1100"/>
            <a:t>The Base Scenario</a:t>
          </a:r>
          <a:r>
            <a:rPr lang="en-US" sz="1100" baseline="0"/>
            <a:t> table columns below are based on the annual total healthcare expenditures data provided to us by the Georgia Ministry of Health (MoH).</a:t>
          </a:r>
        </a:p>
        <a:p>
          <a:endParaRPr lang="en-US" sz="1100" baseline="0"/>
        </a:p>
        <a:p>
          <a:r>
            <a:rPr lang="en-US" sz="1100" baseline="0"/>
            <a:t>We are assuming flat trends (no growth over time) in the Base Scenario for the 15-year period.</a:t>
          </a:r>
          <a:endParaRPr lang="en-US" sz="1100"/>
        </a:p>
      </xdr:txBody>
    </xdr:sp>
    <xdr:clientData/>
  </xdr:twoCellAnchor>
  <xdr:twoCellAnchor>
    <xdr:from>
      <xdr:col>6</xdr:col>
      <xdr:colOff>28220</xdr:colOff>
      <xdr:row>126</xdr:row>
      <xdr:rowOff>0</xdr:rowOff>
    </xdr:from>
    <xdr:to>
      <xdr:col>8</xdr:col>
      <xdr:colOff>2808110</xdr:colOff>
      <xdr:row>126</xdr:row>
      <xdr:rowOff>1142999</xdr:rowOff>
    </xdr:to>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16340664" y="7295444"/>
          <a:ext cx="7718779"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a:t>
          </a:r>
          <a:r>
            <a:rPr lang="en-US" sz="1100" baseline="0"/>
            <a:t> are the </a:t>
          </a:r>
          <a:r>
            <a:rPr lang="en-US" sz="1100"/>
            <a:t>Input Parameters from the table</a:t>
          </a:r>
          <a:r>
            <a:rPr lang="en-US" sz="1100" baseline="0"/>
            <a:t> above.</a:t>
          </a:r>
          <a:endParaRPr lang="en-US" sz="1100"/>
        </a:p>
      </xdr:txBody>
    </xdr:sp>
    <xdr:clientData/>
  </xdr:twoCellAnchor>
  <xdr:twoCellAnchor>
    <xdr:from>
      <xdr:col>9</xdr:col>
      <xdr:colOff>14113</xdr:colOff>
      <xdr:row>126</xdr:row>
      <xdr:rowOff>14111</xdr:rowOff>
    </xdr:from>
    <xdr:to>
      <xdr:col>13</xdr:col>
      <xdr:colOff>719667</xdr:colOff>
      <xdr:row>126</xdr:row>
      <xdr:rowOff>1157110</xdr:rowOff>
    </xdr:to>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24101780" y="7309555"/>
          <a:ext cx="12699998" cy="114299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These columns were calculated based on the total healthcare expenditures data provided by the Georgia MoH and the SAF input parameter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5</xdr:col>
      <xdr:colOff>0</xdr:colOff>
      <xdr:row>6</xdr:row>
      <xdr:rowOff>177800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73100" y="685800"/>
          <a:ext cx="10363200" cy="7747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 the FCTC Investment</a:t>
          </a:r>
          <a:r>
            <a:rPr lang="en-US" sz="1200" baseline="0"/>
            <a:t> Case Analysis Model</a:t>
          </a:r>
          <a:r>
            <a:rPr lang="en-US" sz="1200"/>
            <a:t>, </a:t>
          </a:r>
          <a:r>
            <a:rPr lang="en-US" sz="1200" b="1"/>
            <a:t>Tobacco Use</a:t>
          </a:r>
          <a:r>
            <a:rPr lang="en-US" sz="1200"/>
            <a:t> consists of smoking and secondhand smoke exposure.</a:t>
          </a:r>
        </a:p>
        <a:p>
          <a:r>
            <a:rPr lang="en-US" sz="1200"/>
            <a:t>Model results for Tobacco Use are calculated as the sum of model estimates for smoking plus model estimates for secondhand smoke exposure.</a:t>
          </a:r>
        </a:p>
      </xdr:txBody>
    </xdr:sp>
    <xdr:clientData/>
  </xdr:twoCellAnchor>
  <xdr:twoCellAnchor>
    <xdr:from>
      <xdr:col>1</xdr:col>
      <xdr:colOff>0</xdr:colOff>
      <xdr:row>11</xdr:row>
      <xdr:rowOff>0</xdr:rowOff>
    </xdr:from>
    <xdr:to>
      <xdr:col>6</xdr:col>
      <xdr:colOff>2070100</xdr:colOff>
      <xdr:row>26</xdr:row>
      <xdr:rowOff>190500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73100" y="2298700"/>
          <a:ext cx="15138400" cy="32385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Diseases Included</a:t>
          </a:r>
          <a:r>
            <a:rPr lang="en-US" sz="1300" b="1" baseline="0">
              <a:solidFill>
                <a:schemeClr val="dk1"/>
              </a:solidFill>
              <a:effectLst/>
              <a:latin typeface="+mn-lt"/>
              <a:ea typeface="+mn-ea"/>
              <a:cs typeface="+mn-cs"/>
            </a:rPr>
            <a:t> in the FCTC Investment Case Model</a:t>
          </a:r>
          <a:endParaRPr lang="en-US" sz="13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tobacco-related mortality component of the FCTC Investment Case Model for Georgia includes 27 diseases that have been identified as being causally-linked with tobacco use. The list of diseases, along with the strength of the evidence to support the association between smoking and the disease, are found in the following paper published in the Lancet in 2017:</a:t>
          </a: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Smoking prevalence and attributable disease burden in 195 countries and territories, 1990–2015: a systematic analysis from the Global Burden of Disease Study 2015. The Lancet. 2017. Volume 389, Issue 10082, 1885 – 1906. doi:10.1016/S0140-6736(17)30819-X</a:t>
          </a:r>
        </a:p>
        <a:p>
          <a:pPr lvl="1"/>
          <a:r>
            <a:rPr lang="en-US" sz="1100" u="sng">
              <a:solidFill>
                <a:schemeClr val="dk1"/>
              </a:solidFill>
              <a:effectLst/>
              <a:latin typeface="+mn-lt"/>
              <a:ea typeface="+mn-ea"/>
              <a:cs typeface="+mn-cs"/>
              <a:hlinkClick xmlns:r="http://schemas.openxmlformats.org/officeDocument/2006/relationships" r:id=""/>
            </a:rPr>
            <a:t>http://www.thelancet.com/journals/lancet/article/PIIS0140-6736(17)30819-X/abstract</a:t>
          </a:r>
          <a:r>
            <a:rPr lang="en-US">
              <a:effectLst/>
            </a:rPr>
            <a:t> </a:t>
          </a:r>
          <a:endParaRPr lang="en-US" sz="1100" u="sng" baseline="0">
            <a:solidFill>
              <a:srgbClr val="0070C0"/>
            </a:solidFill>
            <a:effectLst/>
            <a:uFill>
              <a:solidFill>
                <a:srgbClr val="0070C0"/>
              </a:solidFill>
            </a:uFill>
            <a:latin typeface="+mn-lt"/>
            <a:ea typeface="+mn-ea"/>
            <a:cs typeface="+mn-cs"/>
          </a:endParaRP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The ICD-10 and ICD-9 Codes associated with each of the 27 conditions included in the mortality component</a:t>
          </a:r>
          <a:r>
            <a:rPr lang="en-US" sz="1100" baseline="0">
              <a:solidFill>
                <a:schemeClr val="dk1"/>
              </a:solidFill>
              <a:effectLst/>
              <a:latin typeface="+mn-lt"/>
              <a:ea typeface="+mn-ea"/>
              <a:cs typeface="+mn-cs"/>
            </a:rPr>
            <a:t> of the </a:t>
          </a:r>
          <a:r>
            <a:rPr lang="en-US" sz="1100">
              <a:solidFill>
                <a:schemeClr val="dk1"/>
              </a:solidFill>
              <a:effectLst/>
              <a:latin typeface="+mn-lt"/>
              <a:ea typeface="+mn-ea"/>
              <a:cs typeface="+mn-cs"/>
            </a:rPr>
            <a:t>FCTC Investment Case Model can be found and downloaded from IHME’s Global Health Data Exchange (GHDx) website</a:t>
          </a:r>
          <a:br>
            <a:rPr lang="en-US" sz="1100">
              <a:solidFill>
                <a:schemeClr val="dk1"/>
              </a:solidFill>
              <a:effectLst/>
              <a:latin typeface="+mn-lt"/>
              <a:ea typeface="+mn-ea"/>
              <a:cs typeface="+mn-cs"/>
            </a:rPr>
          </a:br>
          <a:r>
            <a:rPr lang="en-US" sz="1100" u="sng">
              <a:solidFill>
                <a:srgbClr val="0070C0"/>
              </a:solidFill>
              <a:effectLst/>
              <a:latin typeface="+mn-lt"/>
              <a:ea typeface="+mn-ea"/>
              <a:cs typeface="+mn-cs"/>
              <a:hlinkClick xmlns:r="http://schemas.openxmlformats.org/officeDocument/2006/relationships" r:id=""/>
            </a:rPr>
            <a:t>http://ghdx.healthdata.org/record/global-burden-disease-study-2016-gbd-2016-causes-death-and-nonfatal-causes-mapped-icd-codes</a:t>
          </a:r>
          <a:endParaRPr lang="en-US" sz="1100">
            <a:solidFill>
              <a:srgbClr val="0070C0"/>
            </a:solidFill>
            <a:effectLst/>
            <a:latin typeface="+mn-lt"/>
            <a:ea typeface="+mn-ea"/>
            <a:cs typeface="+mn-cs"/>
          </a:endParaRPr>
        </a:p>
        <a:p>
          <a:r>
            <a:rPr lang="en-US" sz="1100">
              <a:solidFill>
                <a:schemeClr val="dk1"/>
              </a:solidFill>
              <a:effectLst/>
              <a:latin typeface="+mn-lt"/>
              <a:ea typeface="+mn-ea"/>
              <a:cs typeface="+mn-cs"/>
            </a:rPr>
            <a:t> </a:t>
          </a:r>
        </a:p>
        <a:p>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note that the Lancet article referenced above lists a total of 36 diseases associated with tobacco use. However, some of the diseases listed in the Lancet article are only associated with morbidity and not mortality. Additionally, the 2016 Global Burden of Disease Study (GBD) data that we used for tobacco-related mortality, does not contain data on tobacco-related deaths for all of the tobacco-related diseases listed in the Lancet article referenced above. There are a total of 27 diseases that are listed in Lancet article referenced above and have 2016 GBD data available for Georgia.</a:t>
          </a:r>
          <a:endParaRPr lang="en-US" sz="1100" b="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table below lists each of the 27 diseases included in the mortality component of FCTC Investment Case Analysis Model, along with the ICD-10 Codes for each disease.</a:t>
          </a:r>
        </a:p>
      </xdr:txBody>
    </xdr:sp>
    <xdr:clientData/>
  </xdr:twoCellAnchor>
  <xdr:twoCellAnchor>
    <xdr:from>
      <xdr:col>1</xdr:col>
      <xdr:colOff>0</xdr:colOff>
      <xdr:row>59</xdr:row>
      <xdr:rowOff>0</xdr:rowOff>
    </xdr:from>
    <xdr:to>
      <xdr:col>6</xdr:col>
      <xdr:colOff>2070100</xdr:colOff>
      <xdr:row>82</xdr:row>
      <xdr:rowOff>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673100" y="13525500"/>
          <a:ext cx="14579600" cy="43815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Total Annual Number of Deaths</a:t>
          </a:r>
          <a:r>
            <a:rPr lang="en-US" sz="1300" b="1" baseline="0">
              <a:solidFill>
                <a:schemeClr val="dk1"/>
              </a:solidFill>
              <a:effectLst/>
              <a:latin typeface="+mn-lt"/>
              <a:ea typeface="+mn-ea"/>
              <a:cs typeface="+mn-cs"/>
            </a:rPr>
            <a:t> from Diseases included in the Model</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Of the 34 diseases included in the mortality component of the FCTC Investment Case Model, 2016 GBD mortality data were not available for 7 diseases. The number of conditions associated with tobacco use included in the FCTC Investment Case Model for which 2016 GBD data are available is as follows:</a:t>
          </a:r>
        </a:p>
        <a:p>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Tobacco Use: 27 diseases</a:t>
          </a:r>
        </a:p>
        <a:p>
          <a:pPr lvl="1"/>
          <a:r>
            <a:rPr lang="en-US" sz="1100" b="0" baseline="0">
              <a:solidFill>
                <a:schemeClr val="dk1"/>
              </a:solidFill>
              <a:effectLst/>
              <a:latin typeface="+mn-lt"/>
              <a:ea typeface="+mn-ea"/>
              <a:cs typeface="+mn-cs"/>
            </a:rPr>
            <a:t>Smoking: 27 diseases</a:t>
          </a:r>
        </a:p>
        <a:p>
          <a:pPr lvl="1"/>
          <a:r>
            <a:rPr lang="en-US" sz="1100" b="0" baseline="0">
              <a:solidFill>
                <a:schemeClr val="dk1"/>
              </a:solidFill>
              <a:effectLst/>
              <a:latin typeface="+mn-lt"/>
              <a:ea typeface="+mn-ea"/>
              <a:cs typeface="+mn-cs"/>
            </a:rPr>
            <a:t>Secondhand Smoke Exposure: 7 diseases</a:t>
          </a:r>
        </a:p>
        <a:p>
          <a:pPr lvl="1"/>
          <a:endParaRPr lang="en-US" sz="1100" b="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Please refer to the table above for a listing of the 27 diseases associated with tobacco use/smoking and the 7 diseases associated with secondhand smoke exposure that are included in the FCTC Model Results for Georgia.</a:t>
          </a:r>
        </a:p>
        <a:p>
          <a:endParaRPr lang="en-US" sz="11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 table below presents country-specific annual total number of deaths from diseases included in the model for the 27 diseases associated with tobacco use/smoking and the 7 diseases associated with secondhand smoke exposure.</a:t>
          </a: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These data points are from the 2016 Global Burden of Disease Study (2016 GBD).</a:t>
          </a:r>
        </a:p>
        <a:p>
          <a:endParaRPr lang="en-US" sz="1100" b="0">
            <a:solidFill>
              <a:schemeClr val="dk1"/>
            </a:solidFill>
            <a:effectLst/>
            <a:latin typeface="+mn-lt"/>
            <a:ea typeface="+mn-ea"/>
            <a:cs typeface="+mn-cs"/>
          </a:endParaRPr>
        </a:p>
        <a:p>
          <a:r>
            <a:rPr lang="en-US" sz="1100">
              <a:solidFill>
                <a:schemeClr val="dk1"/>
              </a:solidFill>
              <a:effectLst/>
              <a:latin typeface="+mn-lt"/>
              <a:ea typeface="+mn-ea"/>
              <a:cs typeface="+mn-cs"/>
            </a:rPr>
            <a:t>Please</a:t>
          </a:r>
          <a:r>
            <a:rPr lang="en-US" sz="1100" baseline="0">
              <a:solidFill>
                <a:schemeClr val="dk1"/>
              </a:solidFill>
              <a:effectLst/>
              <a:latin typeface="+mn-lt"/>
              <a:ea typeface="+mn-ea"/>
              <a:cs typeface="+mn-cs"/>
            </a:rPr>
            <a:t> note that these are the total number of deaths for the diseases and are not risk factor attributable deaths. These are not the number of deaths associated with tobacco use. These are the TOTAL number of deaths for diseases that are associated with tobacco use. These estimates include deaths attributable to tobacco use as well as deaths not attributable to tobacco use. This includes disease-specific deaths among both the exposed (smokers and those exposued to secondhand smoke) and unexposed (nonsmokers and those not exposued to secondhand smoke) populations.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These are the total number of deaths that the population-attributable fraction (PAF) is multiplied by to calculate risk factor attributable deaths.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Because</a:t>
          </a:r>
          <a:r>
            <a:rPr lang="en-US" sz="1100" baseline="0">
              <a:solidFill>
                <a:schemeClr val="dk1"/>
              </a:solidFill>
              <a:effectLst/>
              <a:latin typeface="+mn-lt"/>
              <a:ea typeface="+mn-ea"/>
              <a:cs typeface="+mn-cs"/>
            </a:rPr>
            <a:t> these are not risk-factor attributable counts, the data points in the table below are not additive. The total of </a:t>
          </a:r>
          <a:r>
            <a:rPr lang="en-US" sz="1100">
              <a:solidFill>
                <a:schemeClr val="dk1"/>
              </a:solidFill>
              <a:effectLst/>
              <a:latin typeface="+mn-lt"/>
              <a:ea typeface="+mn-ea"/>
              <a:cs typeface="+mn-cs"/>
            </a:rPr>
            <a:t>Smoking + Secondhand Smoke does not equal Tobacco.</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total number of deaths for</a:t>
          </a:r>
          <a:r>
            <a:rPr lang="en-US" sz="1100" baseline="0">
              <a:solidFill>
                <a:schemeClr val="dk1"/>
              </a:solidFill>
              <a:effectLst/>
              <a:latin typeface="+mn-lt"/>
              <a:ea typeface="+mn-ea"/>
              <a:cs typeface="+mn-cs"/>
            </a:rPr>
            <a:t> smoking and secondhand smoke exposure are different </a:t>
          </a:r>
          <a:r>
            <a:rPr lang="en-US" sz="1100">
              <a:solidFill>
                <a:schemeClr val="dk1"/>
              </a:solidFill>
              <a:effectLst/>
              <a:latin typeface="+mn-lt"/>
              <a:ea typeface="+mn-ea"/>
              <a:cs typeface="+mn-cs"/>
            </a:rPr>
            <a:t>because of differences in the specific diseases associated with tobacco use/smoking (27 diseases) and secondhand smoke exposure (7 diseases) included in the FCTC Investment Case Model.</a:t>
          </a:r>
        </a:p>
      </xdr:txBody>
    </xdr:sp>
    <xdr:clientData/>
  </xdr:twoCellAnchor>
  <xdr:twoCellAnchor>
    <xdr:from>
      <xdr:col>1</xdr:col>
      <xdr:colOff>0</xdr:colOff>
      <xdr:row>88</xdr:row>
      <xdr:rowOff>0</xdr:rowOff>
    </xdr:from>
    <xdr:to>
      <xdr:col>6</xdr:col>
      <xdr:colOff>2070100</xdr:colOff>
      <xdr:row>100</xdr:row>
      <xdr:rowOff>152400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673100" y="20104100"/>
          <a:ext cx="14579600" cy="24384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Risk Factor Attributable</a:t>
          </a:r>
          <a:r>
            <a:rPr lang="en-US" sz="1300" b="1" baseline="0">
              <a:solidFill>
                <a:schemeClr val="dk1"/>
              </a:solidFill>
              <a:effectLst/>
              <a:latin typeface="+mn-lt"/>
              <a:ea typeface="+mn-ea"/>
              <a:cs typeface="+mn-cs"/>
            </a:rPr>
            <a:t> Deaths from Diseases Included in the Model</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For each of the diseases included in the model, we estimate the number of risk factor attributable deaths. Risk factor attributable deaths are deaths that are associated with tobacco use, smoking, and secondhand smoke exposure. </a:t>
          </a:r>
          <a:endParaRPr lang="en-US" sz="1100" b="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Risk Factor Attributable Deaths = Total</a:t>
          </a:r>
          <a:r>
            <a:rPr lang="en-US" sz="1100" baseline="0">
              <a:solidFill>
                <a:schemeClr val="dk1"/>
              </a:solidFill>
              <a:effectLst/>
              <a:latin typeface="+mn-lt"/>
              <a:ea typeface="+mn-ea"/>
              <a:cs typeface="+mn-cs"/>
            </a:rPr>
            <a:t> Deaths x PAF (population-attributable fraction of deaths)</a:t>
          </a:r>
        </a:p>
        <a:p>
          <a:pPr lvl="1"/>
          <a:endParaRPr lang="en-US" sz="1100" baseline="0">
            <a:solidFill>
              <a:schemeClr val="dk1"/>
            </a:solidFill>
            <a:effectLst/>
            <a:latin typeface="+mn-lt"/>
            <a:ea typeface="+mn-ea"/>
            <a:cs typeface="+mn-cs"/>
          </a:endParaRPr>
        </a:p>
        <a:p>
          <a:pPr lvl="0"/>
          <a:r>
            <a:rPr lang="en-US" sz="1100" baseline="0">
              <a:solidFill>
                <a:schemeClr val="dk1"/>
              </a:solidFill>
              <a:effectLst/>
              <a:latin typeface="+mn-lt"/>
              <a:ea typeface="+mn-ea"/>
              <a:cs typeface="+mn-cs"/>
            </a:rPr>
            <a:t>We obtained country-specific baseline estimates of risk factor attributable deaths by disease, sex, and age group for Georgia from the 2016 Global Burden of Disease Study (2016 GBD).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Thes numbers in the table below are the total anunal number of deaths associated with tobacco use (aggregated across diseases,</a:t>
          </a:r>
          <a:r>
            <a:rPr lang="en-US" sz="1100" baseline="0">
              <a:solidFill>
                <a:schemeClr val="dk1"/>
              </a:solidFill>
              <a:effectLst/>
              <a:latin typeface="+mn-lt"/>
              <a:ea typeface="+mn-ea"/>
              <a:cs typeface="+mn-cs"/>
            </a:rPr>
            <a:t> sex, and age groups)</a:t>
          </a:r>
          <a:r>
            <a:rPr lang="en-US" sz="1100">
              <a:solidFill>
                <a:schemeClr val="dk1"/>
              </a:solidFill>
              <a:effectLst/>
              <a:latin typeface="+mn-lt"/>
              <a:ea typeface="+mn-ea"/>
              <a:cs typeface="+mn-cs"/>
            </a:rPr>
            <a:t>. These totals</a:t>
          </a:r>
          <a:r>
            <a:rPr lang="en-US" sz="1100" baseline="0">
              <a:solidFill>
                <a:schemeClr val="dk1"/>
              </a:solidFill>
              <a:effectLst/>
              <a:latin typeface="+mn-lt"/>
              <a:ea typeface="+mn-ea"/>
              <a:cs typeface="+mn-cs"/>
            </a:rPr>
            <a:t> are based on annual estimates for 2016 from the 2016 GBD data.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deaths associated with tobacco use = deaths associated with smoking + deaths associated with secondhand smoke exposure.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numbers in the table below represent our Base Scenario that we use to model the effects of the different policies/interventions that we modeled on risk factor attribtuable deaths. We compare the estimated results for each year of our 15-year model results for each intervention scenario to this Baseline Scenario. </a:t>
          </a:r>
          <a:endParaRPr lang="en-US" sz="1100">
            <a:solidFill>
              <a:schemeClr val="dk1"/>
            </a:solidFill>
            <a:effectLst/>
            <a:latin typeface="+mn-lt"/>
            <a:ea typeface="+mn-ea"/>
            <a:cs typeface="+mn-cs"/>
          </a:endParaRPr>
        </a:p>
      </xdr:txBody>
    </xdr:sp>
    <xdr:clientData/>
  </xdr:twoCellAnchor>
  <xdr:twoCellAnchor>
    <xdr:from>
      <xdr:col>1</xdr:col>
      <xdr:colOff>0</xdr:colOff>
      <xdr:row>134</xdr:row>
      <xdr:rowOff>0</xdr:rowOff>
    </xdr:from>
    <xdr:to>
      <xdr:col>6</xdr:col>
      <xdr:colOff>2070100</xdr:colOff>
      <xdr:row>137</xdr:row>
      <xdr:rowOff>228600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673100" y="32359600"/>
          <a:ext cx="14579600" cy="9525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Annual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annual number of risk factor attributable deaths from the diseases included in the model for each of the risk factors for both the baseline scenario and each intervention scenario estimated by our model. The table also presents the marginal effects (number of risk factor attributable deaths averted) as well as the return on investment (ROI) for each.</a:t>
          </a:r>
        </a:p>
      </xdr:txBody>
    </xdr:sp>
    <xdr:clientData/>
  </xdr:twoCellAnchor>
  <xdr:twoCellAnchor>
    <xdr:from>
      <xdr:col>1</xdr:col>
      <xdr:colOff>0</xdr:colOff>
      <xdr:row>111</xdr:row>
      <xdr:rowOff>0</xdr:rowOff>
    </xdr:from>
    <xdr:to>
      <xdr:col>6</xdr:col>
      <xdr:colOff>2070100</xdr:colOff>
      <xdr:row>130</xdr:row>
      <xdr:rowOff>190500</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673100" y="26797000"/>
          <a:ext cx="14579600" cy="47752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FCTC Investment Case Model Results: Mortality</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For the FCTC Investment Case Model, we estimate the impact of 4 different tobacco control policies/interventions, individually and combined, on risk factor attributable deaths in Georgia for each of the three risk factors included in our model.</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4 interventions we assessed included</a:t>
          </a:r>
        </a:p>
        <a:p>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Increasing Cigarette Taxes</a:t>
          </a:r>
        </a:p>
        <a:p>
          <a:pPr lvl="1"/>
          <a:r>
            <a:rPr lang="en-US" sz="1100" b="0" baseline="0">
              <a:solidFill>
                <a:schemeClr val="dk1"/>
              </a:solidFill>
              <a:effectLst/>
              <a:latin typeface="+mn-lt"/>
              <a:ea typeface="+mn-ea"/>
              <a:cs typeface="+mn-cs"/>
            </a:rPr>
            <a:t>Smoke-Free Air Laws</a:t>
          </a:r>
        </a:p>
        <a:p>
          <a:pPr lvl="1"/>
          <a:r>
            <a:rPr lang="en-US" sz="1100" b="0" baseline="0">
              <a:solidFill>
                <a:schemeClr val="dk1"/>
              </a:solidFill>
              <a:effectLst/>
              <a:latin typeface="+mn-lt"/>
              <a:ea typeface="+mn-ea"/>
              <a:cs typeface="+mn-cs"/>
            </a:rPr>
            <a:t>Enforce Marketing Restrictions</a:t>
          </a:r>
        </a:p>
        <a:p>
          <a:pPr lvl="1"/>
          <a:r>
            <a:rPr lang="en-US" sz="1100" b="0" baseline="0">
              <a:solidFill>
                <a:schemeClr val="dk1"/>
              </a:solidFill>
              <a:effectLst/>
              <a:latin typeface="+mn-lt"/>
              <a:ea typeface="+mn-ea"/>
              <a:cs typeface="+mn-cs"/>
            </a:rPr>
            <a:t>Cigarette Package Warnings</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Risk Factor Attributable Deaths for Policies/Interventions</a:t>
          </a:r>
        </a:p>
        <a:p>
          <a:pPr lvl="0"/>
          <a:r>
            <a:rPr lang="en-US" sz="1100" b="0" baseline="0">
              <a:solidFill>
                <a:schemeClr val="dk1"/>
              </a:solidFill>
              <a:effectLst/>
              <a:latin typeface="+mn-lt"/>
              <a:ea typeface="+mn-ea"/>
              <a:cs typeface="+mn-cs"/>
            </a:rPr>
            <a:t>The estimated impacts of these four tobacco control policies/interventions (summarized in the Intervention Impacts worksheet) were forecasted for a 15-year period. We applied those estimated intervention impacts to our FCTC Investment Case Model. The FCTC Investment Case Model extends the Baseline Scenario (summarized above) out for the entire 15-year period of the simulation. Then we estimated the impact of each of the interventions, separately and combined, on risk factor attributable deaths. We started each of our 15-year scenarios with the number of risk factor attributable deaths from the 2016 Global Burden of Disease Study (Model Year = 0). Then we adjusted the the starting number based on the relative change in smoking prevalence under each intervention scenario in the first year of the model. We continued this year-over-year adjustment for model years 2 through 15. </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Number of Risk Factor Attributable Deaths Averted for Policies/Interventions</a:t>
          </a:r>
        </a:p>
        <a:p>
          <a:pPr lvl="0"/>
          <a:r>
            <a:rPr lang="en-US" sz="1100" b="0" baseline="0">
              <a:solidFill>
                <a:schemeClr val="dk1"/>
              </a:solidFill>
              <a:effectLst/>
              <a:latin typeface="+mn-lt"/>
              <a:ea typeface="+mn-ea"/>
              <a:cs typeface="+mn-cs"/>
            </a:rPr>
            <a:t>For the marginal effects (number of risk factor attributable deaths averted), we compared the values for the intervention scenario to the values for the baseline scenario. </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Number of Risk Factor Attributable Deaths Averted = Deaths (Baseline Scenario) - Deaths (Intervention Scenario)</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Return on Investment (ROI) for Policies/Interventions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Using data on the estimated annual financial cost of each policy/intervention (summarized in the Intervention Costs worksheet), we calculated the Return on Investment (ROI) for each policy.</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Return on Investment (ROI) = Number of Risk Factor Attributable Deaths Averted / Intervention Costs (in thousands)</a:t>
          </a:r>
        </a:p>
        <a:p>
          <a:endParaRPr lang="en-US" sz="1100" b="1" baseline="0">
            <a:solidFill>
              <a:schemeClr val="dk1"/>
            </a:solidFill>
            <a:effectLst/>
            <a:latin typeface="+mn-lt"/>
            <a:ea typeface="+mn-ea"/>
            <a:cs typeface="+mn-cs"/>
          </a:endParaRPr>
        </a:p>
      </xdr:txBody>
    </xdr:sp>
    <xdr:clientData/>
  </xdr:twoCellAnchor>
  <xdr:twoCellAnchor>
    <xdr:from>
      <xdr:col>1</xdr:col>
      <xdr:colOff>0</xdr:colOff>
      <xdr:row>370</xdr:row>
      <xdr:rowOff>0</xdr:rowOff>
    </xdr:from>
    <xdr:to>
      <xdr:col>6</xdr:col>
      <xdr:colOff>2070100</xdr:colOff>
      <xdr:row>373</xdr:row>
      <xdr:rowOff>241300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673100" y="78397100"/>
          <a:ext cx="14579600" cy="10033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Aggregate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same information that is summarized in the annual model results table above totaled across Years 1-5, Years 6-15, and the entire 15-year period (Years 1-15).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5</xdr:col>
      <xdr:colOff>50800</xdr:colOff>
      <xdr:row>6</xdr:row>
      <xdr:rowOff>165100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73100" y="685800"/>
          <a:ext cx="10363200" cy="7366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 the FCTC Investment</a:t>
          </a:r>
          <a:r>
            <a:rPr lang="en-US" sz="1200" baseline="0"/>
            <a:t> Case Analysis Model</a:t>
          </a:r>
          <a:r>
            <a:rPr lang="en-US" sz="1200"/>
            <a:t>, </a:t>
          </a:r>
          <a:r>
            <a:rPr lang="en-US" sz="1200" b="1"/>
            <a:t>Tobacco Use</a:t>
          </a:r>
          <a:r>
            <a:rPr lang="en-US" sz="1200"/>
            <a:t> consists of smoking and secondhand smoke exposure.</a:t>
          </a:r>
        </a:p>
        <a:p>
          <a:r>
            <a:rPr lang="en-US" sz="1200"/>
            <a:t>Model results for Tobacco Use are calculated as the sum of model estimates for smoking plus model estimates for secondhand smoke exposure.</a:t>
          </a:r>
        </a:p>
      </xdr:txBody>
    </xdr:sp>
    <xdr:clientData/>
  </xdr:twoCellAnchor>
  <xdr:twoCellAnchor>
    <xdr:from>
      <xdr:col>1</xdr:col>
      <xdr:colOff>0</xdr:colOff>
      <xdr:row>11</xdr:row>
      <xdr:rowOff>0</xdr:rowOff>
    </xdr:from>
    <xdr:to>
      <xdr:col>7</xdr:col>
      <xdr:colOff>38100</xdr:colOff>
      <xdr:row>27</xdr:row>
      <xdr:rowOff>190500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673100" y="2273300"/>
          <a:ext cx="14579600" cy="32893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Diseases Included</a:t>
          </a:r>
          <a:r>
            <a:rPr lang="en-US" sz="1300" b="1" baseline="0">
              <a:solidFill>
                <a:schemeClr val="dk1"/>
              </a:solidFill>
              <a:effectLst/>
              <a:latin typeface="+mn-lt"/>
              <a:ea typeface="+mn-ea"/>
              <a:cs typeface="+mn-cs"/>
            </a:rPr>
            <a:t> in the FCTC Investment Case Model</a:t>
          </a:r>
          <a:endParaRPr lang="en-US" sz="13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tobacco-related mortality component of the FCTC Investment Case Model for Georgia includes 27 diseases that have been identified as being causally-linked with tobacco use. The list of diseases, along with the strength of the evidence to support the association between smoking and the disease, are found in the following paper published in the Lancet in 2017:</a:t>
          </a: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Smoking prevalence and attributable disease burden in 195 countries and territories, 1990–2015: a systematic analysis from the Global Burden of Disease Study 2015. The Lancet. 2017. Volume 389, Issue 10082, 1885 – 1906. doi:10.1016/S0140-6736(17)30819-X</a:t>
          </a:r>
        </a:p>
        <a:p>
          <a:pPr lvl="1"/>
          <a:r>
            <a:rPr lang="en-US" sz="1100" u="sng">
              <a:solidFill>
                <a:schemeClr val="dk1"/>
              </a:solidFill>
              <a:effectLst/>
              <a:latin typeface="+mn-lt"/>
              <a:ea typeface="+mn-ea"/>
              <a:cs typeface="+mn-cs"/>
              <a:hlinkClick xmlns:r="http://schemas.openxmlformats.org/officeDocument/2006/relationships" r:id=""/>
            </a:rPr>
            <a:t>http://www.thelancet.com/journals/lancet/article/PIIS0140-6736(17)30819-X/abstract</a:t>
          </a:r>
          <a:r>
            <a:rPr lang="en-US">
              <a:effectLst/>
            </a:rPr>
            <a:t> </a:t>
          </a:r>
          <a:endParaRPr lang="en-US" sz="1100" u="sng" baseline="0">
            <a:solidFill>
              <a:srgbClr val="0070C0"/>
            </a:solidFill>
            <a:effectLst/>
            <a:uFill>
              <a:solidFill>
                <a:srgbClr val="0070C0"/>
              </a:solidFill>
            </a:uFill>
            <a:latin typeface="+mn-lt"/>
            <a:ea typeface="+mn-ea"/>
            <a:cs typeface="+mn-cs"/>
          </a:endParaRP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The ICD-10 and ICD-9 Codes associated with each of the 27 conditions included in the mortality</a:t>
          </a:r>
          <a:r>
            <a:rPr lang="en-US" sz="1100" baseline="0">
              <a:solidFill>
                <a:schemeClr val="dk1"/>
              </a:solidFill>
              <a:effectLst/>
              <a:latin typeface="+mn-lt"/>
              <a:ea typeface="+mn-ea"/>
              <a:cs typeface="+mn-cs"/>
            </a:rPr>
            <a:t> component of the </a:t>
          </a:r>
          <a:r>
            <a:rPr lang="en-US" sz="1100">
              <a:solidFill>
                <a:schemeClr val="dk1"/>
              </a:solidFill>
              <a:effectLst/>
              <a:latin typeface="+mn-lt"/>
              <a:ea typeface="+mn-ea"/>
              <a:cs typeface="+mn-cs"/>
            </a:rPr>
            <a:t>FCTC Investment Case Model can be found and downloaded from IHME’s Global Health Data Exchange (GHDx) website</a:t>
          </a:r>
          <a:br>
            <a:rPr lang="en-US" sz="1100">
              <a:solidFill>
                <a:schemeClr val="dk1"/>
              </a:solidFill>
              <a:effectLst/>
              <a:latin typeface="+mn-lt"/>
              <a:ea typeface="+mn-ea"/>
              <a:cs typeface="+mn-cs"/>
            </a:rPr>
          </a:br>
          <a:r>
            <a:rPr lang="en-US" sz="1100" u="sng">
              <a:solidFill>
                <a:srgbClr val="0070C0"/>
              </a:solidFill>
              <a:effectLst/>
              <a:latin typeface="+mn-lt"/>
              <a:ea typeface="+mn-ea"/>
              <a:cs typeface="+mn-cs"/>
              <a:hlinkClick xmlns:r="http://schemas.openxmlformats.org/officeDocument/2006/relationships" r:id=""/>
            </a:rPr>
            <a:t>http://ghdx.healthdata.org/record/global-burden-disease-study-2016-gbd-2016-causes-death-and-nonfatal-causes-mapped-icd-codes</a:t>
          </a:r>
          <a:endParaRPr lang="en-US" sz="1100">
            <a:solidFill>
              <a:srgbClr val="0070C0"/>
            </a:solidFill>
            <a:effectLst/>
            <a:latin typeface="+mn-lt"/>
            <a:ea typeface="+mn-ea"/>
            <a:cs typeface="+mn-cs"/>
          </a:endParaRPr>
        </a:p>
        <a:p>
          <a:r>
            <a:rPr lang="en-US" sz="1100">
              <a:solidFill>
                <a:schemeClr val="dk1"/>
              </a:solidFill>
              <a:effectLst/>
              <a:latin typeface="+mn-lt"/>
              <a:ea typeface="+mn-ea"/>
              <a:cs typeface="+mn-cs"/>
            </a:rPr>
            <a:t> </a:t>
          </a:r>
        </a:p>
        <a:p>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note that the Lancet article referenced above lists a total of 36 diseases associated with tobacco use. However, some of the diseases listed in the Lancet article are only associated with morbidity and not mortality. Additionally, the 2016 Global Burden of Disease Study (GBD) data that we used for tobacco-related mortality, does not contain data on tobacco-related deaths for all of the tobacco-related diseases listed in the Lancet article referenced above. There are a total of 27 diseases that are listed in Lancet article referenced above and have 2016 GBD data available for Georgia.</a:t>
          </a:r>
          <a:endParaRPr lang="en-US" sz="1100" b="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table below lists each of the 27 diseases included in the mortality component of FCTC Investment Case Analysis Model, along with the ICD-10 Codes for each disease.</a:t>
          </a:r>
        </a:p>
      </xdr:txBody>
    </xdr:sp>
    <xdr:clientData/>
  </xdr:twoCellAnchor>
  <xdr:twoCellAnchor>
    <xdr:from>
      <xdr:col>1</xdr:col>
      <xdr:colOff>0</xdr:colOff>
      <xdr:row>60</xdr:row>
      <xdr:rowOff>0</xdr:rowOff>
    </xdr:from>
    <xdr:to>
      <xdr:col>7</xdr:col>
      <xdr:colOff>38100</xdr:colOff>
      <xdr:row>78</xdr:row>
      <xdr:rowOff>177800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673100" y="13754100"/>
          <a:ext cx="14579600" cy="36068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Costs of Premature Mortality Associated with Tobacco Use</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Of the 34 diseases included in the mortality component of the FCTC Investment Case Model, 2016 GBD mortality data were not available for 7 diseases. The number of conditions associated with tobacco use included in the FCTC Investment Case Model for which 2016 GBD data are available is as follows:</a:t>
          </a:r>
        </a:p>
        <a:p>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Tobacco Use: 27 diseases</a:t>
          </a:r>
        </a:p>
        <a:p>
          <a:pPr lvl="1"/>
          <a:r>
            <a:rPr lang="en-US" sz="1100" b="0" baseline="0">
              <a:solidFill>
                <a:schemeClr val="dk1"/>
              </a:solidFill>
              <a:effectLst/>
              <a:latin typeface="+mn-lt"/>
              <a:ea typeface="+mn-ea"/>
              <a:cs typeface="+mn-cs"/>
            </a:rPr>
            <a:t>Smoking: 27 diseases</a:t>
          </a:r>
        </a:p>
        <a:p>
          <a:pPr lvl="1"/>
          <a:r>
            <a:rPr lang="en-US" sz="1100" b="0" baseline="0">
              <a:solidFill>
                <a:schemeClr val="dk1"/>
              </a:solidFill>
              <a:effectLst/>
              <a:latin typeface="+mn-lt"/>
              <a:ea typeface="+mn-ea"/>
              <a:cs typeface="+mn-cs"/>
            </a:rPr>
            <a:t>Secondhand Smoke Exposure: 7 diseases</a:t>
          </a:r>
        </a:p>
        <a:p>
          <a:pPr lvl="1"/>
          <a:endParaRPr lang="en-US" sz="1100" b="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Please refer to the table above for a listing of the 27 diseases associated with tobacco use/smoking and the 7 diseases associated with secondhand smoke exposure that are included in the FCTC Model Results for Georgia.</a:t>
          </a:r>
        </a:p>
        <a:p>
          <a:endParaRPr lang="en-US" sz="1100" b="0">
            <a:solidFill>
              <a:schemeClr val="dk1"/>
            </a:solidFill>
            <a:effectLst/>
            <a:latin typeface="+mn-lt"/>
            <a:ea typeface="+mn-ea"/>
            <a:cs typeface="+mn-cs"/>
          </a:endParaRPr>
        </a:p>
        <a:p>
          <a:r>
            <a:rPr lang="en-US" sz="1100" b="0" baseline="0">
              <a:solidFill>
                <a:schemeClr val="dk1"/>
              </a:solidFill>
              <a:effectLst/>
              <a:latin typeface="+mn-lt"/>
              <a:ea typeface="+mn-ea"/>
              <a:cs typeface="+mn-cs"/>
            </a:rPr>
            <a:t>Please refer to the Mortality worksheet for a summary of the number of risk factor attributable deaths.</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This worksheet summarizes the costs associated with premature mortality associated with tobacco use. We estimate the cost of premature mortality from tobacco use as follows:</a:t>
          </a:r>
        </a:p>
        <a:p>
          <a:endParaRPr lang="en-US" sz="1100" b="0" baseline="0">
            <a:solidFill>
              <a:schemeClr val="dk1"/>
            </a:solidFill>
            <a:effectLst/>
            <a:latin typeface="+mn-lt"/>
            <a:ea typeface="+mn-ea"/>
            <a:cs typeface="+mn-cs"/>
          </a:endParaRPr>
        </a:p>
        <a:p>
          <a:pPr lvl="1"/>
          <a:r>
            <a:rPr lang="en-US" sz="1100" b="1" baseline="0">
              <a:solidFill>
                <a:schemeClr val="dk1"/>
              </a:solidFill>
              <a:effectLst/>
              <a:latin typeface="+mn-lt"/>
              <a:ea typeface="+mn-ea"/>
              <a:cs typeface="+mn-cs"/>
            </a:rPr>
            <a:t>Cost of Premature Mortality Associated with Tobacco Use</a:t>
          </a:r>
          <a:r>
            <a:rPr lang="en-US" sz="1100" b="0" baseline="0">
              <a:solidFill>
                <a:schemeClr val="dk1"/>
              </a:solidFill>
              <a:effectLst/>
              <a:latin typeface="+mn-lt"/>
              <a:ea typeface="+mn-ea"/>
              <a:cs typeface="+mn-cs"/>
            </a:rPr>
            <a:t> = Number of Risk Factor Attributable Deaths x Per Capita Gross Domestic Product (GDP)</a:t>
          </a: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numbers in the table below represent our Base Scenario that we use to model the effects of the different policies/interventions that we modeled on risk factor attribtuable deaths. We compare the estimated results for each year of our 15-year model results for each intervention scenario to this Baseline Scenario. </a:t>
          </a:r>
          <a:endParaRPr lang="en-US" sz="1100">
            <a:solidFill>
              <a:schemeClr val="dk1"/>
            </a:solidFill>
            <a:effectLst/>
            <a:latin typeface="+mn-lt"/>
            <a:ea typeface="+mn-ea"/>
            <a:cs typeface="+mn-cs"/>
          </a:endParaRPr>
        </a:p>
        <a:p>
          <a:endParaRPr lang="en-US" sz="1100" b="0">
            <a:solidFill>
              <a:schemeClr val="dk1"/>
            </a:solidFill>
            <a:effectLst/>
            <a:latin typeface="+mn-lt"/>
            <a:ea typeface="+mn-ea"/>
            <a:cs typeface="+mn-cs"/>
          </a:endParaRPr>
        </a:p>
      </xdr:txBody>
    </xdr:sp>
    <xdr:clientData/>
  </xdr:twoCellAnchor>
  <xdr:twoCellAnchor>
    <xdr:from>
      <xdr:col>1</xdr:col>
      <xdr:colOff>0</xdr:colOff>
      <xdr:row>89</xdr:row>
      <xdr:rowOff>0</xdr:rowOff>
    </xdr:from>
    <xdr:to>
      <xdr:col>7</xdr:col>
      <xdr:colOff>38100</xdr:colOff>
      <xdr:row>118</xdr:row>
      <xdr:rowOff>25400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673100" y="20459700"/>
          <a:ext cx="14579600" cy="59182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FCTC Investment Case Model Results: Cost of Risk</a:t>
          </a:r>
          <a:r>
            <a:rPr lang="en-US" sz="1400" b="1" baseline="0">
              <a:solidFill>
                <a:schemeClr val="dk1"/>
              </a:solidFill>
              <a:effectLst/>
              <a:latin typeface="+mn-lt"/>
              <a:ea typeface="+mn-ea"/>
              <a:cs typeface="+mn-cs"/>
            </a:rPr>
            <a:t> Factor Attributable Deaths</a:t>
          </a:r>
          <a:endParaRPr lang="en-US" sz="14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For the FCTC Investment Case Model, we estimate the impact of 4 different tobacco control policies/interventions, individually and combined, on risk factor attributable deaths in Georgia for each of the three risk factors included in our model.</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4 interventions we assessed included</a:t>
          </a:r>
        </a:p>
        <a:p>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Increasing Cigarette Taxes</a:t>
          </a:r>
        </a:p>
        <a:p>
          <a:pPr lvl="1"/>
          <a:r>
            <a:rPr lang="en-US" sz="1100" b="0" baseline="0">
              <a:solidFill>
                <a:schemeClr val="dk1"/>
              </a:solidFill>
              <a:effectLst/>
              <a:latin typeface="+mn-lt"/>
              <a:ea typeface="+mn-ea"/>
              <a:cs typeface="+mn-cs"/>
            </a:rPr>
            <a:t>Smoke-Free Air Laws</a:t>
          </a:r>
        </a:p>
        <a:p>
          <a:pPr lvl="1"/>
          <a:r>
            <a:rPr lang="en-US" sz="1100" b="0" baseline="0">
              <a:solidFill>
                <a:schemeClr val="dk1"/>
              </a:solidFill>
              <a:effectLst/>
              <a:latin typeface="+mn-lt"/>
              <a:ea typeface="+mn-ea"/>
              <a:cs typeface="+mn-cs"/>
            </a:rPr>
            <a:t>Enforce Marketing Restrictions</a:t>
          </a:r>
        </a:p>
        <a:p>
          <a:pPr lvl="1"/>
          <a:r>
            <a:rPr lang="en-US" sz="1100" b="0" baseline="0">
              <a:solidFill>
                <a:schemeClr val="dk1"/>
              </a:solidFill>
              <a:effectLst/>
              <a:latin typeface="+mn-lt"/>
              <a:ea typeface="+mn-ea"/>
              <a:cs typeface="+mn-cs"/>
            </a:rPr>
            <a:t>Cigarette Package Warnings</a:t>
          </a:r>
        </a:p>
        <a:p>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Cost of Risk Factor Attributable Deaths for Policies/Interventions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We estimate the cost of premature mortality from tobacco use as follows:</a:t>
          </a:r>
        </a:p>
        <a:p>
          <a:pPr lvl="0"/>
          <a:endParaRPr lang="en-US" sz="1100" b="0" baseline="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Cost of Premature Mortality Associated with Tobacco Use</a:t>
          </a:r>
          <a:r>
            <a:rPr lang="en-US" sz="1100" b="0" baseline="0">
              <a:solidFill>
                <a:schemeClr val="dk1"/>
              </a:solidFill>
              <a:effectLst/>
              <a:latin typeface="+mn-lt"/>
              <a:ea typeface="+mn-ea"/>
              <a:cs typeface="+mn-cs"/>
            </a:rPr>
            <a:t> = Number of Risk Factor Attributable Deaths x Per Capita Gross Domestic Product (GDP)</a:t>
          </a:r>
        </a:p>
        <a:p>
          <a:pPr lvl="0"/>
          <a:endParaRPr lang="en-US" sz="1100" b="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The Number of Risk Factor Attributable Deaths were estimated by the FCTC Investment Case Model for each model year, risk factor, and intervention scenario. Please see the Mortality worksheet for a description of how we estimated Risk Factor Attributable Deaths and a summary of those results. To calculate the cost of those risk factor attributable deaths, we multiplied the number of risk factor attributable deaths in each model year by per capita Gross Domestic Product (GDP) in that year. We started our model using 2016 data estimates for GDP and assumed an annual GDP growth rate of 3.5%. We also assumed an inflation rate of 3% annually. After adjusting future values for inflation, the annual value of GDP included in our model increases by 0.5% per year over the 15 years in our model.</a:t>
          </a:r>
        </a:p>
        <a:p>
          <a:pPr lvl="0"/>
          <a:endParaRPr lang="en-US" sz="1100" b="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We assumed constant population (i.e. no population growth or change) over the 15 years in our simulation.</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Savings in Cost of Risk Factor Attributable Deaths for Policies/Interventions</a:t>
          </a:r>
        </a:p>
        <a:p>
          <a:pPr lvl="0"/>
          <a:r>
            <a:rPr lang="en-US" sz="1100" b="0" baseline="0">
              <a:solidFill>
                <a:schemeClr val="dk1"/>
              </a:solidFill>
              <a:effectLst/>
              <a:latin typeface="+mn-lt"/>
              <a:ea typeface="+mn-ea"/>
              <a:cs typeface="+mn-cs"/>
            </a:rPr>
            <a:t>For the marginal effects (cost savings associated with risk factor attributable deaths averted), we compared the values for the intervention scenario to the values for the baseline scenario. </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Cost Savings Associated with Risk Factor Attributable Deaths Averted = Cost of Risk Factor Attributable Deaths (Baseline Scenario) - Cost of Risk Factor Attributable Deaths (Intervention Scenario)</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Return on Investment (ROI) for Policies/Interventions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Using data on the estimated annual financial cost of each policy/intervention (summarized in the Intervention Costs worksheet), we calculated the Return on Investment (ROI) for each policy.</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Return on Investment (ROI) = Cost Savings Associated with Risk Factor Attributable Deaths Averted / Intervention Costs (in thousands)</a:t>
          </a:r>
        </a:p>
        <a:p>
          <a:endParaRPr lang="en-US" sz="1100" b="1" baseline="0">
            <a:solidFill>
              <a:schemeClr val="dk1"/>
            </a:solidFill>
            <a:effectLst/>
            <a:latin typeface="+mn-lt"/>
            <a:ea typeface="+mn-ea"/>
            <a:cs typeface="+mn-cs"/>
          </a:endParaRPr>
        </a:p>
      </xdr:txBody>
    </xdr:sp>
    <xdr:clientData/>
  </xdr:twoCellAnchor>
  <xdr:twoCellAnchor>
    <xdr:from>
      <xdr:col>1</xdr:col>
      <xdr:colOff>0</xdr:colOff>
      <xdr:row>122</xdr:row>
      <xdr:rowOff>0</xdr:rowOff>
    </xdr:from>
    <xdr:to>
      <xdr:col>7</xdr:col>
      <xdr:colOff>38100</xdr:colOff>
      <xdr:row>125</xdr:row>
      <xdr:rowOff>228600</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673100" y="27482800"/>
          <a:ext cx="14579600" cy="9525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Annual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annual cost of risk factor attributable deaths from the diseases included in the model for each of the risk factors for both the baseline scenario and each intervention scenario estimated by our model. The table also presents the marginal effects (cost savings associated with risk factor attributable deaths averted) as well as the return on investment (ROI) for each.</a:t>
          </a:r>
        </a:p>
      </xdr:txBody>
    </xdr:sp>
    <xdr:clientData/>
  </xdr:twoCellAnchor>
  <xdr:twoCellAnchor>
    <xdr:from>
      <xdr:col>1</xdr:col>
      <xdr:colOff>0</xdr:colOff>
      <xdr:row>358</xdr:row>
      <xdr:rowOff>0</xdr:rowOff>
    </xdr:from>
    <xdr:to>
      <xdr:col>7</xdr:col>
      <xdr:colOff>38100</xdr:colOff>
      <xdr:row>361</xdr:row>
      <xdr:rowOff>241300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673100" y="73710800"/>
          <a:ext cx="14579600" cy="10033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Aggregate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same information that is summarized in the annual model results table above totaled across Years 1-5, Years 6-15, and the entire 15-year period (Years 1-15).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12700</xdr:rowOff>
    </xdr:from>
    <xdr:to>
      <xdr:col>5</xdr:col>
      <xdr:colOff>749300</xdr:colOff>
      <xdr:row>8</xdr:row>
      <xdr:rowOff>25400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673100" y="698500"/>
          <a:ext cx="11061700" cy="10160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Years of Life Lost Due to Premature Mortality (YLL)</a:t>
          </a:r>
          <a:r>
            <a:rPr lang="en-US" sz="1200"/>
            <a:t> = Sum of the Number of Deaths (by sex and age group) x Remaining Life Expectancy (for the sex and age group)</a:t>
          </a:r>
        </a:p>
        <a:p>
          <a:endParaRPr lang="en-US" sz="1200"/>
        </a:p>
        <a:p>
          <a:r>
            <a:rPr lang="en-US" sz="1200"/>
            <a:t>In the FCTC Investment</a:t>
          </a:r>
          <a:r>
            <a:rPr lang="en-US" sz="1200" baseline="0"/>
            <a:t> Case Analysis Model</a:t>
          </a:r>
          <a:r>
            <a:rPr lang="en-US" sz="1200"/>
            <a:t>, </a:t>
          </a:r>
          <a:r>
            <a:rPr lang="en-US" sz="1200" b="1"/>
            <a:t>Tobacco Use</a:t>
          </a:r>
          <a:r>
            <a:rPr lang="en-US" sz="1200"/>
            <a:t> consists of smoking and secondhand smoke exposure.</a:t>
          </a:r>
        </a:p>
        <a:p>
          <a:r>
            <a:rPr lang="en-US" sz="1200"/>
            <a:t>Model results for Tobacco Use are calculated as the sum of model estimates for smoking plus model estimates for secondhand smoke exposure.</a:t>
          </a:r>
        </a:p>
      </xdr:txBody>
    </xdr:sp>
    <xdr:clientData/>
  </xdr:twoCellAnchor>
  <xdr:twoCellAnchor>
    <xdr:from>
      <xdr:col>1</xdr:col>
      <xdr:colOff>0</xdr:colOff>
      <xdr:row>12</xdr:row>
      <xdr:rowOff>0</xdr:rowOff>
    </xdr:from>
    <xdr:to>
      <xdr:col>7</xdr:col>
      <xdr:colOff>38100</xdr:colOff>
      <xdr:row>27</xdr:row>
      <xdr:rowOff>152400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673100" y="2552700"/>
          <a:ext cx="14579600" cy="31877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Diseases Included</a:t>
          </a:r>
          <a:r>
            <a:rPr lang="en-US" sz="1300" b="1" baseline="0">
              <a:solidFill>
                <a:schemeClr val="dk1"/>
              </a:solidFill>
              <a:effectLst/>
              <a:latin typeface="+mn-lt"/>
              <a:ea typeface="+mn-ea"/>
              <a:cs typeface="+mn-cs"/>
            </a:rPr>
            <a:t> in the FCTC Investment Case Model</a:t>
          </a:r>
          <a:endParaRPr lang="en-US" sz="13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tobacco-related mortality component of the FCTC Investment Case Model for Georgia includes 27 diseases that have been identified as being causally-linked with tobacco use. The list of diseases, along with the strength of the evidence to support the association between smoking and the disease, are found in the following paper published in the Lancet in 2017:</a:t>
          </a: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Smoking prevalence and attributable disease burden in 195 countries and territories, 1990–2015: a systematic analysis from the Global Burden of Disease Study 2015. The Lancet. 2017. Volume 389, Issue 10082, 1885 – 1906. doi:10.1016/S0140-6736(17)30819-X</a:t>
          </a:r>
        </a:p>
        <a:p>
          <a:pPr lvl="1"/>
          <a:r>
            <a:rPr lang="en-US" sz="1100" u="sng">
              <a:solidFill>
                <a:schemeClr val="dk1"/>
              </a:solidFill>
              <a:effectLst/>
              <a:latin typeface="+mn-lt"/>
              <a:ea typeface="+mn-ea"/>
              <a:cs typeface="+mn-cs"/>
              <a:hlinkClick xmlns:r="http://schemas.openxmlformats.org/officeDocument/2006/relationships" r:id=""/>
            </a:rPr>
            <a:t>http://www.thelancet.com/journals/lancet/article/PIIS0140-6736(17)30819-X/abstract</a:t>
          </a:r>
          <a:r>
            <a:rPr lang="en-US">
              <a:effectLst/>
            </a:rPr>
            <a:t> </a:t>
          </a:r>
          <a:endParaRPr lang="en-US" sz="1100" u="sng" baseline="0">
            <a:solidFill>
              <a:srgbClr val="0070C0"/>
            </a:solidFill>
            <a:effectLst/>
            <a:uFill>
              <a:solidFill>
                <a:srgbClr val="0070C0"/>
              </a:solidFill>
            </a:uFill>
            <a:latin typeface="+mn-lt"/>
            <a:ea typeface="+mn-ea"/>
            <a:cs typeface="+mn-cs"/>
          </a:endParaRP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The ICD-10 and ICD-9 Codes associated with each of the 27 conditions included in the mortality component of the FCTC Investment Case Model can be found and downloaded from IHME’s Global Health Data Exchange (GHDx) website</a:t>
          </a:r>
          <a:br>
            <a:rPr lang="en-US" sz="1100">
              <a:solidFill>
                <a:schemeClr val="dk1"/>
              </a:solidFill>
              <a:effectLst/>
              <a:latin typeface="+mn-lt"/>
              <a:ea typeface="+mn-ea"/>
              <a:cs typeface="+mn-cs"/>
            </a:rPr>
          </a:br>
          <a:r>
            <a:rPr lang="en-US" sz="1100" u="sng">
              <a:solidFill>
                <a:srgbClr val="0070C0"/>
              </a:solidFill>
              <a:effectLst/>
              <a:latin typeface="+mn-lt"/>
              <a:ea typeface="+mn-ea"/>
              <a:cs typeface="+mn-cs"/>
              <a:hlinkClick xmlns:r="http://schemas.openxmlformats.org/officeDocument/2006/relationships" r:id=""/>
            </a:rPr>
            <a:t>http://ghdx.healthdata.org/record/global-burden-disease-study-2016-gbd-2016-causes-death-and-nonfatal-causes-mapped-icd-codes</a:t>
          </a:r>
          <a:endParaRPr lang="en-US" sz="1100">
            <a:solidFill>
              <a:srgbClr val="0070C0"/>
            </a:solidFill>
            <a:effectLst/>
            <a:latin typeface="+mn-lt"/>
            <a:ea typeface="+mn-ea"/>
            <a:cs typeface="+mn-cs"/>
          </a:endParaRPr>
        </a:p>
        <a:p>
          <a:r>
            <a:rPr lang="en-US" sz="1100">
              <a:solidFill>
                <a:schemeClr val="dk1"/>
              </a:solidFill>
              <a:effectLst/>
              <a:latin typeface="+mn-lt"/>
              <a:ea typeface="+mn-ea"/>
              <a:cs typeface="+mn-cs"/>
            </a:rPr>
            <a:t> </a:t>
          </a:r>
        </a:p>
        <a:p>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note that the Lancet article referenced above lists a total of 36 diseases associated with tobacco use. However, some of the diseases listed in the Lancet article are only associated with morbidity and not mortality. Additionally, the 2016 Global Burden of Disease Study (GBD) data that we used for tobacco-related mortality, does not contain data on tobacco-related deaths for all of the tobacco-related diseases listed in the Lancet article referenced above. There are a total of 27 diseases that are listed in Lancet article referenced above and have 2016 GBD data available for Georgia.</a:t>
          </a:r>
          <a:endParaRPr lang="en-US" sz="1100" b="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table below lists each of the 27 diseases included in the mortality component of FCTC Investment Case Analysis Model, along with the ICD-10 Codes for each disease.</a:t>
          </a:r>
        </a:p>
      </xdr:txBody>
    </xdr:sp>
    <xdr:clientData/>
  </xdr:twoCellAnchor>
  <xdr:twoCellAnchor>
    <xdr:from>
      <xdr:col>1</xdr:col>
      <xdr:colOff>12700</xdr:colOff>
      <xdr:row>59</xdr:row>
      <xdr:rowOff>165100</xdr:rowOff>
    </xdr:from>
    <xdr:to>
      <xdr:col>7</xdr:col>
      <xdr:colOff>50800</xdr:colOff>
      <xdr:row>88</xdr:row>
      <xdr:rowOff>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685800" y="14135100"/>
          <a:ext cx="14579600" cy="53594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Total Annual Years of Life Lost Due</a:t>
          </a:r>
          <a:r>
            <a:rPr lang="en-US" sz="1300" b="1" baseline="0">
              <a:solidFill>
                <a:schemeClr val="dk1"/>
              </a:solidFill>
              <a:effectLst/>
              <a:latin typeface="+mn-lt"/>
              <a:ea typeface="+mn-ea"/>
              <a:cs typeface="+mn-cs"/>
            </a:rPr>
            <a:t> to Premature Mortality (YLL) from Diseases included in the Model</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Of the 34 diseases included in the mortality component of the FCTC Investment Case Model, 2016 GBD mortality data were not available for 7 diseases. The number of conditions associated with tobacco use included in the FCTC Investment Case Model for which 2016 GBD data are available is as follows:</a:t>
          </a:r>
        </a:p>
        <a:p>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Tobacco Use: 27 diseases</a:t>
          </a:r>
        </a:p>
        <a:p>
          <a:pPr lvl="1"/>
          <a:r>
            <a:rPr lang="en-US" sz="1100" b="0" baseline="0">
              <a:solidFill>
                <a:schemeClr val="dk1"/>
              </a:solidFill>
              <a:effectLst/>
              <a:latin typeface="+mn-lt"/>
              <a:ea typeface="+mn-ea"/>
              <a:cs typeface="+mn-cs"/>
            </a:rPr>
            <a:t>Smoking: 27 diseases</a:t>
          </a:r>
        </a:p>
        <a:p>
          <a:pPr lvl="1"/>
          <a:r>
            <a:rPr lang="en-US" sz="1100" b="0" baseline="0">
              <a:solidFill>
                <a:schemeClr val="dk1"/>
              </a:solidFill>
              <a:effectLst/>
              <a:latin typeface="+mn-lt"/>
              <a:ea typeface="+mn-ea"/>
              <a:cs typeface="+mn-cs"/>
            </a:rPr>
            <a:t>Secondhand Smoke Exposure: 7 diseases</a:t>
          </a:r>
        </a:p>
        <a:p>
          <a:pPr lvl="1"/>
          <a:endParaRPr lang="en-US" sz="1100" b="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Please refer to the table above for a listing of the 27 diseases associated with tobacco use/smoking and the 7 diseases associated with secondhand smoke exposure that are included in the FCTC Model Results for Georgia.</a:t>
          </a:r>
        </a:p>
        <a:p>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Years of Life</a:t>
          </a:r>
          <a:r>
            <a:rPr lang="en-US" sz="1100" b="0" baseline="0">
              <a:solidFill>
                <a:schemeClr val="dk1"/>
              </a:solidFill>
              <a:effectLst/>
              <a:latin typeface="+mn-lt"/>
              <a:ea typeface="+mn-ea"/>
              <a:cs typeface="+mn-cs"/>
            </a:rPr>
            <a:t> Lost Due to Premature Mortality (YLL) is calculated as the number of deaths times remaining life expectancy. The calculation is done for each sex and age group as remaining life expectancy differs by sex and age. After the calculations are done by sex and age, resulting YLL can be totaled across sex and age groups to produce aggregate estimates.</a:t>
          </a:r>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t>Years of Life Lost Due to Premature Mortality (YLL)</a:t>
          </a:r>
          <a:r>
            <a:rPr lang="en-US" sz="1100"/>
            <a:t> = Sum of the Number of Deaths (by sex and age group) x Remaining Life Expectancy (for the sex and age group)</a:t>
          </a:r>
        </a:p>
        <a:p>
          <a:endParaRPr lang="en-US" sz="11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 table below presents country-specific annual total years of life lost due to premature mortality (YLL) from the diseases included in the model for the 27 diseases associated with tobacco use/smoking and the 7 diseases associated with secondhand smoke exposure.</a:t>
          </a: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These data points are from the 2016 Global Burden of Disease Study (2016 GBD).</a:t>
          </a:r>
        </a:p>
        <a:p>
          <a:endParaRPr lang="en-US" sz="1100" b="0">
            <a:solidFill>
              <a:schemeClr val="dk1"/>
            </a:solidFill>
            <a:effectLst/>
            <a:latin typeface="+mn-lt"/>
            <a:ea typeface="+mn-ea"/>
            <a:cs typeface="+mn-cs"/>
          </a:endParaRPr>
        </a:p>
        <a:p>
          <a:r>
            <a:rPr lang="en-US" sz="1100">
              <a:solidFill>
                <a:schemeClr val="dk1"/>
              </a:solidFill>
              <a:effectLst/>
              <a:latin typeface="+mn-lt"/>
              <a:ea typeface="+mn-ea"/>
              <a:cs typeface="+mn-cs"/>
            </a:rPr>
            <a:t>Please</a:t>
          </a:r>
          <a:r>
            <a:rPr lang="en-US" sz="1100" baseline="0">
              <a:solidFill>
                <a:schemeClr val="dk1"/>
              </a:solidFill>
              <a:effectLst/>
              <a:latin typeface="+mn-lt"/>
              <a:ea typeface="+mn-ea"/>
              <a:cs typeface="+mn-cs"/>
            </a:rPr>
            <a:t> note that these are the total years of life lost due to premature mortality (YLL) for the diseases included in the model and are not risk factor attributable years of life lost. These are not the number of years of life lost due to premature mortality (YLL) from deaths associated with tobacco use. These are the TOTAL number of years of life lost due to premature mortality (YLL) for all deaths from the diseases that are associated with tobacco use. The numbers include both years of life lost from deaths attributable to tobacco use as well as deaths not attributable to tobacco use. This includes disease-specific deaths among both the exposed (smokers and those exposued to secondhand smoke) and unexposed (nonsmokers and those not exposued to secondhand smoke) populations.</a:t>
          </a:r>
        </a:p>
        <a:p>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Because</a:t>
          </a:r>
          <a:r>
            <a:rPr lang="en-US" sz="1100" baseline="0">
              <a:solidFill>
                <a:schemeClr val="dk1"/>
              </a:solidFill>
              <a:effectLst/>
              <a:latin typeface="+mn-lt"/>
              <a:ea typeface="+mn-ea"/>
              <a:cs typeface="+mn-cs"/>
            </a:rPr>
            <a:t> these are not risk-factor attributable counts, the data points in the table below are not additive. The total of </a:t>
          </a:r>
          <a:r>
            <a:rPr lang="en-US" sz="1100">
              <a:solidFill>
                <a:schemeClr val="dk1"/>
              </a:solidFill>
              <a:effectLst/>
              <a:latin typeface="+mn-lt"/>
              <a:ea typeface="+mn-ea"/>
              <a:cs typeface="+mn-cs"/>
            </a:rPr>
            <a:t>Smoking + Secondhand Smoke does not equal Tobacco.</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total number of years of life lost due to</a:t>
          </a:r>
          <a:r>
            <a:rPr lang="en-US" sz="1100" baseline="0">
              <a:solidFill>
                <a:schemeClr val="dk1"/>
              </a:solidFill>
              <a:effectLst/>
              <a:latin typeface="+mn-lt"/>
              <a:ea typeface="+mn-ea"/>
              <a:cs typeface="+mn-cs"/>
            </a:rPr>
            <a:t> premature mortality (YLL) </a:t>
          </a:r>
          <a:r>
            <a:rPr lang="en-US" sz="1100">
              <a:solidFill>
                <a:schemeClr val="dk1"/>
              </a:solidFill>
              <a:effectLst/>
              <a:latin typeface="+mn-lt"/>
              <a:ea typeface="+mn-ea"/>
              <a:cs typeface="+mn-cs"/>
            </a:rPr>
            <a:t>for</a:t>
          </a:r>
          <a:r>
            <a:rPr lang="en-US" sz="1100" baseline="0">
              <a:solidFill>
                <a:schemeClr val="dk1"/>
              </a:solidFill>
              <a:effectLst/>
              <a:latin typeface="+mn-lt"/>
              <a:ea typeface="+mn-ea"/>
              <a:cs typeface="+mn-cs"/>
            </a:rPr>
            <a:t> smoking and secondhand smoke exposure are different </a:t>
          </a:r>
          <a:r>
            <a:rPr lang="en-US" sz="1100">
              <a:solidFill>
                <a:schemeClr val="dk1"/>
              </a:solidFill>
              <a:effectLst/>
              <a:latin typeface="+mn-lt"/>
              <a:ea typeface="+mn-ea"/>
              <a:cs typeface="+mn-cs"/>
            </a:rPr>
            <a:t>because of differences in the specific diseases associated with tobacco use/smoking (27 diseases) and secondhand smoke exposure (7 diseases) included in the FCTC Investment Case Model.</a:t>
          </a:r>
        </a:p>
      </xdr:txBody>
    </xdr:sp>
    <xdr:clientData/>
  </xdr:twoCellAnchor>
  <xdr:twoCellAnchor>
    <xdr:from>
      <xdr:col>1</xdr:col>
      <xdr:colOff>0</xdr:colOff>
      <xdr:row>96</xdr:row>
      <xdr:rowOff>0</xdr:rowOff>
    </xdr:from>
    <xdr:to>
      <xdr:col>7</xdr:col>
      <xdr:colOff>38100</xdr:colOff>
      <xdr:row>111</xdr:row>
      <xdr:rowOff>12700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673100" y="21983700"/>
          <a:ext cx="14579600" cy="28702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Risk Factor Attributable</a:t>
          </a:r>
          <a:r>
            <a:rPr lang="en-US" sz="1300" b="1" baseline="0">
              <a:solidFill>
                <a:schemeClr val="dk1"/>
              </a:solidFill>
              <a:effectLst/>
              <a:latin typeface="+mn-lt"/>
              <a:ea typeface="+mn-ea"/>
              <a:cs typeface="+mn-cs"/>
            </a:rPr>
            <a:t> Years of Life Lost Due to Premature Mortality (YLL) from Diseases Included in the Model</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For each of the diseases included in the model, we estimate the number of risk factor attributable years of life lost due to premature mortality (YLL). Risk factor attributable years of life lost due to premature mortality (YLL) are estimated for deaths that are associated with tobacco use, smoking, and secondhand smoke exposure. </a:t>
          </a:r>
          <a:endParaRPr lang="en-US" sz="1100" b="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Risk Factor Attributable Years of Life Lost</a:t>
          </a:r>
          <a:r>
            <a:rPr lang="en-US" sz="1100" baseline="0">
              <a:solidFill>
                <a:schemeClr val="dk1"/>
              </a:solidFill>
              <a:effectLst/>
              <a:latin typeface="+mn-lt"/>
              <a:ea typeface="+mn-ea"/>
              <a:cs typeface="+mn-cs"/>
            </a:rPr>
            <a:t> Due to Premature Mortality (YLL)</a:t>
          </a:r>
          <a:r>
            <a:rPr lang="en-US" sz="1100">
              <a:solidFill>
                <a:schemeClr val="dk1"/>
              </a:solidFill>
              <a:effectLst/>
              <a:latin typeface="+mn-lt"/>
              <a:ea typeface="+mn-ea"/>
              <a:cs typeface="+mn-cs"/>
            </a:rPr>
            <a:t> = Total</a:t>
          </a:r>
          <a:r>
            <a:rPr lang="en-US" sz="1100" baseline="0">
              <a:solidFill>
                <a:schemeClr val="dk1"/>
              </a:solidFill>
              <a:effectLst/>
              <a:latin typeface="+mn-lt"/>
              <a:ea typeface="+mn-ea"/>
              <a:cs typeface="+mn-cs"/>
            </a:rPr>
            <a:t> Risk Factor Attributable Deaths x Remaining Life Expectancy</a:t>
          </a:r>
        </a:p>
        <a:p>
          <a:pPr lvl="1"/>
          <a:endParaRPr lang="en-US" sz="110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The calculation is done for each sex and age group as remaining life expectancy differs by sex and age. After the calculations are done by sex and age, resulting YLL can be totaled across sex and age groups to produce aggregate estimates.</a:t>
          </a:r>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Thes numbers in the table below are the total anunal number of deaths associated with tobacco use (aggregated across diseases,</a:t>
          </a:r>
          <a:r>
            <a:rPr lang="en-US" sz="1100" baseline="0">
              <a:solidFill>
                <a:schemeClr val="dk1"/>
              </a:solidFill>
              <a:effectLst/>
              <a:latin typeface="+mn-lt"/>
              <a:ea typeface="+mn-ea"/>
              <a:cs typeface="+mn-cs"/>
            </a:rPr>
            <a:t> sex, and age groups)</a:t>
          </a:r>
          <a:r>
            <a:rPr lang="en-US" sz="1100">
              <a:solidFill>
                <a:schemeClr val="dk1"/>
              </a:solidFill>
              <a:effectLst/>
              <a:latin typeface="+mn-lt"/>
              <a:ea typeface="+mn-ea"/>
              <a:cs typeface="+mn-cs"/>
            </a:rPr>
            <a:t>. These totals</a:t>
          </a:r>
          <a:r>
            <a:rPr lang="en-US" sz="1100" baseline="0">
              <a:solidFill>
                <a:schemeClr val="dk1"/>
              </a:solidFill>
              <a:effectLst/>
              <a:latin typeface="+mn-lt"/>
              <a:ea typeface="+mn-ea"/>
              <a:cs typeface="+mn-cs"/>
            </a:rPr>
            <a:t> are based on annual estimates for 2016 from the 2016 GBD data.</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risk factor attributable years</a:t>
          </a:r>
          <a:r>
            <a:rPr lang="en-US" sz="1100" baseline="0">
              <a:solidFill>
                <a:schemeClr val="dk1"/>
              </a:solidFill>
              <a:effectLst/>
              <a:latin typeface="+mn-lt"/>
              <a:ea typeface="+mn-ea"/>
              <a:cs typeface="+mn-cs"/>
            </a:rPr>
            <a:t> of life lost due to premature mortality (YLL) for </a:t>
          </a:r>
          <a:r>
            <a:rPr lang="en-US" sz="1100">
              <a:solidFill>
                <a:schemeClr val="dk1"/>
              </a:solidFill>
              <a:effectLst/>
              <a:latin typeface="+mn-lt"/>
              <a:ea typeface="+mn-ea"/>
              <a:cs typeface="+mn-cs"/>
            </a:rPr>
            <a:t>tobacco use = YLL (smoking) + YLL (secondhand smoke exposure).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numbers in the table below represent our Base Scenario that we use to model the effects of the different policies/interventions that we modeled on risk factor attribtuable years of life lost due to premature mortality (YLL). We compare the estimated results for each year of our 15-year model results for each intervention scenario to this Baseline Scenario. </a:t>
          </a:r>
          <a:endParaRPr lang="en-US" sz="1100">
            <a:solidFill>
              <a:schemeClr val="dk1"/>
            </a:solidFill>
            <a:effectLst/>
            <a:latin typeface="+mn-lt"/>
            <a:ea typeface="+mn-ea"/>
            <a:cs typeface="+mn-cs"/>
          </a:endParaRPr>
        </a:p>
      </xdr:txBody>
    </xdr:sp>
    <xdr:clientData/>
  </xdr:twoCellAnchor>
  <xdr:twoCellAnchor>
    <xdr:from>
      <xdr:col>1</xdr:col>
      <xdr:colOff>0</xdr:colOff>
      <xdr:row>121</xdr:row>
      <xdr:rowOff>0</xdr:rowOff>
    </xdr:from>
    <xdr:to>
      <xdr:col>7</xdr:col>
      <xdr:colOff>38100</xdr:colOff>
      <xdr:row>149</xdr:row>
      <xdr:rowOff>0</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673100" y="28270200"/>
          <a:ext cx="14579600" cy="56896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FCTC Investment Case Model Results: Risk</a:t>
          </a:r>
          <a:r>
            <a:rPr lang="en-US" sz="1400" b="1" baseline="0">
              <a:solidFill>
                <a:schemeClr val="dk1"/>
              </a:solidFill>
              <a:effectLst/>
              <a:latin typeface="+mn-lt"/>
              <a:ea typeface="+mn-ea"/>
              <a:cs typeface="+mn-cs"/>
            </a:rPr>
            <a:t> Factor Attributable Years of Life Lost Due to Premature Mortality (YLL)</a:t>
          </a:r>
          <a:endParaRPr lang="en-US" sz="14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For the FCTC Investment Case Model, we estimate the impact of 4 different tobacco control policies/interventions, individually and combined, on risk factor attributable years of life lost due to premature mortality (YLL) in Georgia for each of the three risk factors included in our model.</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4 interventions we assessed included</a:t>
          </a:r>
        </a:p>
        <a:p>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Increasing Cigarette Taxes</a:t>
          </a:r>
        </a:p>
        <a:p>
          <a:pPr lvl="1"/>
          <a:r>
            <a:rPr lang="en-US" sz="1100" b="0" baseline="0">
              <a:solidFill>
                <a:schemeClr val="dk1"/>
              </a:solidFill>
              <a:effectLst/>
              <a:latin typeface="+mn-lt"/>
              <a:ea typeface="+mn-ea"/>
              <a:cs typeface="+mn-cs"/>
            </a:rPr>
            <a:t>Smoke-Free Air Laws</a:t>
          </a:r>
        </a:p>
        <a:p>
          <a:pPr lvl="1"/>
          <a:r>
            <a:rPr lang="en-US" sz="1100" b="0" baseline="0">
              <a:solidFill>
                <a:schemeClr val="dk1"/>
              </a:solidFill>
              <a:effectLst/>
              <a:latin typeface="+mn-lt"/>
              <a:ea typeface="+mn-ea"/>
              <a:cs typeface="+mn-cs"/>
            </a:rPr>
            <a:t>Enforce Marketing Restrictions</a:t>
          </a:r>
        </a:p>
        <a:p>
          <a:pPr lvl="1"/>
          <a:r>
            <a:rPr lang="en-US" sz="1100" b="0" baseline="0">
              <a:solidFill>
                <a:schemeClr val="dk1"/>
              </a:solidFill>
              <a:effectLst/>
              <a:latin typeface="+mn-lt"/>
              <a:ea typeface="+mn-ea"/>
              <a:cs typeface="+mn-cs"/>
            </a:rPr>
            <a:t>Cigarette Package Warnings</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Risk Factor Attributable Years of Life Lost Due to Premature Mortality (YLL) for Policies/Interventions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We estimate the cost of premature mortality from tobacco use as follows:</a:t>
          </a:r>
        </a:p>
        <a:p>
          <a:pPr lvl="0"/>
          <a:endParaRPr lang="en-US" sz="1100" b="0" baseline="0">
            <a:solidFill>
              <a:schemeClr val="dk1"/>
            </a:solidFill>
            <a:effectLst/>
            <a:latin typeface="+mn-lt"/>
            <a:ea typeface="+mn-ea"/>
            <a:cs typeface="+mn-cs"/>
          </a:endParaRPr>
        </a:p>
        <a:p>
          <a:pPr lvl="1"/>
          <a:r>
            <a:rPr lang="en-US" sz="1100" b="1">
              <a:solidFill>
                <a:schemeClr val="dk1"/>
              </a:solidFill>
              <a:effectLst/>
              <a:latin typeface="+mn-lt"/>
              <a:ea typeface="+mn-ea"/>
              <a:cs typeface="+mn-cs"/>
            </a:rPr>
            <a:t>Risk Factor Attributable Years of Life Lost</a:t>
          </a:r>
          <a:r>
            <a:rPr lang="en-US" sz="1100" b="1" baseline="0">
              <a:solidFill>
                <a:schemeClr val="dk1"/>
              </a:solidFill>
              <a:effectLst/>
              <a:latin typeface="+mn-lt"/>
              <a:ea typeface="+mn-ea"/>
              <a:cs typeface="+mn-cs"/>
            </a:rPr>
            <a:t> Due to Premature Mortality (YLL)</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Total</a:t>
          </a:r>
          <a:r>
            <a:rPr lang="en-US" sz="1100" baseline="0">
              <a:solidFill>
                <a:schemeClr val="dk1"/>
              </a:solidFill>
              <a:effectLst/>
              <a:latin typeface="+mn-lt"/>
              <a:ea typeface="+mn-ea"/>
              <a:cs typeface="+mn-cs"/>
            </a:rPr>
            <a:t> Risk Factor Attributable Deaths x Remaining Life Expectancy</a:t>
          </a:r>
        </a:p>
        <a:p>
          <a:pPr lvl="1"/>
          <a:endParaRPr lang="en-US" sz="110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The calculation is done for each sex and age group as remaining life expectancy differs by sex and age. Resulting YLL estimates are then totaled across sex and age groups.</a:t>
          </a:r>
        </a:p>
        <a:p>
          <a:pPr lvl="0"/>
          <a:r>
            <a:rPr lang="en-US" sz="1100" b="0" baseline="0">
              <a:solidFill>
                <a:schemeClr val="dk1"/>
              </a:solidFill>
              <a:effectLst/>
              <a:latin typeface="+mn-lt"/>
              <a:ea typeface="+mn-ea"/>
              <a:cs typeface="+mn-cs"/>
            </a:rPr>
            <a:t>Data on remaining life expectancy, by sex and age group, for Georgia are from the 2016 Global Burden of Disease Study (2016 GBD).</a:t>
          </a:r>
          <a:endParaRPr lang="en-US" sz="1100" b="1" baseline="0">
            <a:solidFill>
              <a:schemeClr val="dk1"/>
            </a:solidFill>
            <a:effectLst/>
            <a:latin typeface="+mn-lt"/>
            <a:ea typeface="+mn-ea"/>
            <a:cs typeface="+mn-cs"/>
          </a:endParaRPr>
        </a:p>
        <a:p>
          <a:pPr lvl="0"/>
          <a:endParaRPr lang="en-US" sz="1100" b="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We assumed remaining life expectancy remains constant (i.e. no change) over the 15 years in our simulation.</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Reductions in Risk Factor Attributable Years of Life Lost Due to Premature Mortality (YLL) for Policies/Interventions</a:t>
          </a:r>
        </a:p>
        <a:p>
          <a:pPr lvl="0"/>
          <a:r>
            <a:rPr lang="en-US" sz="1100" b="0" baseline="0">
              <a:solidFill>
                <a:schemeClr val="dk1"/>
              </a:solidFill>
              <a:effectLst/>
              <a:latin typeface="+mn-lt"/>
              <a:ea typeface="+mn-ea"/>
              <a:cs typeface="+mn-cs"/>
            </a:rPr>
            <a:t>For the marginal effects (reductions in risk factor attributable years of life lost), we compared the values for the intervention scenario to the values for the baseline scenario. </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Reductions in Risk Factor Attributable Years of Life Lost Due to Premature Mortality (YLL) = YLL (Baseline Scenario) - YLL (Intervention Scenario)</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Return on Investment (ROI) for Policies/Interventions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Using data on the estimated annual financial cost of each policy/intervention (summarized in the Intervention Costs worksheet), we calculated the Return on Investment (ROI) for each policy.</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Return on Investment (ROI) = Redctions in Risk Factor Attributable Years of Life Lost (YLL) / Intervention Costs (in thousands)</a:t>
          </a:r>
        </a:p>
        <a:p>
          <a:endParaRPr lang="en-US" sz="1100" b="1" baseline="0">
            <a:solidFill>
              <a:schemeClr val="dk1"/>
            </a:solidFill>
            <a:effectLst/>
            <a:latin typeface="+mn-lt"/>
            <a:ea typeface="+mn-ea"/>
            <a:cs typeface="+mn-cs"/>
          </a:endParaRPr>
        </a:p>
      </xdr:txBody>
    </xdr:sp>
    <xdr:clientData/>
  </xdr:twoCellAnchor>
  <xdr:twoCellAnchor>
    <xdr:from>
      <xdr:col>1</xdr:col>
      <xdr:colOff>0</xdr:colOff>
      <xdr:row>153</xdr:row>
      <xdr:rowOff>0</xdr:rowOff>
    </xdr:from>
    <xdr:to>
      <xdr:col>7</xdr:col>
      <xdr:colOff>38100</xdr:colOff>
      <xdr:row>156</xdr:row>
      <xdr:rowOff>228600</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673100" y="34861500"/>
          <a:ext cx="14579600" cy="9525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Annual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annual number of risk factor attributable years of life lost due to premature mortality (YLL) from the diseases included in the model for each of the risk factors for both the baseline scenario and each intervention scenario estimated by our model. The table also presents the marginal effects (reductions in risk factor attributable years of life lost) as well as the return on investment (ROI) for each.</a:t>
          </a:r>
        </a:p>
      </xdr:txBody>
    </xdr:sp>
    <xdr:clientData/>
  </xdr:twoCellAnchor>
  <xdr:twoCellAnchor>
    <xdr:from>
      <xdr:col>1</xdr:col>
      <xdr:colOff>0</xdr:colOff>
      <xdr:row>389</xdr:row>
      <xdr:rowOff>0</xdr:rowOff>
    </xdr:from>
    <xdr:to>
      <xdr:col>7</xdr:col>
      <xdr:colOff>38100</xdr:colOff>
      <xdr:row>392</xdr:row>
      <xdr:rowOff>241300</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673100" y="81038700"/>
          <a:ext cx="14579600" cy="10033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Aggregate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same information that is summarized in the annual model results table above totaled across Years 1-5, Years 6-15, and the entire 15-year period (Years 1-15).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3</xdr:row>
      <xdr:rowOff>0</xdr:rowOff>
    </xdr:from>
    <xdr:to>
      <xdr:col>5</xdr:col>
      <xdr:colOff>63500</xdr:colOff>
      <xdr:row>6</xdr:row>
      <xdr:rowOff>127000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85800" y="685800"/>
          <a:ext cx="10363200" cy="7366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 the FCTC Investment</a:t>
          </a:r>
          <a:r>
            <a:rPr lang="en-US" sz="1200" baseline="0"/>
            <a:t> Case Analysis Model</a:t>
          </a:r>
          <a:r>
            <a:rPr lang="en-US" sz="1200"/>
            <a:t>, </a:t>
          </a:r>
          <a:r>
            <a:rPr lang="en-US" sz="1200" b="1"/>
            <a:t>Tobacco Use</a:t>
          </a:r>
          <a:r>
            <a:rPr lang="en-US" sz="1200"/>
            <a:t> consists of smoking and secondhand smoke exposure.</a:t>
          </a:r>
        </a:p>
        <a:p>
          <a:r>
            <a:rPr lang="en-US" sz="1200"/>
            <a:t>Model results for Tobacco Use are calculated as the sum of model estimates for smoking plus model estimates for secondhand smoke exposure.</a:t>
          </a:r>
        </a:p>
      </xdr:txBody>
    </xdr:sp>
    <xdr:clientData/>
  </xdr:twoCellAnchor>
  <xdr:twoCellAnchor>
    <xdr:from>
      <xdr:col>1</xdr:col>
      <xdr:colOff>0</xdr:colOff>
      <xdr:row>11</xdr:row>
      <xdr:rowOff>0</xdr:rowOff>
    </xdr:from>
    <xdr:to>
      <xdr:col>7</xdr:col>
      <xdr:colOff>38100</xdr:colOff>
      <xdr:row>27</xdr:row>
      <xdr:rowOff>50800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673100" y="2349500"/>
          <a:ext cx="14579600" cy="30988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Diseases Included</a:t>
          </a:r>
          <a:r>
            <a:rPr lang="en-US" sz="1300" b="1" baseline="0">
              <a:solidFill>
                <a:schemeClr val="dk1"/>
              </a:solidFill>
              <a:effectLst/>
              <a:latin typeface="+mn-lt"/>
              <a:ea typeface="+mn-ea"/>
              <a:cs typeface="+mn-cs"/>
            </a:rPr>
            <a:t> in the FCTC Investment Case Model</a:t>
          </a:r>
          <a:endParaRPr lang="en-US" sz="13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tobacco-related morbidity component of the FCTC Investment Case Model for Georgia includes 29 diseases that have been identified as being causally-linked with tobacco use. The list of diseases, along with the strength of the evidence to support the association between smoking and the disease, are found in the following paper published in the Lancet in 2017:</a:t>
          </a: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Smoking prevalence and attributable disease burden in 195 countries and territories, 1990–2015: a systematic analysis from the Global Burden of Disease Study 2015. The Lancet. 2017. Volume 389, Issue 10082, 1885 – 1906. doi:10.1016/S0140-6736(17)30819-X</a:t>
          </a:r>
        </a:p>
        <a:p>
          <a:pPr lvl="1"/>
          <a:r>
            <a:rPr lang="en-US" sz="1100" u="sng">
              <a:solidFill>
                <a:schemeClr val="dk1"/>
              </a:solidFill>
              <a:effectLst/>
              <a:latin typeface="+mn-lt"/>
              <a:ea typeface="+mn-ea"/>
              <a:cs typeface="+mn-cs"/>
              <a:hlinkClick xmlns:r="http://schemas.openxmlformats.org/officeDocument/2006/relationships" r:id=""/>
            </a:rPr>
            <a:t>http://www.thelancet.com/journals/lancet/article/PIIS0140-6736(17)30819-X/abstract</a:t>
          </a:r>
          <a:r>
            <a:rPr lang="en-US">
              <a:effectLst/>
            </a:rPr>
            <a:t> </a:t>
          </a:r>
          <a:endParaRPr lang="en-US" sz="1100" u="sng" baseline="0">
            <a:solidFill>
              <a:srgbClr val="0070C0"/>
            </a:solidFill>
            <a:effectLst/>
            <a:uFill>
              <a:solidFill>
                <a:srgbClr val="0070C0"/>
              </a:solidFill>
            </a:uFill>
            <a:latin typeface="+mn-lt"/>
            <a:ea typeface="+mn-ea"/>
            <a:cs typeface="+mn-cs"/>
          </a:endParaRP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The ICD-10 and ICD-9 Codes associated with each of the 29 conditions included in the FCTC Investment Case Model can be found and downloaded from IHME’s Global Health Data Exchange (GHDx) website</a:t>
          </a:r>
          <a:br>
            <a:rPr lang="en-US" sz="1100">
              <a:solidFill>
                <a:schemeClr val="dk1"/>
              </a:solidFill>
              <a:effectLst/>
              <a:latin typeface="+mn-lt"/>
              <a:ea typeface="+mn-ea"/>
              <a:cs typeface="+mn-cs"/>
            </a:rPr>
          </a:br>
          <a:r>
            <a:rPr lang="en-US" sz="1100" u="sng">
              <a:solidFill>
                <a:srgbClr val="0070C0"/>
              </a:solidFill>
              <a:effectLst/>
              <a:latin typeface="+mn-lt"/>
              <a:ea typeface="+mn-ea"/>
              <a:cs typeface="+mn-cs"/>
              <a:hlinkClick xmlns:r="http://schemas.openxmlformats.org/officeDocument/2006/relationships" r:id=""/>
            </a:rPr>
            <a:t>http://ghdx.healthdata.org/record/global-burden-disease-study-2016-gbd-2016-causes-death-and-nonfatal-causes-mapped-icd-codes</a:t>
          </a:r>
          <a:endParaRPr lang="en-US" sz="1100">
            <a:solidFill>
              <a:srgbClr val="0070C0"/>
            </a:solidFill>
            <a:effectLst/>
            <a:latin typeface="+mn-lt"/>
            <a:ea typeface="+mn-ea"/>
            <a:cs typeface="+mn-cs"/>
          </a:endParaRPr>
        </a:p>
        <a:p>
          <a:r>
            <a:rPr lang="en-US" sz="1100">
              <a:solidFill>
                <a:schemeClr val="dk1"/>
              </a:solidFill>
              <a:effectLst/>
              <a:latin typeface="+mn-lt"/>
              <a:ea typeface="+mn-ea"/>
              <a:cs typeface="+mn-cs"/>
            </a:rPr>
            <a:t> </a:t>
          </a:r>
        </a:p>
        <a:p>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note that the Lancet article referenced above lists a total of 36 diseases associated with tobacco use. However, the 2016 Global Burden of Disease Study (GBD) data that we used for tobacco-related morbidity does not contain data on tobacco-related morbidity for all of the tobacco-related diseases listed in the Lancet article referenced above. There are a total of 29 diseases that are listed in Lancet article referenced above and have 2016 GBD data available for Georgia.</a:t>
          </a:r>
          <a:endParaRPr lang="en-US" sz="1100" b="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table below lists each of the 29 diseases included in the morbidity component of FCTC Investment Case Analysis Model, along with the ICD-10 Codes for each disease.</a:t>
          </a:r>
        </a:p>
      </xdr:txBody>
    </xdr:sp>
    <xdr:clientData/>
  </xdr:twoCellAnchor>
  <xdr:twoCellAnchor>
    <xdr:from>
      <xdr:col>1</xdr:col>
      <xdr:colOff>0</xdr:colOff>
      <xdr:row>60</xdr:row>
      <xdr:rowOff>165100</xdr:rowOff>
    </xdr:from>
    <xdr:to>
      <xdr:col>7</xdr:col>
      <xdr:colOff>38100</xdr:colOff>
      <xdr:row>82</xdr:row>
      <xdr:rowOff>152400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673100" y="13144500"/>
          <a:ext cx="15113000" cy="41783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Total Annual Years of Life Lived with a Disability </a:t>
          </a:r>
          <a:r>
            <a:rPr lang="en-US" sz="1300" b="1" baseline="0">
              <a:solidFill>
                <a:schemeClr val="dk1"/>
              </a:solidFill>
              <a:effectLst/>
              <a:latin typeface="+mn-lt"/>
              <a:ea typeface="+mn-ea"/>
              <a:cs typeface="+mn-cs"/>
            </a:rPr>
            <a:t>(YLD) from Diseases included in the Model</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Of the 36 diseases included in the morbidity component of the FCTC Investment Case Model, 2016 GBD morbidity data were not available for 7 diseases. The number of conditions associated with tobacco use included in the FCTC Investment Case Model for which 2016 GBD morbidity data are available is as follows:</a:t>
          </a:r>
        </a:p>
        <a:p>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Tobacco Use: 29 diseases</a:t>
          </a:r>
        </a:p>
        <a:p>
          <a:pPr lvl="1"/>
          <a:r>
            <a:rPr lang="en-US" sz="1100" b="0" baseline="0">
              <a:solidFill>
                <a:schemeClr val="dk1"/>
              </a:solidFill>
              <a:effectLst/>
              <a:latin typeface="+mn-lt"/>
              <a:ea typeface="+mn-ea"/>
              <a:cs typeface="+mn-cs"/>
            </a:rPr>
            <a:t>Smoking: 29 diseases</a:t>
          </a:r>
        </a:p>
        <a:p>
          <a:pPr lvl="1"/>
          <a:r>
            <a:rPr lang="en-US" sz="1100" b="0" baseline="0">
              <a:solidFill>
                <a:schemeClr val="dk1"/>
              </a:solidFill>
              <a:effectLst/>
              <a:latin typeface="+mn-lt"/>
              <a:ea typeface="+mn-ea"/>
              <a:cs typeface="+mn-cs"/>
            </a:rPr>
            <a:t>Secondhand Smoke Exposure: 6 diseases</a:t>
          </a:r>
        </a:p>
        <a:p>
          <a:pPr lvl="1"/>
          <a:endParaRPr lang="en-US" sz="1100" b="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Please refer to the table above for a listing of the 29 diseases associated with tobacco use/smoking and the 6 diseases associated with secondhand smoke exposure that are included in the FCTC Model Results for Georgia.</a:t>
          </a:r>
        </a:p>
        <a:p>
          <a:endParaRPr lang="en-US" sz="11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These data points are from the 2016 Global Burden of Disease Study (2016 GBD).</a:t>
          </a:r>
        </a:p>
        <a:p>
          <a:endParaRPr lang="en-US" sz="1100" b="0">
            <a:solidFill>
              <a:schemeClr val="dk1"/>
            </a:solidFill>
            <a:effectLst/>
            <a:latin typeface="+mn-lt"/>
            <a:ea typeface="+mn-ea"/>
            <a:cs typeface="+mn-cs"/>
          </a:endParaRPr>
        </a:p>
        <a:p>
          <a:r>
            <a:rPr lang="en-US" sz="1100">
              <a:solidFill>
                <a:schemeClr val="dk1"/>
              </a:solidFill>
              <a:effectLst/>
              <a:latin typeface="+mn-lt"/>
              <a:ea typeface="+mn-ea"/>
              <a:cs typeface="+mn-cs"/>
            </a:rPr>
            <a:t>Please</a:t>
          </a:r>
          <a:r>
            <a:rPr lang="en-US" sz="1100" baseline="0">
              <a:solidFill>
                <a:schemeClr val="dk1"/>
              </a:solidFill>
              <a:effectLst/>
              <a:latin typeface="+mn-lt"/>
              <a:ea typeface="+mn-ea"/>
              <a:cs typeface="+mn-cs"/>
            </a:rPr>
            <a:t> note that these are the total years of life lived with a disability (YLD) for the diseases included in the model and are not risk factor attributable years of life lived with a disability. These are not the number of years of life lived with a disability associated with tobacco use. These are the TOTAL number of years of life lived with a disability (YLD) from the diseases listed above that are associated with tobacco use. The numbers include both years of life lived with a disability from disease attributable to tobacco use as well from disease not attributable to tobacco use. This includes disease-specific years of life lived with a disability among both the exposed (smokers and those exposued to secondhand smoke) and unexposed (nonsmokers and those not exposued to secondhand smoke) populations.</a:t>
          </a:r>
        </a:p>
        <a:p>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Because</a:t>
          </a:r>
          <a:r>
            <a:rPr lang="en-US" sz="1100" baseline="0">
              <a:solidFill>
                <a:schemeClr val="dk1"/>
              </a:solidFill>
              <a:effectLst/>
              <a:latin typeface="+mn-lt"/>
              <a:ea typeface="+mn-ea"/>
              <a:cs typeface="+mn-cs"/>
            </a:rPr>
            <a:t> these are not risk-factor attributable counts, the data points in the table below are not additive. The total of </a:t>
          </a:r>
          <a:r>
            <a:rPr lang="en-US" sz="1100">
              <a:solidFill>
                <a:schemeClr val="dk1"/>
              </a:solidFill>
              <a:effectLst/>
              <a:latin typeface="+mn-lt"/>
              <a:ea typeface="+mn-ea"/>
              <a:cs typeface="+mn-cs"/>
            </a:rPr>
            <a:t>Smoking + Secondhand Smoke does not equal Tobacco.</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total number of years of life lived</a:t>
          </a:r>
          <a:r>
            <a:rPr lang="en-US" sz="1100" baseline="0">
              <a:solidFill>
                <a:schemeClr val="dk1"/>
              </a:solidFill>
              <a:effectLst/>
              <a:latin typeface="+mn-lt"/>
              <a:ea typeface="+mn-ea"/>
              <a:cs typeface="+mn-cs"/>
            </a:rPr>
            <a:t> with a disability (YLD) </a:t>
          </a:r>
          <a:r>
            <a:rPr lang="en-US" sz="1100">
              <a:solidFill>
                <a:schemeClr val="dk1"/>
              </a:solidFill>
              <a:effectLst/>
              <a:latin typeface="+mn-lt"/>
              <a:ea typeface="+mn-ea"/>
              <a:cs typeface="+mn-cs"/>
            </a:rPr>
            <a:t>for</a:t>
          </a:r>
          <a:r>
            <a:rPr lang="en-US" sz="1100" baseline="0">
              <a:solidFill>
                <a:schemeClr val="dk1"/>
              </a:solidFill>
              <a:effectLst/>
              <a:latin typeface="+mn-lt"/>
              <a:ea typeface="+mn-ea"/>
              <a:cs typeface="+mn-cs"/>
            </a:rPr>
            <a:t> smoking and secondhand smoke exposure are different </a:t>
          </a:r>
          <a:r>
            <a:rPr lang="en-US" sz="1100">
              <a:solidFill>
                <a:schemeClr val="dk1"/>
              </a:solidFill>
              <a:effectLst/>
              <a:latin typeface="+mn-lt"/>
              <a:ea typeface="+mn-ea"/>
              <a:cs typeface="+mn-cs"/>
            </a:rPr>
            <a:t>because of differences in the specific diseases associated with tobacco use/smoking (27 diseases) and secondhand smoke exposure (7 diseases) included in the FCTC Investment Case Model.</a:t>
          </a:r>
        </a:p>
      </xdr:txBody>
    </xdr:sp>
    <xdr:clientData/>
  </xdr:twoCellAnchor>
  <xdr:twoCellAnchor>
    <xdr:from>
      <xdr:col>1</xdr:col>
      <xdr:colOff>0</xdr:colOff>
      <xdr:row>91</xdr:row>
      <xdr:rowOff>0</xdr:rowOff>
    </xdr:from>
    <xdr:to>
      <xdr:col>7</xdr:col>
      <xdr:colOff>38100</xdr:colOff>
      <xdr:row>99</xdr:row>
      <xdr:rowOff>177800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673100" y="20472400"/>
          <a:ext cx="14579600" cy="17018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Risk Factor Attributable</a:t>
          </a:r>
          <a:r>
            <a:rPr lang="en-US" sz="1300" b="1" baseline="0">
              <a:solidFill>
                <a:schemeClr val="dk1"/>
              </a:solidFill>
              <a:effectLst/>
              <a:latin typeface="+mn-lt"/>
              <a:ea typeface="+mn-ea"/>
              <a:cs typeface="+mn-cs"/>
            </a:rPr>
            <a:t> Years of Life Lived with a Disability (YLD) from Diseases Included in the Model</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For each of the diseases included in the model, we obtained estimates of risk factor attributable years of life lived with a disability (YLD), by sex and age group, for Georgia from the 2016 Global Burden of Disease Study (2016 GBD).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risk factor attributable years</a:t>
          </a:r>
          <a:r>
            <a:rPr lang="en-US" sz="1100" baseline="0">
              <a:solidFill>
                <a:schemeClr val="dk1"/>
              </a:solidFill>
              <a:effectLst/>
              <a:latin typeface="+mn-lt"/>
              <a:ea typeface="+mn-ea"/>
              <a:cs typeface="+mn-cs"/>
            </a:rPr>
            <a:t> of life lived with a disability (YLD) for </a:t>
          </a:r>
          <a:r>
            <a:rPr lang="en-US" sz="1100">
              <a:solidFill>
                <a:schemeClr val="dk1"/>
              </a:solidFill>
              <a:effectLst/>
              <a:latin typeface="+mn-lt"/>
              <a:ea typeface="+mn-ea"/>
              <a:cs typeface="+mn-cs"/>
            </a:rPr>
            <a:t>tobacco use = YLD (smoking) + YLD (secondhand smoke exposure).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numbers in the table below represent our Base Scenario that we use to model the effects of the different policies/interventions that we modeled on risk factor attribtuable years of life lost due to premature mortality (YLL). We compare the estimated results for each year of our 15-year model results for each intervention scenario to this Baseline Scenario. </a:t>
          </a:r>
          <a:endParaRPr lang="en-US" sz="1100">
            <a:solidFill>
              <a:schemeClr val="dk1"/>
            </a:solidFill>
            <a:effectLst/>
            <a:latin typeface="+mn-lt"/>
            <a:ea typeface="+mn-ea"/>
            <a:cs typeface="+mn-cs"/>
          </a:endParaRPr>
        </a:p>
      </xdr:txBody>
    </xdr:sp>
    <xdr:clientData/>
  </xdr:twoCellAnchor>
  <xdr:twoCellAnchor>
    <xdr:from>
      <xdr:col>1</xdr:col>
      <xdr:colOff>0</xdr:colOff>
      <xdr:row>110</xdr:row>
      <xdr:rowOff>0</xdr:rowOff>
    </xdr:from>
    <xdr:to>
      <xdr:col>7</xdr:col>
      <xdr:colOff>38100</xdr:colOff>
      <xdr:row>136</xdr:row>
      <xdr:rowOff>12700</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673100" y="25019000"/>
          <a:ext cx="14579600" cy="49657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FCTC Investment Case Model Results: Risk</a:t>
          </a:r>
          <a:r>
            <a:rPr lang="en-US" sz="1400" b="1" baseline="0">
              <a:solidFill>
                <a:schemeClr val="dk1"/>
              </a:solidFill>
              <a:effectLst/>
              <a:latin typeface="+mn-lt"/>
              <a:ea typeface="+mn-ea"/>
              <a:cs typeface="+mn-cs"/>
            </a:rPr>
            <a:t> Factor Attributable Years of Life Lost Due to Premature Mortality (YLL)</a:t>
          </a:r>
          <a:endParaRPr lang="en-US" sz="14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For the FCTC Investment Case Model, we estimate the impact of 4 different tobacco control policies/interventions, individually and combined, on risk factor attributable years of life lived with a disability (YLD) in Georgia for each of the three risk factors included in our model.</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4 interventions we assessed included</a:t>
          </a:r>
        </a:p>
        <a:p>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Increasing Cigarette Taxes</a:t>
          </a:r>
        </a:p>
        <a:p>
          <a:pPr lvl="1"/>
          <a:r>
            <a:rPr lang="en-US" sz="1100" b="0" baseline="0">
              <a:solidFill>
                <a:schemeClr val="dk1"/>
              </a:solidFill>
              <a:effectLst/>
              <a:latin typeface="+mn-lt"/>
              <a:ea typeface="+mn-ea"/>
              <a:cs typeface="+mn-cs"/>
            </a:rPr>
            <a:t>Smoke-Free Air Laws</a:t>
          </a:r>
        </a:p>
        <a:p>
          <a:pPr lvl="1"/>
          <a:r>
            <a:rPr lang="en-US" sz="1100" b="0" baseline="0">
              <a:solidFill>
                <a:schemeClr val="dk1"/>
              </a:solidFill>
              <a:effectLst/>
              <a:latin typeface="+mn-lt"/>
              <a:ea typeface="+mn-ea"/>
              <a:cs typeface="+mn-cs"/>
            </a:rPr>
            <a:t>Enforce Marketing Restrictions</a:t>
          </a:r>
        </a:p>
        <a:p>
          <a:pPr lvl="1"/>
          <a:r>
            <a:rPr lang="en-US" sz="1100" b="0" baseline="0">
              <a:solidFill>
                <a:schemeClr val="dk1"/>
              </a:solidFill>
              <a:effectLst/>
              <a:latin typeface="+mn-lt"/>
              <a:ea typeface="+mn-ea"/>
              <a:cs typeface="+mn-cs"/>
            </a:rPr>
            <a:t>Cigarette Package Warnings</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Risk Factor Attributable Years of Life Lived with a Disability (YLD) for Policies/Interventions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 estimated impacts of these four tobacco control policies/interventions (summarized in the Intervention Impacts worksheet) were forecasted for a 15-year period. We applied those estimated intervention impacts to our FCTC Investment Case Model. The FCTC Investment Case Model extends the Baseline Scenario (summarized above) out for the entire 15-year period of the simulation. Then we estimated the impact of each of the interventions, separately and combined, on risk factor attributable years of life lived with a disability (YLD). We started each of our 15-year scenarios with the number of risk factor attributable years of life lived with a disability (YLD) from the 2016 Global Burden of Disease Study (Model Year = 0). Then we adjusted the the starting number based on the relative change in smoking prevalence under each intervention scenario in the first year of the model. We continued this year-over-year adjustment for model years 2 through 15.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Reductions in Risk Factor Attributable Years of Life Lived with a Disability (YLD) for Policies/Interventions</a:t>
          </a:r>
        </a:p>
        <a:p>
          <a:pPr lvl="0"/>
          <a:r>
            <a:rPr lang="en-US" sz="1100" b="0" baseline="0">
              <a:solidFill>
                <a:schemeClr val="dk1"/>
              </a:solidFill>
              <a:effectLst/>
              <a:latin typeface="+mn-lt"/>
              <a:ea typeface="+mn-ea"/>
              <a:cs typeface="+mn-cs"/>
            </a:rPr>
            <a:t>For the marginal effects (reductions in risk factor attributable years of life lived with a disability), we compared the values for the intervention scenario to the values for the baseline scenario. </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Reductions in Risk Factor Attributable Years of Life Lived with a Disability (YLD) = YLD (Baseline Scenario) - YLD (Intervention Scenario)</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Return on Investment (ROI) for Policies/Interventions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Using data on the estimated annual financial cost of each policy/intervention (summarized in the Intervention Costs worksheet), we calculated the Return on Investment (ROI) for each policy.</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Return on Investment (ROI) = Redctions in Risk Factor Attributable Years of Life Lived with a Disability (YLD) / Intervention Costs (in thousands)</a:t>
          </a:r>
        </a:p>
        <a:p>
          <a:endParaRPr lang="en-US" sz="1100" b="1" baseline="0">
            <a:solidFill>
              <a:schemeClr val="dk1"/>
            </a:solidFill>
            <a:effectLst/>
            <a:latin typeface="+mn-lt"/>
            <a:ea typeface="+mn-ea"/>
            <a:cs typeface="+mn-cs"/>
          </a:endParaRPr>
        </a:p>
      </xdr:txBody>
    </xdr:sp>
    <xdr:clientData/>
  </xdr:twoCellAnchor>
  <xdr:twoCellAnchor>
    <xdr:from>
      <xdr:col>1</xdr:col>
      <xdr:colOff>0</xdr:colOff>
      <xdr:row>140</xdr:row>
      <xdr:rowOff>0</xdr:rowOff>
    </xdr:from>
    <xdr:to>
      <xdr:col>7</xdr:col>
      <xdr:colOff>38100</xdr:colOff>
      <xdr:row>144</xdr:row>
      <xdr:rowOff>38100</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673100" y="30848300"/>
          <a:ext cx="14579600" cy="9525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Annual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annual number of risk factor attributable years of life lived with a disability (YLD) from the diseases included in the model for each of the risk factors for both the baseline scenario and each intervention scenario estimated by our model. The table also presents the marginal effects (reductions in risk factor attributable years of life lost) as well as the return on investment (ROI) for each.</a:t>
          </a:r>
        </a:p>
      </xdr:txBody>
    </xdr:sp>
    <xdr:clientData/>
  </xdr:twoCellAnchor>
  <xdr:twoCellAnchor>
    <xdr:from>
      <xdr:col>1</xdr:col>
      <xdr:colOff>0</xdr:colOff>
      <xdr:row>376</xdr:row>
      <xdr:rowOff>0</xdr:rowOff>
    </xdr:from>
    <xdr:to>
      <xdr:col>7</xdr:col>
      <xdr:colOff>38100</xdr:colOff>
      <xdr:row>381</xdr:row>
      <xdr:rowOff>0</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673100" y="76962000"/>
          <a:ext cx="14579600" cy="9525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Aggregate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same information that is summarized in the annual model results table above totaled across Years 1-5, Years 6-15, and the entire 15-year period (Years 1-15).</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xdr:colOff>
      <xdr:row>3</xdr:row>
      <xdr:rowOff>12700</xdr:rowOff>
    </xdr:from>
    <xdr:to>
      <xdr:col>5</xdr:col>
      <xdr:colOff>762000</xdr:colOff>
      <xdr:row>8</xdr:row>
      <xdr:rowOff>38100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85800" y="698500"/>
          <a:ext cx="11061700" cy="10160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Disability-Adjusted Life Years (DALY) </a:t>
          </a:r>
          <a:r>
            <a:rPr lang="en-US" sz="1200" b="0"/>
            <a:t>= Years of Life Lost Due to Premature Mortality (YLL) + Years of Life Lived with a Disability (YLD)</a:t>
          </a:r>
        </a:p>
        <a:p>
          <a:endParaRPr lang="en-US" sz="1200"/>
        </a:p>
        <a:p>
          <a:r>
            <a:rPr lang="en-US" sz="1200"/>
            <a:t>In the FCTC Investment</a:t>
          </a:r>
          <a:r>
            <a:rPr lang="en-US" sz="1200" baseline="0"/>
            <a:t> Case Analysis Model</a:t>
          </a:r>
          <a:r>
            <a:rPr lang="en-US" sz="1200"/>
            <a:t>, </a:t>
          </a:r>
          <a:r>
            <a:rPr lang="en-US" sz="1200" b="1"/>
            <a:t>Tobacco Use</a:t>
          </a:r>
          <a:r>
            <a:rPr lang="en-US" sz="1200"/>
            <a:t> consists of smoking and secondhand smoke exposure.</a:t>
          </a:r>
        </a:p>
        <a:p>
          <a:r>
            <a:rPr lang="en-US" sz="1200"/>
            <a:t>Model results for Tobacco Use are calculated as the sum of model estimates for smoking plus model estimates for secondhand smoke exposure.</a:t>
          </a:r>
        </a:p>
      </xdr:txBody>
    </xdr:sp>
    <xdr:clientData/>
  </xdr:twoCellAnchor>
  <xdr:twoCellAnchor>
    <xdr:from>
      <xdr:col>1</xdr:col>
      <xdr:colOff>0</xdr:colOff>
      <xdr:row>11</xdr:row>
      <xdr:rowOff>0</xdr:rowOff>
    </xdr:from>
    <xdr:to>
      <xdr:col>7</xdr:col>
      <xdr:colOff>38100</xdr:colOff>
      <xdr:row>27</xdr:row>
      <xdr:rowOff>84667</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677333" y="2342444"/>
          <a:ext cx="14586656" cy="324555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chemeClr val="dk1"/>
              </a:solidFill>
              <a:effectLst/>
              <a:latin typeface="+mn-lt"/>
              <a:ea typeface="+mn-ea"/>
              <a:cs typeface="+mn-cs"/>
            </a:rPr>
            <a:t>Diseases Included</a:t>
          </a:r>
          <a:r>
            <a:rPr lang="en-US" sz="1300" b="1" baseline="0">
              <a:solidFill>
                <a:schemeClr val="dk1"/>
              </a:solidFill>
              <a:effectLst/>
              <a:latin typeface="+mn-lt"/>
              <a:ea typeface="+mn-ea"/>
              <a:cs typeface="+mn-cs"/>
            </a:rPr>
            <a:t> in the FCTC Investment Case Model</a:t>
          </a:r>
          <a:endParaRPr lang="en-US" sz="1300" b="1">
            <a:solidFill>
              <a:schemeClr val="dk1"/>
            </a:solidFill>
            <a:effectLst/>
            <a:latin typeface="+mn-lt"/>
            <a:ea typeface="+mn-ea"/>
            <a:cs typeface="+mn-cs"/>
          </a:endParaRPr>
        </a:p>
        <a:p>
          <a:pPr algn="l"/>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The tobacco-related mortality and morbidity component of the FCTC Investment Case Model for Georgia includes 31 diseases that have been identified as being causally-linked with tobacco use. The list of diseases, along with the strength of the evidence to support the association between smoking and the disease, are found in the following paper published in the Lancet in 2017:</a:t>
          </a:r>
        </a:p>
        <a:p>
          <a:pPr algn="l"/>
          <a:endParaRPr lang="en-US" sz="1100">
            <a:solidFill>
              <a:schemeClr val="dk1"/>
            </a:solidFill>
            <a:effectLst/>
            <a:latin typeface="+mn-lt"/>
            <a:ea typeface="+mn-ea"/>
            <a:cs typeface="+mn-cs"/>
          </a:endParaRPr>
        </a:p>
        <a:p>
          <a:pPr lvl="1" algn="l"/>
          <a:r>
            <a:rPr lang="en-US" sz="1100">
              <a:solidFill>
                <a:schemeClr val="dk1"/>
              </a:solidFill>
              <a:effectLst/>
              <a:latin typeface="+mn-lt"/>
              <a:ea typeface="+mn-ea"/>
              <a:cs typeface="+mn-cs"/>
            </a:rPr>
            <a:t>Smoking prevalence and attributable disease burden in 195 countries and territories, 1990–2015: a systematic analysis from the Global Burden of Disease Study 2015. The Lancet. 2017. Volume 389, Issue 10082, 1885 – 1906. doi:10.1016/S0140-6736(17)30819-X</a:t>
          </a:r>
        </a:p>
        <a:p>
          <a:pPr lvl="1" algn="l"/>
          <a:r>
            <a:rPr lang="en-US" sz="1100" u="sng">
              <a:solidFill>
                <a:schemeClr val="dk1"/>
              </a:solidFill>
              <a:effectLst/>
              <a:latin typeface="+mn-lt"/>
              <a:ea typeface="+mn-ea"/>
              <a:cs typeface="+mn-cs"/>
              <a:hlinkClick xmlns:r="http://schemas.openxmlformats.org/officeDocument/2006/relationships" r:id=""/>
            </a:rPr>
            <a:t>http://www.thelancet.com/journals/lancet/article/PIIS0140-6736(17)30819-X/abstract</a:t>
          </a:r>
          <a:r>
            <a:rPr lang="en-US">
              <a:effectLst/>
            </a:rPr>
            <a:t> </a:t>
          </a:r>
          <a:endParaRPr lang="en-US" sz="1100" u="sng" baseline="0">
            <a:solidFill>
              <a:srgbClr val="0070C0"/>
            </a:solidFill>
            <a:effectLst/>
            <a:uFill>
              <a:solidFill>
                <a:srgbClr val="0070C0"/>
              </a:solidFill>
            </a:uFill>
            <a:latin typeface="+mn-lt"/>
            <a:ea typeface="+mn-ea"/>
            <a:cs typeface="+mn-cs"/>
          </a:endParaRPr>
        </a:p>
        <a:p>
          <a:pPr lvl="1" algn="l"/>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ICD-10 and ICD-9 Codes associated with each of the 31 conditions included in the FCTC Investment Case Model can be found and downloaded from IHME’s Global Health Data Exchange (GHDx) website</a:t>
          </a:r>
          <a:br>
            <a:rPr lang="en-US" sz="1100">
              <a:solidFill>
                <a:schemeClr val="dk1"/>
              </a:solidFill>
              <a:effectLst/>
              <a:latin typeface="+mn-lt"/>
              <a:ea typeface="+mn-ea"/>
              <a:cs typeface="+mn-cs"/>
            </a:rPr>
          </a:br>
          <a:r>
            <a:rPr lang="en-US" sz="1100" u="sng">
              <a:solidFill>
                <a:srgbClr val="0070C0"/>
              </a:solidFill>
              <a:effectLst/>
              <a:latin typeface="+mn-lt"/>
              <a:ea typeface="+mn-ea"/>
              <a:cs typeface="+mn-cs"/>
              <a:hlinkClick xmlns:r="http://schemas.openxmlformats.org/officeDocument/2006/relationships" r:id=""/>
            </a:rPr>
            <a:t>http://ghdx.healthdata.org/record/global-burden-disease-study-2016-gbd-2016-causes-death-and-nonfatal-causes-mapped-icd-codes</a:t>
          </a:r>
          <a:endParaRPr lang="en-US" sz="1100">
            <a:solidFill>
              <a:srgbClr val="0070C0"/>
            </a:solidFill>
            <a:effectLst/>
            <a:latin typeface="+mn-lt"/>
            <a:ea typeface="+mn-ea"/>
            <a:cs typeface="+mn-cs"/>
          </a:endParaRPr>
        </a:p>
        <a:p>
          <a:pPr algn="l"/>
          <a:r>
            <a:rPr lang="en-US" sz="1100">
              <a:solidFill>
                <a:schemeClr val="dk1"/>
              </a:solidFill>
              <a:effectLst/>
              <a:latin typeface="+mn-lt"/>
              <a:ea typeface="+mn-ea"/>
              <a:cs typeface="+mn-cs"/>
            </a:rPr>
            <a:t> </a:t>
          </a:r>
        </a:p>
        <a:p>
          <a:pPr algn="l"/>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note that the Lancet article referenced above lists a total of 36 diseases associated with tobacco use. However, the 2016 Global Burden of Disease Study (GBD) data that we used for tobacco-related  mortality and morbidity does not contain data on tobacco-related mortality and morbidity for all of the tobacco-related diseases listed in the Lancet article referenced above. There are a total of 31 diseases that are listed in Lancet article referenced above and have 2016 GBD data available for Georgia.</a:t>
          </a:r>
          <a:endParaRPr lang="en-US" sz="1100" b="0">
            <a:solidFill>
              <a:schemeClr val="dk1"/>
            </a:solidFill>
            <a:effectLst/>
            <a:latin typeface="+mn-lt"/>
            <a:ea typeface="+mn-ea"/>
            <a:cs typeface="+mn-cs"/>
          </a:endParaRPr>
        </a:p>
        <a:p>
          <a:pPr algn="l"/>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The table below lists each of the 31 diseases included in the mortality and morbidity components of FCTC Investment Case Analysis Model, along with the ICD-10 Codes for each disease.</a:t>
          </a:r>
        </a:p>
      </xdr:txBody>
    </xdr:sp>
    <xdr:clientData/>
  </xdr:twoCellAnchor>
  <xdr:twoCellAnchor>
    <xdr:from>
      <xdr:col>1</xdr:col>
      <xdr:colOff>0</xdr:colOff>
      <xdr:row>63</xdr:row>
      <xdr:rowOff>0</xdr:rowOff>
    </xdr:from>
    <xdr:to>
      <xdr:col>7</xdr:col>
      <xdr:colOff>38100</xdr:colOff>
      <xdr:row>91</xdr:row>
      <xdr:rowOff>25400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673100" y="13931900"/>
          <a:ext cx="14579600" cy="53594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Total Annual Disability-Adjusted Life Years </a:t>
          </a:r>
          <a:r>
            <a:rPr lang="en-US" sz="1300" b="1" baseline="0">
              <a:solidFill>
                <a:schemeClr val="dk1"/>
              </a:solidFill>
              <a:effectLst/>
              <a:latin typeface="+mn-lt"/>
              <a:ea typeface="+mn-ea"/>
              <a:cs typeface="+mn-cs"/>
            </a:rPr>
            <a:t>(DALY) from Diseases included in the Model</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Of the 36 diseases included in the mortality component of the FCTC Investment Case Model, 2016 GBD mortality/morbidity data were not available </a:t>
          </a:r>
          <a:r>
            <a:rPr lang="en-US" sz="1100" b="0" baseline="0">
              <a:solidFill>
                <a:sysClr val="windowText" lastClr="000000"/>
              </a:solidFill>
              <a:effectLst/>
              <a:latin typeface="+mn-lt"/>
              <a:ea typeface="+mn-ea"/>
              <a:cs typeface="+mn-cs"/>
            </a:rPr>
            <a:t>for 5 diseases. </a:t>
          </a:r>
          <a:r>
            <a:rPr lang="en-US" sz="1100" b="0" baseline="0">
              <a:solidFill>
                <a:schemeClr val="dk1"/>
              </a:solidFill>
              <a:effectLst/>
              <a:latin typeface="+mn-lt"/>
              <a:ea typeface="+mn-ea"/>
              <a:cs typeface="+mn-cs"/>
            </a:rPr>
            <a:t>The number of conditions associated with tobacco use included in the FCTC Investment Case Model for which 2016 GBD mortality/morbidity data are available is as follows:</a:t>
          </a:r>
        </a:p>
        <a:p>
          <a:endParaRPr lang="en-US" sz="1100" b="0" baseline="0">
            <a:solidFill>
              <a:schemeClr val="dk1"/>
            </a:solidFill>
            <a:effectLst/>
            <a:latin typeface="+mn-lt"/>
            <a:ea typeface="+mn-ea"/>
            <a:cs typeface="+mn-cs"/>
          </a:endParaRPr>
        </a:p>
        <a:p>
          <a:pPr lvl="1"/>
          <a:r>
            <a:rPr lang="en-US" sz="1100" b="0" baseline="0">
              <a:solidFill>
                <a:sysClr val="windowText" lastClr="000000"/>
              </a:solidFill>
              <a:effectLst/>
              <a:latin typeface="+mn-lt"/>
              <a:ea typeface="+mn-ea"/>
              <a:cs typeface="+mn-cs"/>
            </a:rPr>
            <a:t>Tobacco Use: 31 diseases</a:t>
          </a:r>
        </a:p>
        <a:p>
          <a:pPr lvl="1"/>
          <a:r>
            <a:rPr lang="en-US" sz="1100" b="0" baseline="0">
              <a:solidFill>
                <a:sysClr val="windowText" lastClr="000000"/>
              </a:solidFill>
              <a:effectLst/>
              <a:latin typeface="+mn-lt"/>
              <a:ea typeface="+mn-ea"/>
              <a:cs typeface="+mn-cs"/>
            </a:rPr>
            <a:t>Smoking: 31 diseases</a:t>
          </a:r>
        </a:p>
        <a:p>
          <a:pPr lvl="1"/>
          <a:r>
            <a:rPr lang="en-US" sz="1100" b="0" baseline="0">
              <a:solidFill>
                <a:sysClr val="windowText" lastClr="000000"/>
              </a:solidFill>
              <a:effectLst/>
              <a:latin typeface="+mn-lt"/>
              <a:ea typeface="+mn-ea"/>
              <a:cs typeface="+mn-cs"/>
            </a:rPr>
            <a:t>Secondhand Smoke Exposure: 7 diseases</a:t>
          </a:r>
        </a:p>
        <a:p>
          <a:pPr lvl="1"/>
          <a:endParaRPr lang="en-US" sz="1100" b="0" baseline="0">
            <a:solidFill>
              <a:sysClr val="windowText" lastClr="000000"/>
            </a:solidFill>
            <a:effectLst/>
            <a:latin typeface="+mn-lt"/>
            <a:ea typeface="+mn-ea"/>
            <a:cs typeface="+mn-cs"/>
          </a:endParaRPr>
        </a:p>
        <a:p>
          <a:pPr lvl="0"/>
          <a:r>
            <a:rPr lang="en-US" sz="1100" b="0" baseline="0">
              <a:solidFill>
                <a:sysClr val="windowText" lastClr="000000"/>
              </a:solidFill>
              <a:effectLst/>
              <a:latin typeface="+mn-lt"/>
              <a:ea typeface="+mn-ea"/>
              <a:cs typeface="+mn-cs"/>
            </a:rPr>
            <a:t>Please refer to the table above for a listing of the 31 diseases associated with tobacco use/smoking and the 7 diseases associated with secondhand smoke exposure that are included in the FCTC Model Results for Georgia.</a:t>
          </a:r>
        </a:p>
        <a:p>
          <a:endParaRPr lang="en-US" sz="1100" b="0">
            <a:solidFill>
              <a:sysClr val="windowText" lastClr="000000"/>
            </a:solidFill>
            <a:effectLst/>
            <a:latin typeface="+mn-lt"/>
            <a:ea typeface="+mn-ea"/>
            <a:cs typeface="+mn-cs"/>
          </a:endParaRPr>
        </a:p>
        <a:p>
          <a:r>
            <a:rPr lang="en-US" sz="1100" b="0">
              <a:solidFill>
                <a:sysClr val="windowText" lastClr="000000"/>
              </a:solidFill>
              <a:effectLst/>
              <a:latin typeface="+mn-lt"/>
              <a:ea typeface="+mn-ea"/>
              <a:cs typeface="+mn-cs"/>
            </a:rPr>
            <a:t>Disability-Adjusted</a:t>
          </a:r>
          <a:r>
            <a:rPr lang="en-US" sz="1100" b="0" baseline="0">
              <a:solidFill>
                <a:sysClr val="windowText" lastClr="000000"/>
              </a:solidFill>
              <a:effectLst/>
              <a:latin typeface="+mn-lt"/>
              <a:ea typeface="+mn-ea"/>
              <a:cs typeface="+mn-cs"/>
            </a:rPr>
            <a:t> Life Years (DALY) is calculated as the sum of Years of Life Lost Due to Premature Mortality (YLL) and Years of Life Lived with a </a:t>
          </a:r>
          <a:r>
            <a:rPr lang="en-US" sz="1100" b="0" baseline="0">
              <a:solidFill>
                <a:schemeClr val="dk1"/>
              </a:solidFill>
              <a:effectLst/>
              <a:latin typeface="+mn-lt"/>
              <a:ea typeface="+mn-ea"/>
              <a:cs typeface="+mn-cs"/>
            </a:rPr>
            <a:t>Disability (YLD). The calculation is done for each disease, sex, and age group and the resulting values are totaled across diseases, sex, and age groups to produce aggregate estimates.</a:t>
          </a:r>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t>Disability-Adjusted Life Years (DALY) </a:t>
          </a:r>
          <a:r>
            <a:rPr lang="en-US" sz="1100" b="0"/>
            <a:t>= Years of Life Lost Due to Premature Mortality (YLL) + Years of Life Lived with a Disability (YLD)</a:t>
          </a:r>
          <a:endParaRPr lang="en-US" sz="1100"/>
        </a:p>
        <a:p>
          <a:endParaRPr lang="en-US" sz="11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 table below presents country-specific annual total disability-adjusted life years (DALY) from the diseases included in the model for the 27 diseases associated with tobacco use/smoking and the 7 diseases associated with secondhand smoke exposure.</a:t>
          </a: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These data points are from the 2016 Global Burden of Disease Study (2016 GBD).</a:t>
          </a:r>
        </a:p>
        <a:p>
          <a:endParaRPr lang="en-US" sz="1100" b="0">
            <a:solidFill>
              <a:schemeClr val="dk1"/>
            </a:solidFill>
            <a:effectLst/>
            <a:latin typeface="+mn-lt"/>
            <a:ea typeface="+mn-ea"/>
            <a:cs typeface="+mn-cs"/>
          </a:endParaRPr>
        </a:p>
        <a:p>
          <a:r>
            <a:rPr lang="en-US" sz="1100">
              <a:solidFill>
                <a:schemeClr val="dk1"/>
              </a:solidFill>
              <a:effectLst/>
              <a:latin typeface="+mn-lt"/>
              <a:ea typeface="+mn-ea"/>
              <a:cs typeface="+mn-cs"/>
            </a:rPr>
            <a:t>Please</a:t>
          </a:r>
          <a:r>
            <a:rPr lang="en-US" sz="1100" baseline="0">
              <a:solidFill>
                <a:schemeClr val="dk1"/>
              </a:solidFill>
              <a:effectLst/>
              <a:latin typeface="+mn-lt"/>
              <a:ea typeface="+mn-ea"/>
              <a:cs typeface="+mn-cs"/>
            </a:rPr>
            <a:t> note that these are the total disability-adjusted life years (DALY) for the diseases included in the model and are not risk factor attributable disability-adjusted life years. These are not the number of disability-adjusted life years (DALY) for deaths associated with tobacco use. These are the TOTAL number of disability-adjusted life years (DALY) for the diseases associated with tobacco use included in the model. The numbers include both disability-adjusted life years attributable to tobacco use as well as disability-adjusted life years not attributable to tobacco use. This includes disease-specific disability-adjusted life years among both the exposed (smokers and those exposued to secondhand smoke) and unexposed (nonsmokers and those not exposued to secondhand smoke) populations.</a:t>
          </a:r>
        </a:p>
        <a:p>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Because</a:t>
          </a:r>
          <a:r>
            <a:rPr lang="en-US" sz="1100" baseline="0">
              <a:solidFill>
                <a:schemeClr val="dk1"/>
              </a:solidFill>
              <a:effectLst/>
              <a:latin typeface="+mn-lt"/>
              <a:ea typeface="+mn-ea"/>
              <a:cs typeface="+mn-cs"/>
            </a:rPr>
            <a:t> these are not risk-factor attributable counts, the data points in the table below are not additive. The total of </a:t>
          </a:r>
          <a:r>
            <a:rPr lang="en-US" sz="1100">
              <a:solidFill>
                <a:schemeClr val="dk1"/>
              </a:solidFill>
              <a:effectLst/>
              <a:latin typeface="+mn-lt"/>
              <a:ea typeface="+mn-ea"/>
              <a:cs typeface="+mn-cs"/>
            </a:rPr>
            <a:t>Smoking + Secondhand Smoke does not equal Tobacco.</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total number of disability-adjusted life years </a:t>
          </a:r>
          <a:r>
            <a:rPr lang="en-US" sz="1100" baseline="0">
              <a:solidFill>
                <a:schemeClr val="dk1"/>
              </a:solidFill>
              <a:effectLst/>
              <a:latin typeface="+mn-lt"/>
              <a:ea typeface="+mn-ea"/>
              <a:cs typeface="+mn-cs"/>
            </a:rPr>
            <a:t>(DALY) </a:t>
          </a:r>
          <a:r>
            <a:rPr lang="en-US" sz="1100">
              <a:solidFill>
                <a:schemeClr val="dk1"/>
              </a:solidFill>
              <a:effectLst/>
              <a:latin typeface="+mn-lt"/>
              <a:ea typeface="+mn-ea"/>
              <a:cs typeface="+mn-cs"/>
            </a:rPr>
            <a:t>for</a:t>
          </a:r>
          <a:r>
            <a:rPr lang="en-US" sz="1100" baseline="0">
              <a:solidFill>
                <a:schemeClr val="dk1"/>
              </a:solidFill>
              <a:effectLst/>
              <a:latin typeface="+mn-lt"/>
              <a:ea typeface="+mn-ea"/>
              <a:cs typeface="+mn-cs"/>
            </a:rPr>
            <a:t> smoking and secondhand smoke exposure are different </a:t>
          </a:r>
          <a:r>
            <a:rPr lang="en-US" sz="1100">
              <a:solidFill>
                <a:schemeClr val="dk1"/>
              </a:solidFill>
              <a:effectLst/>
              <a:latin typeface="+mn-lt"/>
              <a:ea typeface="+mn-ea"/>
              <a:cs typeface="+mn-cs"/>
            </a:rPr>
            <a:t>because of differences in the specific diseases associated with tobacco use/smoking (27 diseases) and secondhand smoke exposure (7 diseases) included in the FCTC Investment Case Model.</a:t>
          </a:r>
        </a:p>
      </xdr:txBody>
    </xdr:sp>
    <xdr:clientData/>
  </xdr:twoCellAnchor>
  <xdr:twoCellAnchor>
    <xdr:from>
      <xdr:col>1</xdr:col>
      <xdr:colOff>0</xdr:colOff>
      <xdr:row>99</xdr:row>
      <xdr:rowOff>0</xdr:rowOff>
    </xdr:from>
    <xdr:to>
      <xdr:col>7</xdr:col>
      <xdr:colOff>38100</xdr:colOff>
      <xdr:row>114</xdr:row>
      <xdr:rowOff>12700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673100" y="20789900"/>
          <a:ext cx="14579600" cy="28702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mn-lt"/>
              <a:ea typeface="+mn-ea"/>
              <a:cs typeface="+mn-cs"/>
            </a:rPr>
            <a:t>Risk Factor Attributable</a:t>
          </a:r>
          <a:r>
            <a:rPr lang="en-US" sz="1300" b="1" baseline="0">
              <a:solidFill>
                <a:schemeClr val="dk1"/>
              </a:solidFill>
              <a:effectLst/>
              <a:latin typeface="+mn-lt"/>
              <a:ea typeface="+mn-ea"/>
              <a:cs typeface="+mn-cs"/>
            </a:rPr>
            <a:t> Disability-Adjusted Life Years (DALY) for Diseases Included in the Model</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For each of the diseases included in the model, we estimate the number of risk factor attributable disability-adjusted life years (DALY). Risk factor attributable disability-adjusted life years (DALY) are estimated for tobacco use, smoking, and secondhand smoke exposure. </a:t>
          </a:r>
          <a:endParaRPr lang="en-US" sz="1100" b="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t>Risk Factor Attributable Disability-Adjusted Life Years (DALY) </a:t>
          </a:r>
          <a:r>
            <a:rPr lang="en-US" sz="1100" b="0"/>
            <a:t>= Risk Factor Attributable YLL + Risk Factor Attributable YLD</a:t>
          </a:r>
          <a:endParaRPr lang="en-US" sz="1100"/>
        </a:p>
        <a:p>
          <a:pPr lvl="1"/>
          <a:endParaRPr lang="en-US" sz="110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The calculation is done for each disease, sex, and age group and then totaled across sex and age groups to produce aggregate estimates.</a:t>
          </a:r>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Thes numbers in the table below are the total anunal risk</a:t>
          </a:r>
          <a:r>
            <a:rPr lang="en-US" sz="1100" baseline="0">
              <a:solidFill>
                <a:schemeClr val="dk1"/>
              </a:solidFill>
              <a:effectLst/>
              <a:latin typeface="+mn-lt"/>
              <a:ea typeface="+mn-ea"/>
              <a:cs typeface="+mn-cs"/>
            </a:rPr>
            <a:t> factor attributable </a:t>
          </a:r>
          <a:r>
            <a:rPr lang="en-US" sz="1100">
              <a:solidFill>
                <a:schemeClr val="dk1"/>
              </a:solidFill>
              <a:effectLst/>
              <a:latin typeface="+mn-lt"/>
              <a:ea typeface="+mn-ea"/>
              <a:cs typeface="+mn-cs"/>
            </a:rPr>
            <a:t>disability-adjusted</a:t>
          </a:r>
          <a:r>
            <a:rPr lang="en-US" sz="1100" baseline="0">
              <a:solidFill>
                <a:schemeClr val="dk1"/>
              </a:solidFill>
              <a:effectLst/>
              <a:latin typeface="+mn-lt"/>
              <a:ea typeface="+mn-ea"/>
              <a:cs typeface="+mn-cs"/>
            </a:rPr>
            <a:t> life years (DALY) </a:t>
          </a:r>
          <a:r>
            <a:rPr lang="en-US" sz="1100">
              <a:solidFill>
                <a:schemeClr val="dk1"/>
              </a:solidFill>
              <a:effectLst/>
              <a:latin typeface="+mn-lt"/>
              <a:ea typeface="+mn-ea"/>
              <a:cs typeface="+mn-cs"/>
            </a:rPr>
            <a:t>(aggregated across diseases,</a:t>
          </a:r>
          <a:r>
            <a:rPr lang="en-US" sz="1100" baseline="0">
              <a:solidFill>
                <a:schemeClr val="dk1"/>
              </a:solidFill>
              <a:effectLst/>
              <a:latin typeface="+mn-lt"/>
              <a:ea typeface="+mn-ea"/>
              <a:cs typeface="+mn-cs"/>
            </a:rPr>
            <a:t> sex, and age groups)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These totals</a:t>
          </a:r>
          <a:r>
            <a:rPr lang="en-US" sz="1100" baseline="0">
              <a:solidFill>
                <a:schemeClr val="dk1"/>
              </a:solidFill>
              <a:effectLst/>
              <a:latin typeface="+mn-lt"/>
              <a:ea typeface="+mn-ea"/>
              <a:cs typeface="+mn-cs"/>
            </a:rPr>
            <a:t> are based on annual estimates for 2016 from the 2016 GBD data.</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risk factor attributable disability-adjuted</a:t>
          </a:r>
          <a:r>
            <a:rPr lang="en-US" sz="1100" baseline="0">
              <a:solidFill>
                <a:schemeClr val="dk1"/>
              </a:solidFill>
              <a:effectLst/>
              <a:latin typeface="+mn-lt"/>
              <a:ea typeface="+mn-ea"/>
              <a:cs typeface="+mn-cs"/>
            </a:rPr>
            <a:t> life years (DALY) for </a:t>
          </a:r>
          <a:r>
            <a:rPr lang="en-US" sz="1100">
              <a:solidFill>
                <a:schemeClr val="dk1"/>
              </a:solidFill>
              <a:effectLst/>
              <a:latin typeface="+mn-lt"/>
              <a:ea typeface="+mn-ea"/>
              <a:cs typeface="+mn-cs"/>
            </a:rPr>
            <a:t>tobacco use = DALY (smoking) + DALY (secondhand smoke exposure).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numbers in the table below represent our Base Scenario that we use to model the effects of the different policies/interventions that we modeled on risk factor attribtuable years of life lost due to premature mortality (YLL). We compare the estimated results for each year of our 15-year model results for each intervention scenario to this Baseline Scenario. </a:t>
          </a:r>
          <a:endParaRPr lang="en-US" sz="1100">
            <a:solidFill>
              <a:schemeClr val="dk1"/>
            </a:solidFill>
            <a:effectLst/>
            <a:latin typeface="+mn-lt"/>
            <a:ea typeface="+mn-ea"/>
            <a:cs typeface="+mn-cs"/>
          </a:endParaRPr>
        </a:p>
      </xdr:txBody>
    </xdr:sp>
    <xdr:clientData/>
  </xdr:twoCellAnchor>
  <xdr:twoCellAnchor>
    <xdr:from>
      <xdr:col>1</xdr:col>
      <xdr:colOff>0</xdr:colOff>
      <xdr:row>123</xdr:row>
      <xdr:rowOff>0</xdr:rowOff>
    </xdr:from>
    <xdr:to>
      <xdr:col>7</xdr:col>
      <xdr:colOff>38100</xdr:colOff>
      <xdr:row>154</xdr:row>
      <xdr:rowOff>25400</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673100" y="26327100"/>
          <a:ext cx="14579600" cy="59309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FCTC Investment Case Model Results: Risk</a:t>
          </a:r>
          <a:r>
            <a:rPr lang="en-US" sz="1400" b="1" baseline="0">
              <a:solidFill>
                <a:schemeClr val="dk1"/>
              </a:solidFill>
              <a:effectLst/>
              <a:latin typeface="+mn-lt"/>
              <a:ea typeface="+mn-ea"/>
              <a:cs typeface="+mn-cs"/>
            </a:rPr>
            <a:t> Factor Attributable Years of Life Lost Due to Premature Mortality (YLL)</a:t>
          </a:r>
          <a:endParaRPr lang="en-US" sz="14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For the FCTC Investment Case Model, we estimate the impact of 4 different tobacco control policies/interventions, individually and combined, on risk factor attributable years of life lost due to premature mortality (YLL) in Georgia for each of the three risk factors included in our model.</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4 interventions we assessed included</a:t>
          </a:r>
        </a:p>
        <a:p>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Increasing Cigarette Taxes</a:t>
          </a:r>
        </a:p>
        <a:p>
          <a:pPr lvl="1"/>
          <a:r>
            <a:rPr lang="en-US" sz="1100" b="0" baseline="0">
              <a:solidFill>
                <a:schemeClr val="dk1"/>
              </a:solidFill>
              <a:effectLst/>
              <a:latin typeface="+mn-lt"/>
              <a:ea typeface="+mn-ea"/>
              <a:cs typeface="+mn-cs"/>
            </a:rPr>
            <a:t>Smoke-Free Air Laws</a:t>
          </a:r>
        </a:p>
        <a:p>
          <a:pPr lvl="1"/>
          <a:r>
            <a:rPr lang="en-US" sz="1100" b="0" baseline="0">
              <a:solidFill>
                <a:schemeClr val="dk1"/>
              </a:solidFill>
              <a:effectLst/>
              <a:latin typeface="+mn-lt"/>
              <a:ea typeface="+mn-ea"/>
              <a:cs typeface="+mn-cs"/>
            </a:rPr>
            <a:t>Enforce Marketing Restrictions</a:t>
          </a:r>
        </a:p>
        <a:p>
          <a:pPr lvl="1"/>
          <a:r>
            <a:rPr lang="en-US" sz="1100" b="0" baseline="0">
              <a:solidFill>
                <a:schemeClr val="dk1"/>
              </a:solidFill>
              <a:effectLst/>
              <a:latin typeface="+mn-lt"/>
              <a:ea typeface="+mn-ea"/>
              <a:cs typeface="+mn-cs"/>
            </a:rPr>
            <a:t>Cigarette Package Warnings</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Risk Factor Attributable Disability-Adjusted Life Years (DALY) for Policies/Interventions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We estimate risk factor attributable disability-adjusted life years (DALY) as follows:</a:t>
          </a:r>
        </a:p>
        <a:p>
          <a:pPr lvl="0"/>
          <a:endParaRPr lang="en-US" sz="1100" b="0" baseline="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t>Risk Factor Attributable Disability-Adjusted Life Years (DALY) </a:t>
          </a:r>
          <a:r>
            <a:rPr lang="en-US" sz="1100" b="0"/>
            <a:t>= Risk Factor Attributable YLL + Risk Factor Attributable YLD</a:t>
          </a:r>
          <a:endParaRPr lang="en-US" sz="1100" baseline="0">
            <a:solidFill>
              <a:schemeClr val="dk1"/>
            </a:solidFill>
            <a:effectLst/>
            <a:latin typeface="+mn-lt"/>
            <a:ea typeface="+mn-ea"/>
            <a:cs typeface="+mn-cs"/>
          </a:endParaRPr>
        </a:p>
        <a:p>
          <a:pPr lvl="1"/>
          <a:endParaRPr lang="en-US" sz="1100" baseline="0">
            <a:solidFill>
              <a:schemeClr val="dk1"/>
            </a:solidFill>
            <a:effectLst/>
            <a:latin typeface="+mn-lt"/>
            <a:ea typeface="+mn-ea"/>
            <a:cs typeface="+mn-cs"/>
          </a:endParaRPr>
        </a:p>
        <a:p>
          <a:pPr lvl="0"/>
          <a:r>
            <a:rPr lang="en-US" sz="1100" b="0" baseline="0">
              <a:solidFill>
                <a:schemeClr val="dk1"/>
              </a:solidFill>
              <a:effectLst/>
              <a:latin typeface="+mn-lt"/>
              <a:ea typeface="+mn-ea"/>
              <a:cs typeface="+mn-cs"/>
            </a:rPr>
            <a:t>The calculation is done for each disease, sex, and age group and then totaled across disease, sex, and age groups.</a:t>
          </a:r>
        </a:p>
        <a:p>
          <a:pPr lvl="0"/>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 estimated impacts of these four tobacco control policies/interventions (summarized in the Intervention Impacts worksheet) were forecasted for a 15-year period. We applied those estimated intervention impacts to our FCTC Investment Case Model. The FCTC Investment Case Model extends the Baseline Scenario (summarized above) out for the entire 15-year period of the simulation. Then we estimated the impact of each of the interventions, separately and combined, on risk factor attributable disability-adjusted life years (DALY). We started each of our 15-year scenarios with the number of risk factor attributable disability-adjusted life years (DALY) from the 2016 Global Burden of Disease Study (Model Year = 0). Then we adjusted the the starting number based on the relative change in smoking prevalence under each intervention scenario in the first year of the model. We continued this year-over-year adjustment for model years 2 through 15. </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Reductions in Risk Factor Attributable Years of Life Lost Due to Premature Mortality (YLL) for Policies/Interventions</a:t>
          </a:r>
        </a:p>
        <a:p>
          <a:pPr lvl="0"/>
          <a:r>
            <a:rPr lang="en-US" sz="1100" b="0" baseline="0">
              <a:solidFill>
                <a:schemeClr val="dk1"/>
              </a:solidFill>
              <a:effectLst/>
              <a:latin typeface="+mn-lt"/>
              <a:ea typeface="+mn-ea"/>
              <a:cs typeface="+mn-cs"/>
            </a:rPr>
            <a:t>For the marginal effects (reductions in risk factor attributable disability-adjusted life years), we compared the values for the intervention scenario to the values for the baseline scenario. </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Reductions in Risk Factor Attributable Disability-Adjusted Life Years (DALY) = DALY (Baseline Scenario) - DALY (Intervention Scenario)</a:t>
          </a:r>
        </a:p>
        <a:p>
          <a:pPr lvl="0"/>
          <a:endParaRPr lang="en-US" sz="1100" b="0"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Return on Investment (ROI) for Policies/Interventions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Using data on the estimated annual financial cost of each policy/intervention (summarized in the Intervention Costs worksheet), we calculated the Return on Investment (ROI) for each policy.</a:t>
          </a:r>
        </a:p>
        <a:p>
          <a:pPr lvl="0"/>
          <a:endParaRPr lang="en-US" sz="1100" b="0" baseline="0">
            <a:solidFill>
              <a:schemeClr val="dk1"/>
            </a:solidFill>
            <a:effectLst/>
            <a:latin typeface="+mn-lt"/>
            <a:ea typeface="+mn-ea"/>
            <a:cs typeface="+mn-cs"/>
          </a:endParaRPr>
        </a:p>
        <a:p>
          <a:pPr lvl="1"/>
          <a:r>
            <a:rPr lang="en-US" sz="1100" b="0" baseline="0">
              <a:solidFill>
                <a:schemeClr val="dk1"/>
              </a:solidFill>
              <a:effectLst/>
              <a:latin typeface="+mn-lt"/>
              <a:ea typeface="+mn-ea"/>
              <a:cs typeface="+mn-cs"/>
            </a:rPr>
            <a:t>Return on Investment (ROI) = Redctions in Risk Factor Attributable Disability-Adjusted Life Years (DALY) / Intervention Costs (in thousands)</a:t>
          </a:r>
        </a:p>
        <a:p>
          <a:endParaRPr lang="en-US" sz="1100" b="1" baseline="0">
            <a:solidFill>
              <a:schemeClr val="dk1"/>
            </a:solidFill>
            <a:effectLst/>
            <a:latin typeface="+mn-lt"/>
            <a:ea typeface="+mn-ea"/>
            <a:cs typeface="+mn-cs"/>
          </a:endParaRPr>
        </a:p>
      </xdr:txBody>
    </xdr:sp>
    <xdr:clientData/>
  </xdr:twoCellAnchor>
  <xdr:twoCellAnchor>
    <xdr:from>
      <xdr:col>1</xdr:col>
      <xdr:colOff>0</xdr:colOff>
      <xdr:row>158</xdr:row>
      <xdr:rowOff>0</xdr:rowOff>
    </xdr:from>
    <xdr:to>
      <xdr:col>7</xdr:col>
      <xdr:colOff>38100</xdr:colOff>
      <xdr:row>161</xdr:row>
      <xdr:rowOff>228600</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673100" y="33159700"/>
          <a:ext cx="14579600" cy="9525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Annual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annual number of risk factor attributable disability-adjusted life years (DALY) for the diseases included in the model for each of the risk factors for both the baseline scenario and each intervention scenario estimated by our model. The table also presents the marginal effects (reductions in risk factor attributable years of life lost) as well as the return on investment (ROI) for each.</a:t>
          </a:r>
        </a:p>
      </xdr:txBody>
    </xdr:sp>
    <xdr:clientData/>
  </xdr:twoCellAnchor>
  <xdr:twoCellAnchor>
    <xdr:from>
      <xdr:col>1</xdr:col>
      <xdr:colOff>0</xdr:colOff>
      <xdr:row>394</xdr:row>
      <xdr:rowOff>0</xdr:rowOff>
    </xdr:from>
    <xdr:to>
      <xdr:col>7</xdr:col>
      <xdr:colOff>38100</xdr:colOff>
      <xdr:row>397</xdr:row>
      <xdr:rowOff>241300</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673100" y="79387700"/>
          <a:ext cx="14579600" cy="10033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baseline="0">
              <a:solidFill>
                <a:schemeClr val="dk1"/>
              </a:solidFill>
              <a:effectLst/>
              <a:latin typeface="+mn-lt"/>
              <a:ea typeface="+mn-ea"/>
              <a:cs typeface="+mn-cs"/>
            </a:rPr>
            <a:t>Aggregate Model Results Summary Table</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table below presents the same information that is summarized in the annual model results table above totaled across Years 1-5, Years 6-15, and the entire 15-year period (Years 1-15).</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195383</xdr:rowOff>
    </xdr:from>
    <xdr:to>
      <xdr:col>8</xdr:col>
      <xdr:colOff>14110</xdr:colOff>
      <xdr:row>28</xdr:row>
      <xdr:rowOff>23091</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484909" y="657201"/>
          <a:ext cx="15057837" cy="493079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b="1">
              <a:solidFill>
                <a:schemeClr val="dk1"/>
              </a:solidFill>
              <a:effectLst/>
              <a:latin typeface="+mn-lt"/>
              <a:ea typeface="+mn-ea"/>
              <a:cs typeface="+mn-cs"/>
            </a:rPr>
            <a:t>Breakdown of Annual</a:t>
          </a:r>
          <a:r>
            <a:rPr lang="en-US" sz="1300" b="1" baseline="0">
              <a:solidFill>
                <a:schemeClr val="dk1"/>
              </a:solidFill>
              <a:effectLst/>
              <a:latin typeface="+mn-lt"/>
              <a:ea typeface="+mn-ea"/>
              <a:cs typeface="+mn-cs"/>
            </a:rPr>
            <a:t> Risk Factor Attributable Mortality and Morbidity Outcomes</a:t>
          </a:r>
        </a:p>
        <a:p>
          <a:pPr algn="l"/>
          <a:endParaRPr lang="en-US" sz="1300" b="1">
            <a:solidFill>
              <a:schemeClr val="dk1"/>
            </a:solidFill>
            <a:effectLst/>
            <a:latin typeface="+mn-lt"/>
            <a:ea typeface="+mn-ea"/>
            <a:cs typeface="+mn-cs"/>
          </a:endParaRPr>
        </a:p>
        <a:p>
          <a:pPr algn="l"/>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following worksheets in this Excel file contain the mortality and morbidity results from teh Georgia FCTC Investment Case analysis. </a:t>
          </a:r>
        </a:p>
        <a:p>
          <a:pPr algn="l"/>
          <a:endParaRPr lang="en-US" sz="1100" baseline="0">
            <a:solidFill>
              <a:schemeClr val="dk1"/>
            </a:solidFill>
            <a:effectLst/>
            <a:latin typeface="+mn-lt"/>
            <a:ea typeface="+mn-ea"/>
            <a:cs typeface="+mn-cs"/>
          </a:endParaRPr>
        </a:p>
        <a:p>
          <a:pPr lvl="1" algn="l"/>
          <a:r>
            <a:rPr lang="en-US" sz="1100" baseline="0">
              <a:solidFill>
                <a:schemeClr val="dk1"/>
              </a:solidFill>
              <a:effectLst/>
              <a:latin typeface="+mn-lt"/>
              <a:ea typeface="+mn-ea"/>
              <a:cs typeface="+mn-cs"/>
            </a:rPr>
            <a:t>- Mortality</a:t>
          </a:r>
        </a:p>
        <a:p>
          <a:pPr lvl="1" algn="l"/>
          <a:r>
            <a:rPr lang="en-US" sz="1100" baseline="0">
              <a:solidFill>
                <a:schemeClr val="dk1"/>
              </a:solidFill>
              <a:effectLst/>
              <a:latin typeface="+mn-lt"/>
              <a:ea typeface="+mn-ea"/>
              <a:cs typeface="+mn-cs"/>
            </a:rPr>
            <a:t>- Years of Life Lost</a:t>
          </a:r>
        </a:p>
        <a:p>
          <a:pPr lvl="1" algn="l"/>
          <a:r>
            <a:rPr lang="en-US" sz="1100" baseline="0">
              <a:solidFill>
                <a:schemeClr val="dk1"/>
              </a:solidFill>
              <a:effectLst/>
              <a:latin typeface="+mn-lt"/>
              <a:ea typeface="+mn-ea"/>
              <a:cs typeface="+mn-cs"/>
            </a:rPr>
            <a:t>- Years Lived with Disability</a:t>
          </a:r>
        </a:p>
        <a:p>
          <a:pPr lvl="1" algn="l"/>
          <a:r>
            <a:rPr lang="en-US" sz="1100" baseline="0">
              <a:solidFill>
                <a:schemeClr val="dk1"/>
              </a:solidFill>
              <a:effectLst/>
              <a:latin typeface="+mn-lt"/>
              <a:ea typeface="+mn-ea"/>
              <a:cs typeface="+mn-cs"/>
            </a:rPr>
            <a:t>- Disability-Adjusted Life Years</a:t>
          </a:r>
        </a:p>
        <a:p>
          <a:pPr lvl="1" algn="l"/>
          <a:endParaRPr lang="en-US" sz="1100" baseline="0">
            <a:solidFill>
              <a:schemeClr val="dk1"/>
            </a:solidFill>
            <a:effectLst/>
            <a:latin typeface="+mn-lt"/>
            <a:ea typeface="+mn-ea"/>
            <a:cs typeface="+mn-cs"/>
          </a:endParaRPr>
        </a:p>
        <a:p>
          <a:pPr lvl="0" algn="l"/>
          <a:r>
            <a:rPr lang="en-US" sz="1100" baseline="0">
              <a:solidFill>
                <a:schemeClr val="dk1"/>
              </a:solidFill>
              <a:effectLst/>
              <a:latin typeface="+mn-lt"/>
              <a:ea typeface="+mn-ea"/>
              <a:cs typeface="+mn-cs"/>
            </a:rPr>
            <a:t>Those worksheets present aggregate totals across all diseases, both sexes, and age groups included in the FCTC Investment Case analysis. Totals are presented separated for each risk factor and intervention analyzed. </a:t>
          </a:r>
        </a:p>
        <a:p>
          <a:pPr lvl="0" algn="l"/>
          <a:r>
            <a:rPr lang="en-US" sz="1100" baseline="0">
              <a:solidFill>
                <a:schemeClr val="dk1"/>
              </a:solidFill>
              <a:effectLst/>
              <a:latin typeface="+mn-lt"/>
              <a:ea typeface="+mn-ea"/>
              <a:cs typeface="+mn-cs"/>
            </a:rPr>
            <a:t>For specific information about measures, data sources, and methods, please refer to the relevant worksheets included in this Excel file.</a:t>
          </a:r>
        </a:p>
        <a:p>
          <a:pPr lvl="0" algn="l"/>
          <a:endParaRPr lang="en-US" sz="1100" baseline="0">
            <a:solidFill>
              <a:schemeClr val="dk1"/>
            </a:solidFill>
            <a:effectLst/>
            <a:latin typeface="+mn-lt"/>
            <a:ea typeface="+mn-ea"/>
            <a:cs typeface="+mn-cs"/>
          </a:endParaRPr>
        </a:p>
        <a:p>
          <a:pPr lvl="0" algn="l"/>
          <a:r>
            <a:rPr lang="en-US" sz="1100" baseline="0">
              <a:solidFill>
                <a:schemeClr val="dk1"/>
              </a:solidFill>
              <a:effectLst/>
              <a:latin typeface="+mn-lt"/>
              <a:ea typeface="+mn-ea"/>
              <a:cs typeface="+mn-cs"/>
            </a:rPr>
            <a:t>This worksheet presents a breakdown of annual tobacco-related mortality and morbidity outcomes by disease, sex, and age group for the base model using data for the most recent year available. Data summarized in this worksheet are based on data from the 2016 Global Burden of Disease Study (2016 GBD). Annual tobacco-related mortality and morbidity outcomes are broken down by:</a:t>
          </a:r>
        </a:p>
        <a:p>
          <a:pPr lvl="0" algn="l"/>
          <a:endParaRPr lang="en-US" sz="1100" baseline="0">
            <a:solidFill>
              <a:schemeClr val="dk1"/>
            </a:solidFill>
            <a:effectLst/>
            <a:latin typeface="+mn-lt"/>
            <a:ea typeface="+mn-ea"/>
            <a:cs typeface="+mn-cs"/>
          </a:endParaRPr>
        </a:p>
        <a:p>
          <a:pPr lvl="1" algn="l"/>
          <a:r>
            <a:rPr lang="en-US" sz="1100" baseline="0">
              <a:solidFill>
                <a:schemeClr val="dk1"/>
              </a:solidFill>
              <a:effectLst/>
              <a:latin typeface="+mn-lt"/>
              <a:ea typeface="+mn-ea"/>
              <a:cs typeface="+mn-cs"/>
            </a:rPr>
            <a:t>- Disease</a:t>
          </a:r>
        </a:p>
        <a:p>
          <a:pPr lvl="1" algn="l"/>
          <a:r>
            <a:rPr lang="en-US" sz="1100" baseline="0">
              <a:solidFill>
                <a:schemeClr val="dk1"/>
              </a:solidFill>
              <a:effectLst/>
              <a:latin typeface="+mn-lt"/>
              <a:ea typeface="+mn-ea"/>
              <a:cs typeface="+mn-cs"/>
            </a:rPr>
            <a:t>- Sex</a:t>
          </a:r>
        </a:p>
        <a:p>
          <a:pPr lvl="1" algn="l"/>
          <a:r>
            <a:rPr lang="en-US" sz="1100" baseline="0">
              <a:solidFill>
                <a:schemeClr val="dk1"/>
              </a:solidFill>
              <a:effectLst/>
              <a:latin typeface="+mn-lt"/>
              <a:ea typeface="+mn-ea"/>
              <a:cs typeface="+mn-cs"/>
            </a:rPr>
            <a:t>- Age Group</a:t>
          </a:r>
        </a:p>
        <a:p>
          <a:pPr lvl="1" algn="l"/>
          <a:endParaRPr lang="en-US" sz="1100" baseline="0">
            <a:solidFill>
              <a:schemeClr val="dk1"/>
            </a:solidFill>
            <a:effectLst/>
            <a:latin typeface="+mn-lt"/>
            <a:ea typeface="+mn-ea"/>
            <a:cs typeface="+mn-cs"/>
          </a:endParaRPr>
        </a:p>
        <a:p>
          <a:pPr lvl="0" algn="l"/>
          <a:r>
            <a:rPr lang="en-US" sz="1100" baseline="0">
              <a:solidFill>
                <a:schemeClr val="dk1"/>
              </a:solidFill>
              <a:effectLst/>
              <a:latin typeface="+mn-lt"/>
              <a:ea typeface="+mn-ea"/>
              <a:cs typeface="+mn-cs"/>
            </a:rPr>
            <a:t>Tobacco-related mortality and morbidity measures summarized in this worksheet include:</a:t>
          </a:r>
        </a:p>
        <a:p>
          <a:pPr lvl="0" algn="l"/>
          <a:endParaRPr lang="en-US" sz="1100" baseline="0">
            <a:solidFill>
              <a:schemeClr val="dk1"/>
            </a:solidFill>
            <a:effectLst/>
            <a:latin typeface="+mn-lt"/>
            <a:ea typeface="+mn-ea"/>
            <a:cs typeface="+mn-cs"/>
          </a:endParaRPr>
        </a:p>
        <a:p>
          <a:pPr lvl="1" algn="l"/>
          <a:r>
            <a:rPr lang="en-US" sz="1100" baseline="0">
              <a:solidFill>
                <a:schemeClr val="dk1"/>
              </a:solidFill>
              <a:effectLst/>
              <a:latin typeface="+mn-lt"/>
              <a:ea typeface="+mn-ea"/>
              <a:cs typeface="+mn-cs"/>
            </a:rPr>
            <a:t>- Risk Factor Attributable Deaths</a:t>
          </a:r>
        </a:p>
        <a:p>
          <a:pPr lvl="1" algn="l"/>
          <a:r>
            <a:rPr lang="en-US" sz="1100" baseline="0">
              <a:solidFill>
                <a:schemeClr val="dk1"/>
              </a:solidFill>
              <a:effectLst/>
              <a:latin typeface="+mn-lt"/>
              <a:ea typeface="+mn-ea"/>
              <a:cs typeface="+mn-cs"/>
            </a:rPr>
            <a:t>- Risk Factor Attributable Years of Life Lost Due to Premature Mortality (YLL)</a:t>
          </a:r>
        </a:p>
        <a:p>
          <a:pPr lvl="1" algn="l"/>
          <a:r>
            <a:rPr lang="en-US" sz="1100" baseline="0">
              <a:solidFill>
                <a:schemeClr val="dk1"/>
              </a:solidFill>
              <a:effectLst/>
              <a:latin typeface="+mn-lt"/>
              <a:ea typeface="+mn-ea"/>
              <a:cs typeface="+mn-cs"/>
            </a:rPr>
            <a:t>- Risk Factor Attributable Years Lived with a Disability (YLD)</a:t>
          </a:r>
        </a:p>
        <a:p>
          <a:pPr lvl="1" algn="l"/>
          <a:r>
            <a:rPr lang="en-US" sz="1100" baseline="0">
              <a:solidFill>
                <a:schemeClr val="dk1"/>
              </a:solidFill>
              <a:effectLst/>
              <a:latin typeface="+mn-lt"/>
              <a:ea typeface="+mn-ea"/>
              <a:cs typeface="+mn-cs"/>
            </a:rPr>
            <a:t>- Risk Factor Attributable Disability-Adjusted Life Years (DALY)</a:t>
          </a:r>
        </a:p>
        <a:p>
          <a:pPr lvl="1" algn="l"/>
          <a:endParaRPr lang="en-US" sz="1100" baseline="0">
            <a:solidFill>
              <a:schemeClr val="dk1"/>
            </a:solidFill>
            <a:effectLst/>
            <a:latin typeface="+mn-lt"/>
            <a:ea typeface="+mn-ea"/>
            <a:cs typeface="+mn-cs"/>
          </a:endParaRPr>
        </a:p>
        <a:p>
          <a:pPr lvl="0" algn="l"/>
          <a:r>
            <a:rPr lang="en-US" sz="1100" baseline="0">
              <a:solidFill>
                <a:schemeClr val="dk1"/>
              </a:solidFill>
              <a:effectLst/>
              <a:latin typeface="+mn-lt"/>
              <a:ea typeface="+mn-ea"/>
              <a:cs typeface="+mn-cs"/>
            </a:rPr>
            <a:t>All measures are presented as both a number and a percent.</a:t>
          </a:r>
          <a:endParaRPr lang="en-US" sz="1100">
            <a:solidFill>
              <a:sysClr val="windowText" lastClr="000000"/>
            </a:solidFill>
            <a:effectLst/>
            <a:latin typeface="+mn-lt"/>
            <a:ea typeface="+mn-ea"/>
            <a:cs typeface="+mn-cs"/>
          </a:endParaRPr>
        </a:p>
      </xdr:txBody>
    </xdr:sp>
    <xdr:clientData/>
  </xdr:twoCellAnchor>
</xdr:wsDr>
</file>

<file path=xl/tables/table1.xml><?xml version="1.0" encoding="utf-8"?>
<table xmlns="http://schemas.openxmlformats.org/spreadsheetml/2006/main" id="4" name="Table15" displayName="Table15" ref="B27:G29" totalsRowShown="0" headerRowDxfId="1698" dataDxfId="1697">
  <autoFilter ref="B27:G29"/>
  <tableColumns count="6">
    <tableColumn id="2" name="Years" dataDxfId="1696"/>
    <tableColumn id="1" name="Relative Change in Smoking Prevalence: All Four Interventions Combined" dataDxfId="1695" dataCellStyle="Normal 5">
      <calculatedColumnFormula>SUM(D28:G28)*$C$23</calculatedColumnFormula>
    </tableColumn>
    <tableColumn id="3" name="Relative Change in Smoking Prevalence:_x000a_Increase Taxes" dataDxfId="1694" dataCellStyle="Percent"/>
    <tableColumn id="4" name="Relative Change in Smoking Prevalence:_x000a_Smoke-Free Air Laws" dataDxfId="1693" dataCellStyle="Percent"/>
    <tableColumn id="5" name="Relative Change in Smoking Prevalence:_x000a_Enforce Marketing Restrictions" dataDxfId="1692" dataCellStyle="Percent"/>
    <tableColumn id="6" name="Relative Change in Smoking Prevalence:_x000a_Cigarette Package Warnings" dataDxfId="1691" dataCellStyle="Percent"/>
  </tableColumns>
  <tableStyleInfo name="TableStyleMedium9" showFirstColumn="0" showLastColumn="0" showRowStripes="1" showColumnStripes="0"/>
</table>
</file>

<file path=xl/tables/table10.xml><?xml version="1.0" encoding="utf-8"?>
<table xmlns="http://schemas.openxmlformats.org/spreadsheetml/2006/main" id="52" name="Table505253" displayName="Table505253" ref="B174:Q179" totalsRowShown="0" headerRowDxfId="1571" dataDxfId="1570" headerRowCellStyle="Normal 2" dataCellStyle="Normal 2">
  <autoFilter ref="B174:Q179"/>
  <tableColumns count="16">
    <tableColumn id="1" name="Intervention" dataCellStyle="Normal 2"/>
    <tableColumn id="3" name="Total Healthcare Costs:_x000a_Baseline Scenario_x000a_After 15 Years" dataDxfId="1569" dataCellStyle="Normal 2"/>
    <tableColumn id="4" name="Smoking-Attributable Total Healthcare Costs:_x000a_Baseline Scenario_x000a_After 15 Years" dataDxfId="1568" dataCellStyle="Normal 2"/>
    <tableColumn id="12" name="Smoking-Attributable Total Healthcare Costs: Lower Bound_x000a_Baseline Scenario_x000a_After 15 Years" dataDxfId="1567" dataCellStyle="Normal 2"/>
    <tableColumn id="11" name="Smoking-Attributable Total Healthcare Costs: Upper Bound_x000a_Baseline Scenario_x000a_After 15 Years" dataDxfId="1566" dataCellStyle="Normal 2"/>
    <tableColumn id="10" name="Relative Reduction in Smoking Prevalence:_x000a_After 15 Years" dataDxfId="1565" dataCellStyle="Normal 2"/>
    <tableColumn id="5" name="Smoking-Attributable Total Healthcare Costs:_x000a_Intervention Scenario_x000a_After 15 Years" dataDxfId="1564" dataCellStyle="Normal 2"/>
    <tableColumn id="14" name="Smoking-Attributable Total Healthcare Costs: Lower Bound_x000a_Intervention Scenario_x000a_After 15 Years" dataDxfId="1563" dataCellStyle="Normal 2"/>
    <tableColumn id="13" name="Smoking-Attributable Total Healthcare Costs: Upper Bound_x000a_Intervention Scenario_x000a_After 15 Years" dataDxfId="1562" dataCellStyle="Normal 2"/>
    <tableColumn id="6" name="Savings in Smoking-Attributable Total Healthcare Costs:_x000a_(Baseline Scenario - Intervention Scenario)_x000a_After 15 Years" dataDxfId="1561" dataCellStyle="Normal 2"/>
    <tableColumn id="16" name="Savings in Smoking-Attributable Total Healthcare Costs: Lower Bound_x000a_(Baseline Scenario - Intervention Scenario)_x000a_After 15 Years" dataDxfId="1560" dataCellStyle="Normal 2"/>
    <tableColumn id="15" name="Savings in Smoking-Attributable Total Healthcare Costs: Upper Bound_x000a_(Baseline Scenario - Intervention Scenario)_x000a_After 15 Years" dataDxfId="1559" dataCellStyle="Normal 2"/>
    <tableColumn id="7" name="Intervention/Policy Costs (Financial)" dataDxfId="1558" dataCellStyle="Normal 2"/>
    <tableColumn id="8" name="Return on Investment (ROI)" dataDxfId="1557" dataCellStyle="Normal 2">
      <calculatedColumnFormula>Table505253[[#This Row],[Savings in Smoking-Attributable Total Healthcare Costs:
(Baseline Scenario - Intervention Scenario)
After 15 Years]]/Table505253[[#This Row],[Intervention/Policy Costs (Financial)]]</calculatedColumnFormula>
    </tableColumn>
    <tableColumn id="17" name="Return on Investment (ROI): Lower Bound" dataDxfId="1556" dataCellStyle="Normal 2">
      <calculatedColumnFormula>Table505253[[#This Row],[Savings in Smoking-Attributable Total Healthcare Costs: Lower Bound
(Baseline Scenario - Intervention Scenario)
After 15 Years]]/Table505253[[#This Row],[Intervention/Policy Costs (Financial)]]</calculatedColumnFormula>
    </tableColumn>
    <tableColumn id="18" name="Return on Investment (ROI): Upper Bound" dataDxfId="1555" dataCellStyle="Normal 2">
      <calculatedColumnFormula>Table505253[[#This Row],[Savings in Smoking-Attributable Total Healthcare Costs: Upper Bound
(Baseline Scenario - Intervention Scenario)
After 15 Years]]/Table505253[[#This Row],[Intervention/Policy Costs (Financial)]]</calculatedColumnFormula>
    </tableColumn>
  </tableColumns>
  <tableStyleInfo name="TableStyleMedium16" showFirstColumn="0" showLastColumn="0" showRowStripes="1" showColumnStripes="0"/>
</table>
</file>

<file path=xl/tables/table11.xml><?xml version="1.0" encoding="utf-8"?>
<table xmlns="http://schemas.openxmlformats.org/spreadsheetml/2006/main" id="53" name="Table5054" displayName="Table5054" ref="B184:Q189" totalsRowShown="0" headerRowDxfId="1554" dataDxfId="1553" headerRowCellStyle="Normal 2" dataCellStyle="Normal 2">
  <autoFilter ref="B184:Q189"/>
  <tableColumns count="16">
    <tableColumn id="1" name="Intervention" dataCellStyle="Normal 2"/>
    <tableColumn id="3" name="Government Healthcare Costs:_x000a_Baseline Scenario_x000a_First 5 Years" dataDxfId="1552" dataCellStyle="Normal 2"/>
    <tableColumn id="4" name="Smoking-Attributable Government Healthcare Costs:_x000a_Baseline Scenario_x000a_First 5 Years" dataDxfId="1551" dataCellStyle="Normal 2"/>
    <tableColumn id="12" name="Smoking-Attributable Government Healthcare Costs: Lower Bound_x000a_Baseline Scenario_x000a_First 5 Years" dataDxfId="1550" dataCellStyle="Normal 2"/>
    <tableColumn id="11" name="Smoking-Attributable Government Healthcare Costs: Upper Bound_x000a_Baseline Scenario_x000a_First 5 Years" dataDxfId="1549" dataCellStyle="Normal 2"/>
    <tableColumn id="9" name="Relative Reduction in Smoking Prevalence:_x000a_First 5 Years" dataDxfId="1548" dataCellStyle="Normal 2"/>
    <tableColumn id="5" name="Smoking-Attributable Government Healthcare Costs:_x000a_Intervention Scenario_x000a_First 5 Years" dataDxfId="1547" dataCellStyle="Normal 2"/>
    <tableColumn id="14" name="Smoking-Attributable Government Healthcare Costs: Lower Bound_x000a_Intervention Scenario_x000a_First 5 Years" dataDxfId="1546" dataCellStyle="Normal 2"/>
    <tableColumn id="13" name="Smoking-Attributable Government Healthcare Costs: Upper Bound_x000a_Intervention Scenario_x000a_First 5 Years" dataDxfId="1545" dataCellStyle="Normal 2"/>
    <tableColumn id="6" name="Savings in Smoking-Attributable Government Healthcare Costs:_x000a_(Baseline Scenario - Intervention Scenario)_x000a_First 5 Years" dataDxfId="1544" dataCellStyle="Normal 2"/>
    <tableColumn id="16" name="Savings in Smoking-Attributable Government Healthcare Costs: Lower Bound_x000a_(Baseline Scenario - Intervention Scenario)_x000a_First 5 Years" dataDxfId="1543" dataCellStyle="Normal 2"/>
    <tableColumn id="15" name="Savings in Smoking-Attributable Government Healthcare Costs: Upper Bound_x000a_(Baseline Scenario - Intervention Scenario)_x000a_First 5 Years" dataDxfId="1542" dataCellStyle="Normal 2"/>
    <tableColumn id="7" name="Intervention/Policy Costs (Financial)" dataDxfId="1541" dataCellStyle="Normal 2"/>
    <tableColumn id="8" name="Return on Investment (ROI)" dataDxfId="1540" dataCellStyle="Normal 2">
      <calculatedColumnFormula>Table5054[[#This Row],[Savings in Smoking-Attributable Government Healthcare Costs:
(Baseline Scenario - Intervention Scenario)
First 5 Years]]/Table5054[[#This Row],[Intervention/Policy Costs (Financial)]]</calculatedColumnFormula>
    </tableColumn>
    <tableColumn id="17" name="Return on Investment (ROI): Lower Bound" dataDxfId="1539" dataCellStyle="Normal 2">
      <calculatedColumnFormula>Table5054[[#This Row],[Savings in Smoking-Attributable Government Healthcare Costs: Lower Bound
(Baseline Scenario - Intervention Scenario)
First 5 Years]]/Table5054[[#This Row],[Intervention/Policy Costs (Financial)]]</calculatedColumnFormula>
    </tableColumn>
    <tableColumn id="18" name="Return on Investment (ROI): Upper Bound" dataDxfId="1538" dataCellStyle="Normal 2">
      <calculatedColumnFormula>Table5054[[#This Row],[Savings in Smoking-Attributable Government Healthcare Costs: Upper Bound
(Baseline Scenario - Intervention Scenario)
First 5 Years]]/Table5054[[#This Row],[Intervention/Policy Costs (Financial)]]</calculatedColumnFormula>
    </tableColumn>
  </tableColumns>
  <tableStyleInfo name="TableStyleMedium16" showFirstColumn="0" showLastColumn="0" showRowStripes="1" showColumnStripes="0"/>
</table>
</file>

<file path=xl/tables/table12.xml><?xml version="1.0" encoding="utf-8"?>
<table xmlns="http://schemas.openxmlformats.org/spreadsheetml/2006/main" id="54" name="Table505255" displayName="Table505255" ref="B194:Q199" totalsRowShown="0" headerRowDxfId="1537" dataDxfId="1536" headerRowCellStyle="Normal 2" dataCellStyle="Normal 2">
  <autoFilter ref="B194:Q199"/>
  <tableColumns count="16">
    <tableColumn id="1" name="Intervention" dataCellStyle="Normal 2"/>
    <tableColumn id="3" name="Government Healthcare Costs:_x000a_Baseline Scenario_x000a_Years 6-15" dataDxfId="1535" dataCellStyle="Normal 2"/>
    <tableColumn id="4" name="Smoking-Attributable Government Healthcare Costs:_x000a_Baseline Scenario_x000a_Years 6-15" dataDxfId="1534" dataCellStyle="Normal 2"/>
    <tableColumn id="12" name="Smoking-Attributable Government Healthcare Costs: Lower Bound_x000a_Baseline Scenario_x000a_Years 6-15" dataDxfId="1533" dataCellStyle="Normal 2"/>
    <tableColumn id="11" name="Smoking-Attributable Government Healthcare Costs: Upper Bound_x000a_Baseline Scenario_x000a_Years 6-15" dataDxfId="1532" dataCellStyle="Normal 2"/>
    <tableColumn id="9" name="Relative Reduction in Smoking Prevalence:_x000a_Years 6-15" dataDxfId="1531" dataCellStyle="Normal 2"/>
    <tableColumn id="5" name="Smoking-Attributable Government Healthcare Costs:_x000a_Intervention Scenario_x000a_Years 6-15" dataDxfId="1530" dataCellStyle="Normal 2"/>
    <tableColumn id="14" name="Smoking-Attributable Government Healthcare Costs: Lower Bound_x000a_Intervention Scenario_x000a_Years 6-15" dataDxfId="1529" dataCellStyle="Normal 2"/>
    <tableColumn id="13" name="Smoking-Attributable Government Healthcare Costs: Upper Bound_x000a_Intervention Scenario_x000a_Years 6-15" dataDxfId="1528" dataCellStyle="Normal 2"/>
    <tableColumn id="6" name="Savings in Smoking-Attributable Government Healthcare Costs:_x000a_(Baseline Scenario - Intervention Scenario)_x000a_Years 6-15" dataDxfId="1527" dataCellStyle="Normal 2"/>
    <tableColumn id="16" name="Savings in Smoking-Attributable Government Healthcare Costs: Lower Bound_x000a_(Baseline Scenario - Intervention Scenario)_x000a_Years 6-15" dataDxfId="1526" dataCellStyle="Normal 2"/>
    <tableColumn id="15" name="Savings in Smoking-Attributable Government Healthcare Costs: Upper Bound_x000a_(Baseline Scenario - Intervention Scenario)_x000a_Years 6-15" dataDxfId="1525" dataCellStyle="Normal 2"/>
    <tableColumn id="7" name="Intervention/Policy Costs (Financial)" dataDxfId="1524" dataCellStyle="Normal 2"/>
    <tableColumn id="8" name="Return on Investment (ROI)" dataDxfId="1523" dataCellStyle="Normal 2">
      <calculatedColumnFormula>Table505255[[#This Row],[Savings in Smoking-Attributable Government Healthcare Costs:
(Baseline Scenario - Intervention Scenario)
Years 6-15]]/Table505255[[#This Row],[Intervention/Policy Costs (Financial)]]</calculatedColumnFormula>
    </tableColumn>
    <tableColumn id="17" name="Return on Investment (ROI): Lower Bound" dataDxfId="1522" dataCellStyle="Normal 2">
      <calculatedColumnFormula>Table505255[[#This Row],[Savings in Smoking-Attributable Government Healthcare Costs: Lower Bound
(Baseline Scenario - Intervention Scenario)
Years 6-15]]/Table505255[[#This Row],[Intervention/Policy Costs (Financial)]]</calculatedColumnFormula>
    </tableColumn>
    <tableColumn id="18" name="Return on Investment (ROI): Upper Bound" dataDxfId="1521" dataCellStyle="Normal 2">
      <calculatedColumnFormula>Table505255[[#This Row],[Savings in Smoking-Attributable Government Healthcare Costs: Upper Bound
(Baseline Scenario - Intervention Scenario)
Years 6-15]]/Table505255[[#This Row],[Intervention/Policy Costs (Financial)]]</calculatedColumnFormula>
    </tableColumn>
  </tableColumns>
  <tableStyleInfo name="TableStyleMedium16" showFirstColumn="0" showLastColumn="0" showRowStripes="1" showColumnStripes="0"/>
</table>
</file>

<file path=xl/tables/table13.xml><?xml version="1.0" encoding="utf-8"?>
<table xmlns="http://schemas.openxmlformats.org/spreadsheetml/2006/main" id="55" name="Table50525356" displayName="Table50525356" ref="B204:Q209" totalsRowShown="0" headerRowDxfId="1520" dataDxfId="1519" headerRowCellStyle="Normal 2" dataCellStyle="Normal 2">
  <autoFilter ref="B204:Q209"/>
  <tableColumns count="16">
    <tableColumn id="1" name="Intervention" dataCellStyle="Normal 2"/>
    <tableColumn id="3" name="Government Healthcare Costs:_x000a_Baseline Scenario_x000a_After 15 Years" dataDxfId="1518" dataCellStyle="Normal 2"/>
    <tableColumn id="4" name="Smoking-Attributable Government Healthcare Costs:_x000a_Baseline Scenario_x000a_After 15 Years" dataDxfId="1517" dataCellStyle="Normal 2"/>
    <tableColumn id="12" name="Smoking-Attributable Government Healthcare Costs: Lower Bound_x000a_Baseline Scenario_x000a_After 15 Years" dataDxfId="1516" dataCellStyle="Normal 2"/>
    <tableColumn id="11" name="Smoking-Attributable Government Healthcare Costs: Upper Bound_x000a_Baseline Scenario_x000a_After 15 Years" dataDxfId="1515" dataCellStyle="Normal 2"/>
    <tableColumn id="9" name="Relative Reduction in Smoking Prevalence:_x000a_After 15 Years" dataDxfId="1514" dataCellStyle="Normal 2"/>
    <tableColumn id="5" name="Smoking-Attributable Government Healthcare Costs:_x000a_Intervention Scenario_x000a_After 15 Years" dataDxfId="1513" dataCellStyle="Normal 2"/>
    <tableColumn id="14" name="Smoking-Attributable Government Healthcare Costs: Lower Bound_x000a_Intervention Scenario_x000a_After 15 Years" dataDxfId="1512" dataCellStyle="Normal 2"/>
    <tableColumn id="13" name="Smoking-Attributable Government Healthcare Costs: Upper Bound_x000a_Intervention Scenario_x000a_After 15 Years" dataDxfId="1511" dataCellStyle="Normal 2"/>
    <tableColumn id="6" name="Savings in Smoking-Attributable Government Healthcare Costs:_x000a_(Baseline Scenario - Intervention Scenario)_x000a_After 15 Years" dataDxfId="1510" dataCellStyle="Normal 2"/>
    <tableColumn id="16" name="Savings in Smoking-Attributable Government Healthcare Costs: Lower Bound_x000a_(Baseline Scenario - Intervention Scenario)_x000a_After 15 Years" dataDxfId="1509" dataCellStyle="Normal 2"/>
    <tableColumn id="15" name="Savings in Smoking-Attributable Government Healthcare Costs: Upper Bound_x000a_(Baseline Scenario - Intervention Scenario)_x000a_After 15 Years" dataDxfId="1508" dataCellStyle="Normal 2"/>
    <tableColumn id="7" name="Intervention/Policy Costs (Financial)" dataDxfId="1507" dataCellStyle="Normal 2"/>
    <tableColumn id="8" name="Return on Investment (ROI)" dataDxfId="1506" dataCellStyle="Normal 2">
      <calculatedColumnFormula>Table50525356[[#This Row],[Savings in Smoking-Attributable Government Healthcare Costs:
(Baseline Scenario - Intervention Scenario)
After 15 Years]]/Table50525356[[#This Row],[Intervention/Policy Costs (Financial)]]</calculatedColumnFormula>
    </tableColumn>
    <tableColumn id="17" name="Return on Investment (ROI): Lower Bound" dataDxfId="1505" dataCellStyle="Normal 2">
      <calculatedColumnFormula>Table50525356[[#This Row],[Savings in Smoking-Attributable Government Healthcare Costs: Lower Bound
(Baseline Scenario - Intervention Scenario)
After 15 Years]]/Table50525356[[#This Row],[Intervention/Policy Costs (Financial)]]</calculatedColumnFormula>
    </tableColumn>
    <tableColumn id="18" name="Return on Investment (ROI): Upper Bound" dataDxfId="1504" dataCellStyle="Normal 2">
      <calculatedColumnFormula>Table50525356[[#This Row],[Savings in Smoking-Attributable Government Healthcare Costs: Upper Bound
(Baseline Scenario - Intervention Scenario)
After 15 Years]]/Table50525356[[#This Row],[Intervention/Policy Costs (Financial)]]</calculatedColumnFormula>
    </tableColumn>
  </tableColumns>
  <tableStyleInfo name="TableStyleMedium16" showFirstColumn="0" showLastColumn="0" showRowStripes="1" showColumnStripes="0"/>
</table>
</file>

<file path=xl/tables/table14.xml><?xml version="1.0" encoding="utf-8"?>
<table xmlns="http://schemas.openxmlformats.org/spreadsheetml/2006/main" id="59" name="Table505460" displayName="Table505460" ref="B214:Q219" totalsRowShown="0" headerRowDxfId="1503" dataDxfId="1502" headerRowCellStyle="Normal 2" dataCellStyle="Normal 2">
  <autoFilter ref="B214:Q219"/>
  <tableColumns count="16">
    <tableColumn id="1" name="Intervention" dataCellStyle="Normal 2"/>
    <tableColumn id="3" name="Private (Out-of-Pocket) Healthcare Costs:_x000a_Baseline Scenario_x000a_First 5 Years" dataDxfId="1501" dataCellStyle="Normal 2"/>
    <tableColumn id="4" name="Smoking-Attributable Private (Out-of-Pocket) Healthcare Costs:_x000a_Baseline Scenario_x000a_First 5 Years" dataDxfId="1500" dataCellStyle="Normal 2"/>
    <tableColumn id="12" name="Smoking-Attributable Private (Out-of-Pocket) Healthcare Costs: Lower Bound_x000a_Baseline Scenario_x000a_First 5 Years" dataDxfId="1499" dataCellStyle="Normal 2"/>
    <tableColumn id="11" name="Smoking-Attributable Private (Out-of-Pocket) Healthcare Costs: Upper Bound_x000a_Baseline Scenario_x000a_First 5 Years" dataDxfId="1498" dataCellStyle="Normal 2"/>
    <tableColumn id="9" name="Relative Reduction in Smoking Prevalence:_x000a_First 5 Years" dataDxfId="1497" dataCellStyle="Normal 2"/>
    <tableColumn id="5" name="Smoking-Attributable Private (Out-of-Pocket) Healthcare Costs:_x000a_Intervention Scenario_x000a_First 5 Years" dataDxfId="1496" dataCellStyle="Normal 2"/>
    <tableColumn id="14" name="Smoking-Attributable Private (Out-of-Pocket) Healthcare Costs: Lower Bound_x000a_Intervention Scenario_x000a_First 5 Years" dataDxfId="1495" dataCellStyle="Normal 2"/>
    <tableColumn id="13" name="Smoking-Attributable Private (Out-of-Pocket) Healthcare Costs: Upper Bound_x000a_Intervention Scenario_x000a_First 5 Years" dataDxfId="1494" dataCellStyle="Normal 2"/>
    <tableColumn id="6" name="Savings in Smoking-Attributable Private (Out-of-Pocket) Healthcare Costs:_x000a_(Baseline Scenario - Intervention Scenario)_x000a_First 5 Years" dataDxfId="1493" dataCellStyle="Normal 2"/>
    <tableColumn id="16" name="Savings in Smoking-Attributable Private (Out-of-Pocket) Healthcare Costs: Lower Bound_x000a_(Baseline Scenario - Intervention Scenario)_x000a_First 5 Years" dataDxfId="1492" dataCellStyle="Normal 2"/>
    <tableColumn id="15" name="Savings in Smoking-Attributable Private (Out-of-Pocket) Healthcare Costs: Upper Bound_x000a_(Baseline Scenario - Intervention Scenario)_x000a_First 5 Years" dataDxfId="1491" dataCellStyle="Normal 2"/>
    <tableColumn id="7" name="Intervention/Policy Costs (Financial)" dataDxfId="1490" dataCellStyle="Normal 2"/>
    <tableColumn id="8" name="Return on Investment (ROI)" dataDxfId="1489" dataCellStyle="Normal 2">
      <calculatedColumnFormula>Table505460[[#This Row],[Savings in Smoking-Attributable Private (Out-of-Pocket) Healthcare Costs:
(Baseline Scenario - Intervention Scenario)
First 5 Years]]/Table505460[[#This Row],[Intervention/Policy Costs (Financial)]]</calculatedColumnFormula>
    </tableColumn>
    <tableColumn id="17" name="Return on Investment (ROI): Lower Bound" dataDxfId="1488" dataCellStyle="Normal 2">
      <calculatedColumnFormula>Table505460[[#This Row],[Savings in Smoking-Attributable Private (Out-of-Pocket) Healthcare Costs: Lower Bound
(Baseline Scenario - Intervention Scenario)
First 5 Years]]/Table505460[[#This Row],[Intervention/Policy Costs (Financial)]]</calculatedColumnFormula>
    </tableColumn>
    <tableColumn id="18" name="Return on Investment (ROI): Upper Bound" dataDxfId="1487" dataCellStyle="Normal 2">
      <calculatedColumnFormula>Table505460[[#This Row],[Savings in Smoking-Attributable Private (Out-of-Pocket) Healthcare Costs: Upper Bound
(Baseline Scenario - Intervention Scenario)
First 5 Years]]/Table505460[[#This Row],[Intervention/Policy Costs (Financial)]]</calculatedColumnFormula>
    </tableColumn>
  </tableColumns>
  <tableStyleInfo name="TableStyleMedium16" showFirstColumn="0" showLastColumn="0" showRowStripes="1" showColumnStripes="0"/>
</table>
</file>

<file path=xl/tables/table15.xml><?xml version="1.0" encoding="utf-8"?>
<table xmlns="http://schemas.openxmlformats.org/spreadsheetml/2006/main" id="60" name="Table50525561" displayName="Table50525561" ref="B224:Q229" totalsRowShown="0" headerRowDxfId="1486" dataDxfId="1485" headerRowCellStyle="Normal 2" dataCellStyle="Normal 2">
  <autoFilter ref="B224:Q229"/>
  <tableColumns count="16">
    <tableColumn id="1" name="Intervention" dataCellStyle="Normal 2"/>
    <tableColumn id="3" name="Private (Out-of-Pocket) Healthcare Costs:_x000a_Baseline Scenario_x000a_Years 6-15" dataDxfId="1484" dataCellStyle="Normal 2"/>
    <tableColumn id="4" name="Smoking-Attributable Private (Out-of-Pocket) Healthcare Costs:_x000a_Baseline Scenario_x000a_Years 6-15" dataDxfId="1483" dataCellStyle="Normal 2"/>
    <tableColumn id="12" name="Smoking-Attributable Private (Out-of-Pocket) Healthcare Costs: Lower Bound_x000a_Baseline Scenario_x000a_Years 6-15" dataDxfId="1482" dataCellStyle="Normal 2"/>
    <tableColumn id="11" name="Smoking-Attributable Private (Out-of-Pocket) Healthcare Costs: Upper Bound_x000a_Baseline Scenario_x000a_Years 6-15" dataDxfId="1481" dataCellStyle="Normal 2"/>
    <tableColumn id="9" name="Relative Reduction in Smoking Prevalence:_x000a_Years 6-15" dataDxfId="1480" dataCellStyle="Normal 2"/>
    <tableColumn id="5" name="Smoking-Attributable Private (Out-of-Pocket) Healthcare Costs:_x000a_Intervention Scenario_x000a_Years 6-15" dataDxfId="1479" dataCellStyle="Normal 2"/>
    <tableColumn id="14" name="Smoking-Attributable Private (Out-of-Pocket) Healthcare Costs: Lower Bound_x000a_Intervention Scenario_x000a_Years 6-15" dataDxfId="1478" dataCellStyle="Normal 2"/>
    <tableColumn id="13" name="Smoking-Attributable Private (Out-of-Pocket) Healthcare Costs: Upper Bound_x000a_Intervention Scenario_x000a_Years 6-15" dataDxfId="1477" dataCellStyle="Normal 2"/>
    <tableColumn id="6" name="Savings in Smoking-Attributable Private (Out-of-Pocket) Healthcare Costs:_x000a_(Baseline Scenario - Intervention Scenario)_x000a_Years 6-15" dataDxfId="1476" dataCellStyle="Normal 2"/>
    <tableColumn id="16" name="Savings in Smoking-Attributable Private (Out-of-Pocket) Healthcare Costs: Lower Bound_x000a_(Baseline Scenario - Intervention Scenario)_x000a_Years 6-15" dataDxfId="1475" dataCellStyle="Normal 2"/>
    <tableColumn id="15" name="Savings in Smoking-Attributable Private (Out-of-Pocket) Healthcare Costs: Upper Bound_x000a_(Baseline Scenario - Intervention Scenario)_x000a_Years 6-15" dataDxfId="1474" dataCellStyle="Normal 2"/>
    <tableColumn id="7" name="Intervention/Policy Costs (Financial)" dataDxfId="1473" dataCellStyle="Normal 2"/>
    <tableColumn id="8" name="Return on Investment (ROI)" dataDxfId="1472" dataCellStyle="Normal 2">
      <calculatedColumnFormula>Table50525561[[#This Row],[Savings in Smoking-Attributable Private (Out-of-Pocket) Healthcare Costs:
(Baseline Scenario - Intervention Scenario)
Years 6-15]]/Table50525561[[#This Row],[Intervention/Policy Costs (Financial)]]</calculatedColumnFormula>
    </tableColumn>
    <tableColumn id="17" name="Return on Investment (ROI): Lower Bound" dataDxfId="1471" dataCellStyle="Normal 2">
      <calculatedColumnFormula>Table50525561[[#This Row],[Savings in Smoking-Attributable Private (Out-of-Pocket) Healthcare Costs: Lower Bound
(Baseline Scenario - Intervention Scenario)
Years 6-15]]/Table50525561[[#This Row],[Intervention/Policy Costs (Financial)]]</calculatedColumnFormula>
    </tableColumn>
    <tableColumn id="18" name="Return on Investment (ROI): Upper Bound" dataDxfId="1470" dataCellStyle="Normal 2">
      <calculatedColumnFormula>Table50525561[[#This Row],[Savings in Smoking-Attributable Private (Out-of-Pocket) Healthcare Costs: Upper Bound
(Baseline Scenario - Intervention Scenario)
Years 6-15]]/Table50525561[[#This Row],[Intervention/Policy Costs (Financial)]]</calculatedColumnFormula>
    </tableColumn>
  </tableColumns>
  <tableStyleInfo name="TableStyleMedium16" showFirstColumn="0" showLastColumn="0" showRowStripes="1" showColumnStripes="0"/>
</table>
</file>

<file path=xl/tables/table16.xml><?xml version="1.0" encoding="utf-8"?>
<table xmlns="http://schemas.openxmlformats.org/spreadsheetml/2006/main" id="61" name="Table5052535662" displayName="Table5052535662" ref="B234:Q239" totalsRowShown="0" headerRowDxfId="1469" dataDxfId="1468" headerRowCellStyle="Normal 2" dataCellStyle="Normal 2">
  <autoFilter ref="B234:Q239"/>
  <tableColumns count="16">
    <tableColumn id="1" name="Intervention" dataCellStyle="Normal 2"/>
    <tableColumn id="3" name="Private (Out-of-Pocket) Healthcare Costs:_x000a_Baseline Scenario_x000a_After 15 Years" dataDxfId="1467" dataCellStyle="Normal 2"/>
    <tableColumn id="4" name="Smoking-Attributable Private (Out-of-Pocket) Healthcare Costs:_x000a_Baseline Scenario_x000a_After 15 Years" dataDxfId="1466" dataCellStyle="Normal 2"/>
    <tableColumn id="12" name="Smoking-Attributable Private (Out-of-Pocket) Healthcare Costs: Lower Bound_x000a_Baseline Scenario_x000a_After 15 Years" dataDxfId="1465" dataCellStyle="Normal 2"/>
    <tableColumn id="11" name="Smoking-Attributable Private (Out-of-Pocket) Healthcare Costs: Upper Bound_x000a_Baseline Scenario_x000a_After 15 Years" dataDxfId="1464" dataCellStyle="Normal 2"/>
    <tableColumn id="9" name="Relative Reduction in Smoking Prevalence:_x000a_After 15 Years" dataDxfId="1463" dataCellStyle="Normal 2"/>
    <tableColumn id="5" name="Smoking-Attributable Private (Out-of-Pocket) Healthcare Costs:_x000a_Intervention Scenario_x000a_After 15 Years" dataDxfId="1462" dataCellStyle="Normal 2"/>
    <tableColumn id="14" name="Smoking-Attributable Private (Out-of-Pocket) Healthcare Costs: Lower Bound_x000a_Intervention Scenario_x000a_After 15 Years" dataDxfId="1461" dataCellStyle="Normal 2"/>
    <tableColumn id="13" name="Smoking-Attributable Private (Out-of-Pocket) Healthcare Costs: Upper Bound_x000a_Intervention Scenario_x000a_After 15 Years" dataDxfId="1460" dataCellStyle="Normal 2"/>
    <tableColumn id="6" name="Savings in Smoking-Attributable Private (Out-of-Pocket) Healthcare Costs:_x000a_(Baseline Scenario - Intervention Scenario)_x000a_After 15 Years" dataDxfId="1459" dataCellStyle="Normal 2"/>
    <tableColumn id="16" name="Savings in Smoking-Attributable Private (Out-of-Pocket) Healthcare Costs: Lower Bound_x000a_(Baseline Scenario - Intervention Scenario)_x000a_After 15 Years" dataDxfId="1458" dataCellStyle="Normal 2"/>
    <tableColumn id="15" name="Savings in Smoking-Attributable Private (Out-of-Pocket) Healthcare Costs: Upper Bound_x000a_(Baseline Scenario - Intervention Scenario)_x000a_After 15 Years" dataDxfId="1457" dataCellStyle="Normal 2"/>
    <tableColumn id="7" name="Intervention/Policy Costs (Financial)" dataDxfId="1456" dataCellStyle="Normal 2"/>
    <tableColumn id="8" name="Return on Investment (ROI)" dataDxfId="1455" dataCellStyle="Normal 2">
      <calculatedColumnFormula>Table5052535662[[#This Row],[Savings in Smoking-Attributable Private (Out-of-Pocket) Healthcare Costs:
(Baseline Scenario - Intervention Scenario)
After 15 Years]]/Table5052535662[[#This Row],[Intervention/Policy Costs (Financial)]]</calculatedColumnFormula>
    </tableColumn>
    <tableColumn id="17" name="Return on Investment (ROI): Lower Bound" dataDxfId="1454" dataCellStyle="Normal 2">
      <calculatedColumnFormula>Table5052535662[[#This Row],[Savings in Smoking-Attributable Private (Out-of-Pocket) Healthcare Costs: Lower Bound
(Baseline Scenario - Intervention Scenario)
After 15 Years]]/Table5052535662[[#This Row],[Intervention/Policy Costs (Financial)]]</calculatedColumnFormula>
    </tableColumn>
    <tableColumn id="18" name="Return on Investment (ROI): Upper Bound" dataDxfId="1453" dataCellStyle="Normal 2">
      <calculatedColumnFormula>Table5052535662[[#This Row],[Savings in Smoking-Attributable Private (Out-of-Pocket) Healthcare Costs: Upper Bound
(Baseline Scenario - Intervention Scenario)
After 15 Years]]/Table5052535662[[#This Row],[Intervention/Policy Costs (Financial)]]</calculatedColumnFormula>
    </tableColumn>
  </tableColumns>
  <tableStyleInfo name="TableStyleMedium16" showFirstColumn="0" showLastColumn="0" showRowStripes="1" showColumnStripes="0"/>
</table>
</file>

<file path=xl/tables/table17.xml><?xml version="1.0" encoding="utf-8"?>
<table xmlns="http://schemas.openxmlformats.org/spreadsheetml/2006/main" id="1" name="Table15364345462" displayName="Table15364345462" ref="B57:AW73" totalsRowShown="0" headerRowDxfId="1452" dataDxfId="1451">
  <autoFilter ref="B57:AW73"/>
  <tableColumns count="48">
    <tableColumn id="2" name="Year_x000a_Number" dataDxfId="1450"/>
    <tableColumn id="8" name="Total Healthcare Expenditures_x000a_(All Categories):_x000a_Base Scenario" dataDxfId="1449" dataCellStyle="Normal 5">
      <calculatedColumnFormula>$D$22</calculatedColumnFormula>
    </tableColumn>
    <tableColumn id="7" name="Total Government Healthcare Expenditures_x000a_(including national insurance):_x000a_Base Scenario" dataDxfId="1448" dataCellStyle="Normal 5">
      <calculatedColumnFormula>$D$23</calculatedColumnFormula>
    </tableColumn>
    <tableColumn id="1" name="Total Private (Out-of-Pocket) Healthcare Expenditures:_x000a_Base Scenario" dataDxfId="1447" dataCellStyle="Normal 5">
      <calculatedColumnFormula>$D$24</calculatedColumnFormula>
    </tableColumn>
    <tableColumn id="9" name="Total Other Health Expenditures:_x000a_Base Scenario" dataDxfId="1446" dataCellStyle="Normal 5">
      <calculatedColumnFormula>$D$25</calculatedColumnFormula>
    </tableColumn>
    <tableColumn id="31" name="Smoking-Attributable Fraction (SAF) of Healthcare Expenditures_x000a_Base Scenario" dataDxfId="1445" dataCellStyle="Normal 5">
      <calculatedColumnFormula>$C$16</calculatedColumnFormula>
    </tableColumn>
    <tableColumn id="17" name="Smoking-Attributable Fraction (SAF) of Healthcare Expenditures: Lower Bound_x000a_Base Scenario" dataDxfId="1444" dataCellStyle="Normal 5">
      <calculatedColumnFormula>$C$17</calculatedColumnFormula>
    </tableColumn>
    <tableColumn id="13" name="Smoking-Attributable Fraction (SAF) of Healthcare Expenditures: Upper Bound_x000a_Base Scenario" dataDxfId="1443" dataCellStyle="Normal 5">
      <calculatedColumnFormula>$C$18</calculatedColumnFormula>
    </tableColumn>
    <tableColumn id="26" name="Smoking-Attributable Total Healthcare Expenditures:_x000a_Base Scenario" dataDxfId="1442" dataCellStyle="Percent 2">
      <calculatedColumnFormula>Table15364345462[[#This Row],[Total Healthcare Expenditures
(All Categories):
Base Scenario]]*Table15364345462[[#This Row],[Smoking-Attributable Fraction (SAF) of Healthcare Expenditures
Base Scenario]]</calculatedColumnFormula>
    </tableColumn>
    <tableColumn id="32" name="Smoking-Attributable Total Healthcare Expenditures: Lower Bound_x000a_Base Scenario" dataDxfId="1441" dataCellStyle="Percent 2">
      <calculatedColumnFormula>Table15364345462[[#This Row],[Total Healthcare Expenditures
(All Categories):
Base Scenario]]*Table15364345462[[#This Row],[Smoking-Attributable Fraction (SAF) of Healthcare Expenditures: Lower Bound
Base Scenario]]</calculatedColumnFormula>
    </tableColumn>
    <tableColumn id="14" name="Smoking-Attributable Total Healthcare Expenditures: Upper Bound_x000a_Base Scenario" dataDxfId="1440" dataCellStyle="Percent 2">
      <calculatedColumnFormula>Table15364345462[[#This Row],[Total Healthcare Expenditures
(All Categories):
Base Scenario]]*Table15364345462[[#This Row],[Smoking-Attributable Fraction (SAF) of Healthcare Expenditures: Upper Bound
Base Scenario]]</calculatedColumnFormula>
    </tableColumn>
    <tableColumn id="25" name="Smoking-Attributable Government Healthcare Expenditures_x000a_(including national insurance):_x000a_Base Scenario" dataDxfId="1439" dataCellStyle="Percent 2">
      <calculatedColumnFormula>Table15364345462[[#This Row],[Total Government Healthcare Expenditures
(including national insurance):
Base Scenario]]*Table15364345462[[#This Row],[Smoking-Attributable Fraction (SAF) of Healthcare Expenditures
Base Scenario]]</calculatedColumnFormula>
    </tableColumn>
    <tableColumn id="33" name="Smoking-Attributable Government Healthcare Expenditures_x000a_(including national insurance): Lower Bound_x000a_Base Scenario" dataDxfId="1438" dataCellStyle="Percent 2">
      <calculatedColumnFormula>Table15364345462[[#This Row],[Total Government Healthcare Expenditures
(including national insurance):
Base Scenario]]*Table15364345462[[#This Row],[Smoking-Attributable Fraction (SAF) of Healthcare Expenditures: Lower Bound
Base Scenario]]</calculatedColumnFormula>
    </tableColumn>
    <tableColumn id="15" name="Smoking-Attributable Government Healthcare Expenditures_x000a_(including national insurance): Upper Bound_x000a_Base Scenario" dataDxfId="1437" dataCellStyle="Percent 2">
      <calculatedColumnFormula>Table15364345462[[#This Row],[Total Government Healthcare Expenditures
(including national insurance):
Base Scenario]]*Table15364345462[[#This Row],[Smoking-Attributable Fraction (SAF) of Healthcare Expenditures: Upper Bound
Base Scenario]]</calculatedColumnFormula>
    </tableColumn>
    <tableColumn id="23" name="Smoking-Attributable Private Healthcare Expenditures:_x000a_Base Scenario" dataDxfId="1436" dataCellStyle="Percent 2">
      <calculatedColumnFormula>Table15364345462[[#This Row],[Total Private (Out-of-Pocket) Healthcare Expenditures:
Base Scenario]]*Table15364345462[[#This Row],[Smoking-Attributable Fraction (SAF) of Healthcare Expenditures
Base Scenario]]</calculatedColumnFormula>
    </tableColumn>
    <tableColumn id="34" name="Smoking-Attributable Private Healthcare Expenditures: Lower Bound_x000a_Base Scenario" dataDxfId="1435" dataCellStyle="Percent 2">
      <calculatedColumnFormula>Table15364345462[[#This Row],[Total Private (Out-of-Pocket) Healthcare Expenditures:
Base Scenario]]*Table15364345462[[#This Row],[Smoking-Attributable Fraction (SAF) of Healthcare Expenditures: Lower Bound
Base Scenario]]</calculatedColumnFormula>
    </tableColumn>
    <tableColumn id="16" name="Smoking-Attributable Private Healthcare Expenditures: Upper Bound_x000a_Base Scenario" dataDxfId="1434" dataCellStyle="Percent 2">
      <calculatedColumnFormula>Table15364345462[[#This Row],[Total Private (Out-of-Pocket) Healthcare Expenditures:
Base Scenario]]*Table15364345462[[#This Row],[Smoking-Attributable Fraction (SAF) of Healthcare Expenditures: Upper Bound
Base Scenario]]</calculatedColumnFormula>
    </tableColumn>
    <tableColumn id="22" name="Smoking-Attributable Other Health Expenditures:_x000a_Base Scenario" dataDxfId="1433" dataCellStyle="Percent 2">
      <calculatedColumnFormula>Table15364345462[[#This Row],[Total Other Health Expenditures:
Base Scenario]]*Table15364345462[[#This Row],[Smoking-Attributable Fraction (SAF) of Healthcare Expenditures
Base Scenario]]</calculatedColumnFormula>
    </tableColumn>
    <tableColumn id="36" name="Smoking-Attributable Other Health Expenditures: Lower Bound_x000a_Base Scenario" dataDxfId="1432" dataCellStyle="Percent 2">
      <calculatedColumnFormula>Table15364345462[[#This Row],[Total Other Health Expenditures:
Base Scenario]]*Table15364345462[[#This Row],[Smoking-Attributable Fraction (SAF) of Healthcare Expenditures: Lower Bound
Base Scenario]]</calculatedColumnFormula>
    </tableColumn>
    <tableColumn id="35" name="Smoking-Attributable Other Health Expenditures: Upper Bound_x000a_Base Scenario" dataDxfId="1431" dataCellStyle="Percent 2">
      <calculatedColumnFormula>Table15364345462[[#This Row],[Total Other Health Expenditures:
Base Scenario]]*Table15364345462[[#This Row],[Smoking-Attributable Fraction (SAF) of Healthcare Expenditures: Upper Bound
Base Scenario]]</calculatedColumnFormula>
    </tableColumn>
    <tableColumn id="10" name="Relative Change in Smoking Prevalence:_x000a_Increase Cigarette Taxes" dataDxfId="1430" dataCellStyle="Normal 5">
      <calculatedColumnFormula>SUM(Table15364345462[[#This Row],[Smoking-Attributable Fraction (SAF) of Healthcare Expenditures:
Adjusted for Intervention Impacts]:[Smoking-Attributable Private Healthcare Expenditures:
Intervention Scenario]])</calculatedColumnFormula>
    </tableColumn>
    <tableColumn id="3" name="Smoking-Attributable Fraction (SAF) of Healthcare Expenditures:_x000a_Adjusted for Intervention Impacts" dataDxfId="1429" dataCellStyle="Percent"/>
    <tableColumn id="37" name="Smoking-Attributable Fraction (SAF) of Healthcare Expenditures: Lower Bound_x000a_Adjusted for Intervention Impacts" dataDxfId="1428" dataCellStyle="Percent 2">
      <calculatedColumnFormula>$C$17</calculatedColumnFormula>
    </tableColumn>
    <tableColumn id="27" name="Smoking-Attributable Fraction (SAF) of Healthcare Expenditures: Upper Bound_x000a_Adjusted for Intervention Impacts" dataDxfId="1427" dataCellStyle="Percent 2">
      <calculatedColumnFormula>$C$18</calculatedColumnFormula>
    </tableColumn>
    <tableColumn id="4" name="Smoking-Attributable Total Healthcare Expenditures:_x000a_Intervention Scenario" dataDxfId="1426" dataCellStyle="Percent">
      <calculatedColumnFormula>Table15364345462[[#This Row],[Total Healthcare Expenditures
(All Categories):
Base Scenario]]*Table15364345462[[#This Row],[Smoking-Attributable Fraction (SAF) of Healthcare Expenditures:
Adjusted for Intervention Impacts]]</calculatedColumnFormula>
    </tableColumn>
    <tableColumn id="38" name="Smoking-Attributable Total Healthcare Expenditures: Lower Bound_x000a_Intervention Scenario" dataDxfId="1425" dataCellStyle="Percent 2">
      <calculatedColumnFormula>Table15364345462[[#This Row],[Total Healthcare Expenditures
(All Categories):
Base Scenario]]*Table15364345462[[#This Row],[Smoking-Attributable Fraction (SAF) of Healthcare Expenditures: Lower Bound
Adjusted for Intervention Impacts]]</calculatedColumnFormula>
    </tableColumn>
    <tableColumn id="28" name="Smoking-Attributable Total Healthcare Expenditures: Upper Bound_x000a_Intervention Scenario" dataDxfId="1424" dataCellStyle="Percent 2">
      <calculatedColumnFormula>Table15364345462[[#This Row],[Total Healthcare Expenditures
(All Categories):
Base Scenario]]*Table15364345462[[#This Row],[Smoking-Attributable Fraction (SAF) of Healthcare Expenditures: Upper Bound
Adjusted for Intervention Impacts]]</calculatedColumnFormula>
    </tableColumn>
    <tableColumn id="5" name="Smoking-Attributable Government Healthcare Expenditures_x000a_(including national insurance):_x000a_Intervention Scenario" dataDxfId="1423" dataCellStyle="Percent">
      <calculatedColumnFormula>Table15364345462[[#This Row],[Total Government Healthcare Expenditures
(including national insurance):
Base Scenario]]*Table15364345462[[#This Row],[Smoking-Attributable Fraction (SAF) of Healthcare Expenditures:
Adjusted for Intervention Impacts]]</calculatedColumnFormula>
    </tableColumn>
    <tableColumn id="39" name="Smoking-Attributable Government Healthcare Expenditures_x000a_(including national insurance): Lower Bound_x000a_Intervention Scenario" dataDxfId="1422" dataCellStyle="Percent 2">
      <calculatedColumnFormula>Table15364345462[[#This Row],[Total Government Healthcare Expenditures
(including national insurance):
Base Scenario]]*Table15364345462[[#This Row],[Smoking-Attributable Fraction (SAF) of Healthcare Expenditures: Lower Bound
Adjusted for Intervention Impacts]]</calculatedColumnFormula>
    </tableColumn>
    <tableColumn id="29" name="Smoking-Attributable Government Healthcare Expenditures_x000a_(including national insurance): Upper Bound_x000a_Intervention Scenario" dataDxfId="1421" dataCellStyle="Percent 2">
      <calculatedColumnFormula>Table15364345462[[#This Row],[Total Government Healthcare Expenditures
(including national insurance):
Base Scenario]]*Table15364345462[[#This Row],[Smoking-Attributable Fraction (SAF) of Healthcare Expenditures: Upper Bound
Adjusted for Intervention Impacts]]</calculatedColumnFormula>
    </tableColumn>
    <tableColumn id="6" name="Smoking-Attributable Private Healthcare Expenditures:_x000a_Intervention Scenario" dataDxfId="1420" dataCellStyle="Percent">
      <calculatedColumnFormula>Table15364345462[[#This Row],[Total Private (Out-of-Pocket) Healthcare Expenditures:
Base Scenario]]*Table15364345462[[#This Row],[Smoking-Attributable Fraction (SAF) of Healthcare Expenditures:
Adjusted for Intervention Impacts]]</calculatedColumnFormula>
    </tableColumn>
    <tableColumn id="40" name="Smoking-Attributable Private Healthcare Expenditures: Lower Bound_x000a_Intervention Scenario" dataDxfId="1419" dataCellStyle="Percent 2">
      <calculatedColumnFormula>Table15364345462[[#This Row],[Total Private (Out-of-Pocket) Healthcare Expenditures:
Base Scenario]]*Table15364345462[[#This Row],[Smoking-Attributable Fraction (SAF) of Healthcare Expenditures: Lower Bound
Adjusted for Intervention Impacts]]</calculatedColumnFormula>
    </tableColumn>
    <tableColumn id="30" name="Smoking-Attributable Private Healthcare Expenditures: Upper Bound_x000a_Intervention Scenario" dataDxfId="1418" dataCellStyle="Percent 2">
      <calculatedColumnFormula>Table15364345462[[#This Row],[Total Private (Out-of-Pocket) Healthcare Expenditures:
Base Scenario]]*Table15364345462[[#This Row],[Smoking-Attributable Fraction (SAF) of Healthcare Expenditures: Upper Bound
Adjusted for Intervention Impacts]]</calculatedColumnFormula>
    </tableColumn>
    <tableColumn id="12" name="Smoking-Attributable Other Health Expenditures:_x000a_Intervention Scenario" dataDxfId="1417" dataCellStyle="Percent">
      <calculatedColumnFormula>Table15364345462[[#This Row],[Total Other Health Expenditures:
Base Scenario]]*Table15364345462[[#This Row],[Smoking-Attributable Fraction (SAF) of Healthcare Expenditures:
Adjusted for Intervention Impacts]]</calculatedColumnFormula>
    </tableColumn>
    <tableColumn id="42" name="Smoking-Attributable Other Health Expenditures: Lower Bound_x000a_Intervention Scenario" dataDxfId="1416" dataCellStyle="Percent">
      <calculatedColumnFormula>Table15364345462[[#This Row],[Total Other Health Expenditures:
Base Scenario]]*Table15364345462[[#This Row],[Smoking-Attributable Fraction (SAF) of Healthcare Expenditures: Lower Bound
Adjusted for Intervention Impacts]]</calculatedColumnFormula>
    </tableColumn>
    <tableColumn id="41" name="Smoking-Attributable Other Health Expenditures: Upper Bound_x000a_Intervention Scenario" dataDxfId="1415" dataCellStyle="Percent">
      <calculatedColumnFormula>Table15364345462[[#This Row],[Total Other Health Expenditures:
Base Scenario]]*Table15364345462[[#This Row],[Smoking-Attributable Fraction (SAF) of Healthcare Expenditures: Upper Bound
Adjusted for Intervention Impacts]]</calculatedColumnFormula>
    </tableColumn>
    <tableColumn id="18" name="Savings in Smoking-Attributable Total Healthcare Expenditures:_x000a_Intervention Scenario" dataDxfId="1414" dataCellStyle="Percent">
      <calculatedColumnFormula>Table15364345462[[#This Row],[Smoking-Attributable Total Healthcare Expenditures:
Base Scenario]]-Table15364345462[[#This Row],[Smoking-Attributable Total Healthcare Expenditures:
Intervention Scenario]]</calculatedColumnFormula>
    </tableColumn>
    <tableColumn id="44" name="Savings in Smoking-Attributable Total Healthcare Expenditures: Lower Bound_x000a_Intervention Scenario" dataDxfId="1413" dataCellStyle="Percent">
      <calculatedColumnFormula>Table15364345462[[#This Row],[Smoking-Attributable Total Healthcare Expenditures: Lower Bound
Base Scenario]]-Table15364345462[[#This Row],[Smoking-Attributable Total Healthcare Expenditures: Lower Bound
Intervention Scenario]]</calculatedColumnFormula>
    </tableColumn>
    <tableColumn id="43" name="Savings in Smoking-Attributable Total Healthcare Expenditures: Upper Bound_x000a_Intervention Scenario" dataDxfId="1412" dataCellStyle="Percent">
      <calculatedColumnFormula>Table15364345462[[#This Row],[Smoking-Attributable Total Healthcare Expenditures: Upper Bound
Base Scenario]]-Table15364345462[[#This Row],[Smoking-Attributable Total Healthcare Expenditures: Upper Bound
Intervention Scenario]]</calculatedColumnFormula>
    </tableColumn>
    <tableColumn id="19" name="Savings in Smoking-Attributable Government Healthcare Expenditures_x000a_(including national insurance):_x000a_Intervention Scenario" dataDxfId="1411" dataCellStyle="Percent">
      <calculatedColumnFormula>Table15364345462[[#This Row],[Smoking-Attributable Government Healthcare Expenditures
(including national insurance):
Base Scenario]]-Table15364345462[[#This Row],[Smoking-Attributable Government Healthcare Expenditures
(including national insurance):
Intervention Scenario]]</calculatedColumnFormula>
    </tableColumn>
    <tableColumn id="46" name="Savings in Smoking-Attributable Government Healthcare Expenditures_x000a_(including national insurance): Lower Bound_x000a_Intervention Scenario" dataDxfId="1410" dataCellStyle="Percent">
      <calculatedColumnFormula>Table15364345462[[#This Row],[Smoking-Attributable Government Healthcare Expenditures
(including national insurance): Lower Bound
Base Scenario]]-Table15364345462[[#This Row],[Smoking-Attributable Government Healthcare Expenditures
(including national insurance): Lower Bound
Intervention Scenario]]</calculatedColumnFormula>
    </tableColumn>
    <tableColumn id="45" name="Savings in Smoking-Attributable Government Healthcare Expenditures_x000a_(including national insurance): Upper Bound_x000a_Intervention Scenario" dataDxfId="1409" dataCellStyle="Percent">
      <calculatedColumnFormula>Table15364345462[[#This Row],[Smoking-Attributable Government Healthcare Expenditures
(including national insurance): Upper Bound
Base Scenario]]-Table15364345462[[#This Row],[Smoking-Attributable Government Healthcare Expenditures
(including national insurance): Upper Bound
Intervention Scenario]]</calculatedColumnFormula>
    </tableColumn>
    <tableColumn id="20" name="Savings in Smoking-Attributable Private Healthcare Expenditures:_x000a_Intervention Scenario" dataDxfId="1408" dataCellStyle="Percent">
      <calculatedColumnFormula>Table15364345462[[#This Row],[Smoking-Attributable Private Healthcare Expenditures:
Base Scenario]]-Table15364345462[[#This Row],[Smoking-Attributable Private Healthcare Expenditures:
Intervention Scenario]]</calculatedColumnFormula>
    </tableColumn>
    <tableColumn id="48" name="Savings in Smoking-Attributable Private Healthcare Expenditures: Lower Bound_x000a_Intervention Scenario" dataDxfId="1407" dataCellStyle="Percent">
      <calculatedColumnFormula>Table15364345462[[#This Row],[Smoking-Attributable Private Healthcare Expenditures: Lower Bound
Base Scenario]]-Table15364345462[[#This Row],[Smoking-Attributable Private Healthcare Expenditures: Lower Bound
Intervention Scenario]]</calculatedColumnFormula>
    </tableColumn>
    <tableColumn id="47" name="Savings in Smoking-Attributable Private Healthcare Expenditures: Upper Bound_x000a_Intervention Scenario" dataDxfId="1406" dataCellStyle="Percent">
      <calculatedColumnFormula>Table15364345462[[#This Row],[Smoking-Attributable Private Healthcare Expenditures: Upper Bound
Base Scenario]]-Table15364345462[[#This Row],[Smoking-Attributable Private Healthcare Expenditures: Upper Bound
Intervention Scenario]]</calculatedColumnFormula>
    </tableColumn>
    <tableColumn id="21" name="Savings in Smoking-Attributable Other Health Expenditures:_x000a_Intervention Scenario" dataDxfId="1405" dataCellStyle="Percent">
      <calculatedColumnFormula>Table15364345462[[#This Row],[Smoking-Attributable Other Health Expenditures:
Base Scenario]]-Table15364345462[[#This Row],[Smoking-Attributable Other Health Expenditures:
Intervention Scenario]]</calculatedColumnFormula>
    </tableColumn>
    <tableColumn id="49" name="Savings in Smoking-Attributable Other Health Expenditures: Lower Bound_x000a_Intervention Scenario" dataDxfId="1404" dataCellStyle="Percent">
      <calculatedColumnFormula>Table15364345462[[#This Row],[Smoking-Attributable Other Health Expenditures: Lower Bound
Base Scenario]]-Table15364345462[[#This Row],[Smoking-Attributable Other Health Expenditures: Lower Bound
Intervention Scenario]]</calculatedColumnFormula>
    </tableColumn>
    <tableColumn id="50" name="Savings in Smoking-Attributable Other Health Expenditures: Upper Bound_x000a_Intervention Scenario" dataDxfId="1403" dataCellStyle="Percent">
      <calculatedColumnFormula>Table15364345462[[#This Row],[Smoking-Attributable Other Health Expenditures: Upper Bound
Base Scenario]]-Table15364345462[[#This Row],[Smoking-Attributable Other Health Expenditures: Upper Bound
Intervention Scenario]]</calculatedColumnFormula>
    </tableColumn>
  </tableColumns>
  <tableStyleInfo name="TableStyleMedium9" showFirstColumn="0" showLastColumn="0" showRowStripes="1" showColumnStripes="0"/>
</table>
</file>

<file path=xl/tables/table18.xml><?xml version="1.0" encoding="utf-8"?>
<table xmlns="http://schemas.openxmlformats.org/spreadsheetml/2006/main" id="3" name="Table15364345464" displayName="Table15364345464" ref="B81:AW97" totalsRowShown="0" headerRowDxfId="1402" dataDxfId="1401">
  <autoFilter ref="B81:AW97"/>
  <tableColumns count="48">
    <tableColumn id="2" name="Year_x000a_Number" dataDxfId="1400"/>
    <tableColumn id="8" name="Total Healthcare Expenditures_x000a_(All Categories):_x000a_Base Scenario" dataDxfId="1399" dataCellStyle="Normal 5">
      <calculatedColumnFormula>$D$22</calculatedColumnFormula>
    </tableColumn>
    <tableColumn id="7" name="Total Government Healthcare Expenditures_x000a_(including national insurance):_x000a_Base Scenario" dataDxfId="1398" dataCellStyle="Normal 5">
      <calculatedColumnFormula>$D$23</calculatedColumnFormula>
    </tableColumn>
    <tableColumn id="1" name="Total Private (Out-of-Pocket) Healthcare Expenditures:_x000a_Base Scenario" dataDxfId="1397" dataCellStyle="Normal 5">
      <calculatedColumnFormula>$D$24</calculatedColumnFormula>
    </tableColumn>
    <tableColumn id="9" name="Total Other Health Expenditures:_x000a_Base Scenario" dataDxfId="1396" dataCellStyle="Normal 5">
      <calculatedColumnFormula>$D$25</calculatedColumnFormula>
    </tableColumn>
    <tableColumn id="31" name="Smoking-Attributable Fraction (SAF) of Healthcare Expenditures_x000a_Base Scenario" dataDxfId="1395" dataCellStyle="Normal 5">
      <calculatedColumnFormula>$C$16</calculatedColumnFormula>
    </tableColumn>
    <tableColumn id="17" name="Smoking-Attributable Fraction (SAF) of Healthcare Expenditures: Lower Bound_x000a_Base Scenario" dataDxfId="1394" dataCellStyle="Normal 5">
      <calculatedColumnFormula>$C$17</calculatedColumnFormula>
    </tableColumn>
    <tableColumn id="13" name="Smoking-Attributable Fraction (SAF) of Healthcare Expenditures: Upper Bound_x000a_Base Scenario" dataDxfId="1393" dataCellStyle="Normal 5">
      <calculatedColumnFormula>$C$18</calculatedColumnFormula>
    </tableColumn>
    <tableColumn id="26" name="Smoking-Attributable Total Healthcare Expenditures:_x000a_Base Scenario" dataDxfId="1392" dataCellStyle="Percent 2">
      <calculatedColumnFormula>Table15364345464[[#This Row],[Total Healthcare Expenditures
(All Categories):
Base Scenario]]*Table15364345464[[#This Row],[Smoking-Attributable Fraction (SAF) of Healthcare Expenditures
Base Scenario]]</calculatedColumnFormula>
    </tableColumn>
    <tableColumn id="32" name="Smoking-Attributable Total Healthcare Expenditures: Lower Bound_x000a_Base Scenario" dataDxfId="1391" dataCellStyle="Percent 2">
      <calculatedColumnFormula>Table15364345464[[#This Row],[Total Healthcare Expenditures
(All Categories):
Base Scenario]]*Table15364345464[[#This Row],[Smoking-Attributable Fraction (SAF) of Healthcare Expenditures: Lower Bound
Base Scenario]]</calculatedColumnFormula>
    </tableColumn>
    <tableColumn id="14" name="Smoking-Attributable Total Healthcare Expenditures: Upper Bound_x000a_Base Scenario" dataDxfId="1390" dataCellStyle="Percent 2">
      <calculatedColumnFormula>Table15364345464[[#This Row],[Total Healthcare Expenditures
(All Categories):
Base Scenario]]*Table15364345464[[#This Row],[Smoking-Attributable Fraction (SAF) of Healthcare Expenditures: Upper Bound
Base Scenario]]</calculatedColumnFormula>
    </tableColumn>
    <tableColumn id="25" name="Smoking-Attributable Government Healthcare Expenditures_x000a_(including national insurance):_x000a_Base Scenario" dataDxfId="1389" dataCellStyle="Percent 2">
      <calculatedColumnFormula>Table15364345464[[#This Row],[Total Government Healthcare Expenditures
(including national insurance):
Base Scenario]]*Table15364345464[[#This Row],[Smoking-Attributable Fraction (SAF) of Healthcare Expenditures
Base Scenario]]</calculatedColumnFormula>
    </tableColumn>
    <tableColumn id="33" name="Smoking-Attributable Government Healthcare Expenditures_x000a_(including national insurance): Lower Bound_x000a_Base Scenario" dataDxfId="1388" dataCellStyle="Percent 2">
      <calculatedColumnFormula>Table15364345464[[#This Row],[Total Government Healthcare Expenditures
(including national insurance):
Base Scenario]]*Table15364345464[[#This Row],[Smoking-Attributable Fraction (SAF) of Healthcare Expenditures: Lower Bound
Base Scenario]]</calculatedColumnFormula>
    </tableColumn>
    <tableColumn id="15" name="Smoking-Attributable Government Healthcare Expenditures_x000a_(including national insurance): Upper Bound_x000a_Base Scenario" dataDxfId="1387" dataCellStyle="Percent 2">
      <calculatedColumnFormula>Table15364345464[[#This Row],[Total Government Healthcare Expenditures
(including national insurance):
Base Scenario]]*Table15364345464[[#This Row],[Smoking-Attributable Fraction (SAF) of Healthcare Expenditures: Upper Bound
Base Scenario]]</calculatedColumnFormula>
    </tableColumn>
    <tableColumn id="23" name="Smoking-Attributable Private Healthcare Expenditures:_x000a_Base Scenario" dataDxfId="1386" dataCellStyle="Percent 2">
      <calculatedColumnFormula>Table15364345464[[#This Row],[Total Private (Out-of-Pocket) Healthcare Expenditures:
Base Scenario]]*Table15364345464[[#This Row],[Smoking-Attributable Fraction (SAF) of Healthcare Expenditures
Base Scenario]]</calculatedColumnFormula>
    </tableColumn>
    <tableColumn id="34" name="Smoking-Attributable Private Healthcare Expenditures: Lower Bound_x000a_Base Scenario" dataDxfId="1385" dataCellStyle="Percent 2">
      <calculatedColumnFormula>Table15364345464[[#This Row],[Total Private (Out-of-Pocket) Healthcare Expenditures:
Base Scenario]]*Table15364345464[[#This Row],[Smoking-Attributable Fraction (SAF) of Healthcare Expenditures: Lower Bound
Base Scenario]]</calculatedColumnFormula>
    </tableColumn>
    <tableColumn id="16" name="Smoking-Attributable Private Healthcare Expenditures: Upper Bound_x000a_Base Scenario" dataDxfId="1384" dataCellStyle="Percent 2">
      <calculatedColumnFormula>Table15364345464[[#This Row],[Total Private (Out-of-Pocket) Healthcare Expenditures:
Base Scenario]]*Table15364345464[[#This Row],[Smoking-Attributable Fraction (SAF) of Healthcare Expenditures: Upper Bound
Base Scenario]]</calculatedColumnFormula>
    </tableColumn>
    <tableColumn id="22" name="Smoking-Attributable Other Health Expenditures:_x000a_Base Scenario" dataDxfId="1383" dataCellStyle="Percent 2">
      <calculatedColumnFormula>Table15364345464[[#This Row],[Total Other Health Expenditures:
Base Scenario]]*Table15364345464[[#This Row],[Smoking-Attributable Fraction (SAF) of Healthcare Expenditures
Base Scenario]]</calculatedColumnFormula>
    </tableColumn>
    <tableColumn id="36" name="Smoking-Attributable Other Health Expenditures: Lower Bound_x000a_Base Scenario" dataDxfId="1382" dataCellStyle="Percent 2">
      <calculatedColumnFormula>Table15364345464[[#This Row],[Total Other Health Expenditures:
Base Scenario]]*Table15364345464[[#This Row],[Smoking-Attributable Fraction (SAF) of Healthcare Expenditures: Lower Bound
Base Scenario]]</calculatedColumnFormula>
    </tableColumn>
    <tableColumn id="35" name="Smoking-Attributable Other Health Expenditures: Upper Bound_x000a_Base Scenario" dataDxfId="1381" dataCellStyle="Percent 2">
      <calculatedColumnFormula>Table15364345464[[#This Row],[Total Other Health Expenditures:
Base Scenario]]*Table15364345464[[#This Row],[Smoking-Attributable Fraction (SAF) of Healthcare Expenditures: Upper Bound
Base Scenario]]</calculatedColumnFormula>
    </tableColumn>
    <tableColumn id="10" name="Relative Change in Smoking Prevalence:_x000a_Smoke-Free Air Laws" dataDxfId="1380" dataCellStyle="Normal 5">
      <calculatedColumnFormula>SUM(Table15364345464[[#This Row],[Smoking-Attributable Fraction (SAF) of Healthcare Expenditures:
Adjusted for Intervention Impacts]:[Smoking-Attributable Private Healthcare Expenditures:
Intervention Scenario]])</calculatedColumnFormula>
    </tableColumn>
    <tableColumn id="3" name="Smoking-Attributable Fraction (SAF) of Healthcare Expenditures:_x000a_Adjusted for Intervention Impacts" dataDxfId="1379" dataCellStyle="Percent"/>
    <tableColumn id="37" name="Smoking-Attributable Fraction (SAF) of Healthcare Expenditures: Lower Bound_x000a_Adjusted for Intervention Impacts" dataDxfId="1378" dataCellStyle="Percent 2">
      <calculatedColumnFormula>$C$17</calculatedColumnFormula>
    </tableColumn>
    <tableColumn id="27" name="Smoking-Attributable Fraction (SAF) of Healthcare Expenditures: Upper Bound_x000a_Adjusted for Intervention Impacts" dataDxfId="1377" dataCellStyle="Percent 2">
      <calculatedColumnFormula>$C$18</calculatedColumnFormula>
    </tableColumn>
    <tableColumn id="4" name="Smoking-Attributable Total Healthcare Expenditures:_x000a_Intervention Scenario" dataDxfId="1376" dataCellStyle="Percent">
      <calculatedColumnFormula>Table15364345464[[#This Row],[Total Healthcare Expenditures
(All Categories):
Base Scenario]]*Table15364345464[[#This Row],[Smoking-Attributable Fraction (SAF) of Healthcare Expenditures:
Adjusted for Intervention Impacts]]</calculatedColumnFormula>
    </tableColumn>
    <tableColumn id="38" name="Smoking-Attributable Total Healthcare Expenditures: Lower Bound_x000a_Intervention Scenario" dataDxfId="1375" dataCellStyle="Percent 2">
      <calculatedColumnFormula>Table15364345464[[#This Row],[Total Healthcare Expenditures
(All Categories):
Base Scenario]]*Table15364345464[[#This Row],[Smoking-Attributable Fraction (SAF) of Healthcare Expenditures: Lower Bound
Adjusted for Intervention Impacts]]</calculatedColumnFormula>
    </tableColumn>
    <tableColumn id="28" name="Smoking-Attributable Total Healthcare Expenditures: Upper Bound_x000a_Intervention Scenario" dataDxfId="1374" dataCellStyle="Percent 2">
      <calculatedColumnFormula>Table15364345464[[#This Row],[Total Healthcare Expenditures
(All Categories):
Base Scenario]]*Table15364345464[[#This Row],[Smoking-Attributable Fraction (SAF) of Healthcare Expenditures: Upper Bound
Adjusted for Intervention Impacts]]</calculatedColumnFormula>
    </tableColumn>
    <tableColumn id="5" name="Smoking-Attributable Government Healthcare Expenditures_x000a_(including national insurance):_x000a_Intervention Scenario" dataDxfId="1373" dataCellStyle="Percent">
      <calculatedColumnFormula>Table15364345464[[#This Row],[Total Government Healthcare Expenditures
(including national insurance):
Base Scenario]]*Table15364345464[[#This Row],[Smoking-Attributable Fraction (SAF) of Healthcare Expenditures:
Adjusted for Intervention Impacts]]</calculatedColumnFormula>
    </tableColumn>
    <tableColumn id="39" name="Smoking-Attributable Government Healthcare Expenditures_x000a_(including national insurance): Lower Bound_x000a_Intervention Scenario" dataDxfId="1372" dataCellStyle="Percent 2">
      <calculatedColumnFormula>Table15364345464[[#This Row],[Total Government Healthcare Expenditures
(including national insurance):
Base Scenario]]*Table15364345464[[#This Row],[Smoking-Attributable Fraction (SAF) of Healthcare Expenditures: Lower Bound
Adjusted for Intervention Impacts]]</calculatedColumnFormula>
    </tableColumn>
    <tableColumn id="29" name="Smoking-Attributable Government Healthcare Expenditures_x000a_(including national insurance): Upper Bound_x000a_Intervention Scenario" dataDxfId="1371" dataCellStyle="Percent 2">
      <calculatedColumnFormula>Table15364345464[[#This Row],[Total Government Healthcare Expenditures
(including national insurance):
Base Scenario]]*Table15364345464[[#This Row],[Smoking-Attributable Fraction (SAF) of Healthcare Expenditures: Upper Bound
Adjusted for Intervention Impacts]]</calculatedColumnFormula>
    </tableColumn>
    <tableColumn id="6" name="Smoking-Attributable Private Healthcare Expenditures:_x000a_Intervention Scenario" dataDxfId="1370" dataCellStyle="Percent">
      <calculatedColumnFormula>Table15364345464[[#This Row],[Total Private (Out-of-Pocket) Healthcare Expenditures:
Base Scenario]]*Table15364345464[[#This Row],[Smoking-Attributable Fraction (SAF) of Healthcare Expenditures:
Adjusted for Intervention Impacts]]</calculatedColumnFormula>
    </tableColumn>
    <tableColumn id="40" name="Smoking-Attributable Private Healthcare Expenditures: Lower Bound_x000a_Intervention Scenario" dataDxfId="1369" dataCellStyle="Percent 2">
      <calculatedColumnFormula>Table15364345464[[#This Row],[Total Private (Out-of-Pocket) Healthcare Expenditures:
Base Scenario]]*Table15364345464[[#This Row],[Smoking-Attributable Fraction (SAF) of Healthcare Expenditures: Lower Bound
Adjusted for Intervention Impacts]]</calculatedColumnFormula>
    </tableColumn>
    <tableColumn id="30" name="Smoking-Attributable Private Healthcare Expenditures: Upper Bound_x000a_Intervention Scenario" dataDxfId="1368" dataCellStyle="Percent 2">
      <calculatedColumnFormula>Table15364345464[[#This Row],[Total Private (Out-of-Pocket) Healthcare Expenditures:
Base Scenario]]*Table15364345464[[#This Row],[Smoking-Attributable Fraction (SAF) of Healthcare Expenditures: Upper Bound
Adjusted for Intervention Impacts]]</calculatedColumnFormula>
    </tableColumn>
    <tableColumn id="12" name="Smoking-Attributable Other Health Expenditures:_x000a_Intervention Scenario" dataDxfId="1367" dataCellStyle="Percent">
      <calculatedColumnFormula>Table15364345464[[#This Row],[Total Other Health Expenditures:
Base Scenario]]*Table15364345464[[#This Row],[Smoking-Attributable Fraction (SAF) of Healthcare Expenditures:
Adjusted for Intervention Impacts]]</calculatedColumnFormula>
    </tableColumn>
    <tableColumn id="42" name="Smoking-Attributable Other Health Expenditures: Lower Bound_x000a_Intervention Scenario" dataDxfId="1366" dataCellStyle="Percent">
      <calculatedColumnFormula>Table15364345464[[#This Row],[Total Other Health Expenditures:
Base Scenario]]*Table15364345464[[#This Row],[Smoking-Attributable Fraction (SAF) of Healthcare Expenditures: Lower Bound
Adjusted for Intervention Impacts]]</calculatedColumnFormula>
    </tableColumn>
    <tableColumn id="41" name="Smoking-Attributable Other Health Expenditures: Upper Bound_x000a_Intervention Scenario" dataDxfId="1365" dataCellStyle="Percent">
      <calculatedColumnFormula>Table15364345464[[#This Row],[Total Other Health Expenditures:
Base Scenario]]*Table15364345464[[#This Row],[Smoking-Attributable Fraction (SAF) of Healthcare Expenditures: Upper Bound
Adjusted for Intervention Impacts]]</calculatedColumnFormula>
    </tableColumn>
    <tableColumn id="18" name="Savings in Smoking-Attributable Total Healthcare Expenditures:_x000a_Intervention Scenario" dataDxfId="1364" dataCellStyle="Percent">
      <calculatedColumnFormula>Table15364345464[[#This Row],[Smoking-Attributable Total Healthcare Expenditures:
Base Scenario]]-Table15364345464[[#This Row],[Smoking-Attributable Total Healthcare Expenditures:
Intervention Scenario]]</calculatedColumnFormula>
    </tableColumn>
    <tableColumn id="44" name="Savings in Smoking-Attributable Total Healthcare Expenditures: Lower Bound_x000a_Intervention Scenario" dataDxfId="1363" dataCellStyle="Percent">
      <calculatedColumnFormula>Table15364345464[[#This Row],[Smoking-Attributable Total Healthcare Expenditures: Lower Bound
Base Scenario]]-Table15364345464[[#This Row],[Smoking-Attributable Total Healthcare Expenditures: Lower Bound
Intervention Scenario]]</calculatedColumnFormula>
    </tableColumn>
    <tableColumn id="43" name="Savings in Smoking-Attributable Total Healthcare Expenditures: Upper Bound_x000a_Intervention Scenario" dataDxfId="1362" dataCellStyle="Percent">
      <calculatedColumnFormula>Table15364345464[[#This Row],[Smoking-Attributable Total Healthcare Expenditures: Upper Bound
Base Scenario]]-Table15364345464[[#This Row],[Smoking-Attributable Total Healthcare Expenditures: Upper Bound
Intervention Scenario]]</calculatedColumnFormula>
    </tableColumn>
    <tableColumn id="19" name="Savings in Smoking-Attributable Government Healthcare Expenditures_x000a_(including national insurance):_x000a_Intervention Scenario" dataDxfId="1361" dataCellStyle="Percent">
      <calculatedColumnFormula>Table15364345464[[#This Row],[Smoking-Attributable Government Healthcare Expenditures
(including national insurance):
Base Scenario]]-Table15364345464[[#This Row],[Smoking-Attributable Government Healthcare Expenditures
(including national insurance):
Intervention Scenario]]</calculatedColumnFormula>
    </tableColumn>
    <tableColumn id="46" name="Savings in Smoking-Attributable Government Healthcare Expenditures_x000a_(including national insurance): Lower Bound_x000a_Intervention Scenario" dataDxfId="1360" dataCellStyle="Percent">
      <calculatedColumnFormula>Table15364345464[[#This Row],[Smoking-Attributable Government Healthcare Expenditures
(including national insurance): Lower Bound
Base Scenario]]-Table15364345464[[#This Row],[Smoking-Attributable Government Healthcare Expenditures
(including national insurance): Lower Bound
Intervention Scenario]]</calculatedColumnFormula>
    </tableColumn>
    <tableColumn id="45" name="Savings in Smoking-Attributable Government Healthcare Expenditures_x000a_(including national insurance): Upper Bound_x000a_Intervention Scenario" dataDxfId="1359" dataCellStyle="Percent">
      <calculatedColumnFormula>Table15364345464[[#This Row],[Smoking-Attributable Government Healthcare Expenditures
(including national insurance): Upper Bound
Base Scenario]]-Table15364345464[[#This Row],[Smoking-Attributable Government Healthcare Expenditures
(including national insurance): Upper Bound
Intervention Scenario]]</calculatedColumnFormula>
    </tableColumn>
    <tableColumn id="20" name="Savings in Smoking-Attributable Private Healthcare Expenditures:_x000a_Intervention Scenario" dataDxfId="1358" dataCellStyle="Percent">
      <calculatedColumnFormula>Table15364345464[[#This Row],[Smoking-Attributable Private Healthcare Expenditures:
Base Scenario]]-Table15364345464[[#This Row],[Smoking-Attributable Private Healthcare Expenditures:
Intervention Scenario]]</calculatedColumnFormula>
    </tableColumn>
    <tableColumn id="48" name="Savings in Smoking-Attributable Private Healthcare Expenditures: Lower Bound_x000a_Intervention Scenario" dataDxfId="1357" dataCellStyle="Percent">
      <calculatedColumnFormula>Table15364345464[[#This Row],[Smoking-Attributable Private Healthcare Expenditures: Lower Bound
Base Scenario]]-Table15364345464[[#This Row],[Smoking-Attributable Private Healthcare Expenditures: Lower Bound
Intervention Scenario]]</calculatedColumnFormula>
    </tableColumn>
    <tableColumn id="47" name="Savings in Smoking-Attributable Private Healthcare Expenditures: Upper Bound_x000a_Intervention Scenario" dataDxfId="1356" dataCellStyle="Percent">
      <calculatedColumnFormula>Table15364345464[[#This Row],[Smoking-Attributable Private Healthcare Expenditures: Upper Bound
Base Scenario]]-Table15364345464[[#This Row],[Smoking-Attributable Private Healthcare Expenditures: Upper Bound
Intervention Scenario]]</calculatedColumnFormula>
    </tableColumn>
    <tableColumn id="21" name="Savings in Smoking-Attributable Other Health Expenditures:_x000a_Intervention Scenario" dataDxfId="1355" dataCellStyle="Percent">
      <calculatedColumnFormula>Table15364345464[[#This Row],[Smoking-Attributable Other Health Expenditures:
Base Scenario]]-Table15364345464[[#This Row],[Smoking-Attributable Other Health Expenditures:
Intervention Scenario]]</calculatedColumnFormula>
    </tableColumn>
    <tableColumn id="49" name="Savings in Smoking-Attributable Other Health Expenditures: Lower Bound_x000a_Intervention Scenario" dataDxfId="1354" dataCellStyle="Percent">
      <calculatedColumnFormula>Table15364345464[[#This Row],[Smoking-Attributable Other Health Expenditures: Lower Bound
Base Scenario]]-Table15364345464[[#This Row],[Smoking-Attributable Other Health Expenditures: Lower Bound
Intervention Scenario]]</calculatedColumnFormula>
    </tableColumn>
    <tableColumn id="50" name="Savings in Smoking-Attributable Other Health Expenditures: Upper Bound_x000a_Intervention Scenario" dataDxfId="1353" dataCellStyle="Percent">
      <calculatedColumnFormula>Table15364345464[[#This Row],[Smoking-Attributable Other Health Expenditures: Upper Bound
Base Scenario]]-Table15364345464[[#This Row],[Smoking-Attributable Other Health Expenditures: Upper Bound
Intervention Scenario]]</calculatedColumnFormula>
    </tableColumn>
  </tableColumns>
  <tableStyleInfo name="TableStyleMedium9" showFirstColumn="0" showLastColumn="0" showRowStripes="1" showColumnStripes="0"/>
</table>
</file>

<file path=xl/tables/table19.xml><?xml version="1.0" encoding="utf-8"?>
<table xmlns="http://schemas.openxmlformats.org/spreadsheetml/2006/main" id="10" name="Table153643454611" displayName="Table153643454611" ref="B105:AW121" totalsRowShown="0" headerRowDxfId="1352" dataDxfId="1351">
  <autoFilter ref="B105:AW121"/>
  <tableColumns count="48">
    <tableColumn id="2" name="Year_x000a_Number" dataDxfId="1350"/>
    <tableColumn id="8" name="Total Healthcare Expenditures_x000a_(All Categories):_x000a_Base Scenario" dataDxfId="1349" dataCellStyle="Normal 5">
      <calculatedColumnFormula>$D$22</calculatedColumnFormula>
    </tableColumn>
    <tableColumn id="7" name="Total Government Healthcare Expenditures_x000a_(including national insurance):_x000a_Base Scenario" dataDxfId="1348" dataCellStyle="Normal 5">
      <calculatedColumnFormula>$D$23</calculatedColumnFormula>
    </tableColumn>
    <tableColumn id="1" name="Total Private (Out-of-Pocket) Healthcare Expenditures:_x000a_Base Scenario" dataDxfId="1347" dataCellStyle="Normal 5">
      <calculatedColumnFormula>$D$24</calculatedColumnFormula>
    </tableColumn>
    <tableColumn id="9" name="Total Other Health Expenditures:_x000a_Base Scenario" dataDxfId="1346" dataCellStyle="Normal 5">
      <calculatedColumnFormula>$D$25</calculatedColumnFormula>
    </tableColumn>
    <tableColumn id="31" name="Smoking-Attributable Fraction (SAF) of Healthcare Expenditures_x000a_Base Scenario" dataDxfId="1345" dataCellStyle="Normal 5">
      <calculatedColumnFormula>$C$16</calculatedColumnFormula>
    </tableColumn>
    <tableColumn id="17" name="Smoking-Attributable Fraction (SAF) of Healthcare Expenditures: Lower Bound_x000a_Base Scenario" dataDxfId="1344" dataCellStyle="Normal 5">
      <calculatedColumnFormula>$C$17</calculatedColumnFormula>
    </tableColumn>
    <tableColumn id="13" name="Smoking-Attributable Fraction (SAF) of Healthcare Expenditures: Upper Bound_x000a_Base Scenario" dataDxfId="1343" dataCellStyle="Normal 5">
      <calculatedColumnFormula>$C$18</calculatedColumnFormula>
    </tableColumn>
    <tableColumn id="26" name="Smoking-Attributable Total Healthcare Expenditures:_x000a_Base Scenario" dataDxfId="1342" dataCellStyle="Percent 2">
      <calculatedColumnFormula>Table153643454611[[#This Row],[Total Healthcare Expenditures
(All Categories):
Base Scenario]]*Table153643454611[[#This Row],[Smoking-Attributable Fraction (SAF) of Healthcare Expenditures
Base Scenario]]</calculatedColumnFormula>
    </tableColumn>
    <tableColumn id="32" name="Smoking-Attributable Total Healthcare Expenditures: Lower Bound_x000a_Base Scenario" dataDxfId="1341" dataCellStyle="Percent 2">
      <calculatedColumnFormula>Table153643454611[[#This Row],[Total Healthcare Expenditures
(All Categories):
Base Scenario]]*Table153643454611[[#This Row],[Smoking-Attributable Fraction (SAF) of Healthcare Expenditures: Lower Bound
Base Scenario]]</calculatedColumnFormula>
    </tableColumn>
    <tableColumn id="14" name="Smoking-Attributable Total Healthcare Expenditures: Upper Bound_x000a_Base Scenario" dataDxfId="1340" dataCellStyle="Percent 2">
      <calculatedColumnFormula>Table153643454611[[#This Row],[Total Healthcare Expenditures
(All Categories):
Base Scenario]]*Table153643454611[[#This Row],[Smoking-Attributable Fraction (SAF) of Healthcare Expenditures: Upper Bound
Base Scenario]]</calculatedColumnFormula>
    </tableColumn>
    <tableColumn id="25" name="Smoking-Attributable Government Healthcare Expenditures_x000a_(including national insurance):_x000a_Base Scenario" dataDxfId="1339" dataCellStyle="Percent 2">
      <calculatedColumnFormula>Table153643454611[[#This Row],[Total Government Healthcare Expenditures
(including national insurance):
Base Scenario]]*Table153643454611[[#This Row],[Smoking-Attributable Fraction (SAF) of Healthcare Expenditures
Base Scenario]]</calculatedColumnFormula>
    </tableColumn>
    <tableColumn id="33" name="Smoking-Attributable Government Healthcare Expenditures_x000a_(including national insurance): Lower Bound_x000a_Base Scenario" dataDxfId="1338" dataCellStyle="Percent 2">
      <calculatedColumnFormula>Table153643454611[[#This Row],[Total Government Healthcare Expenditures
(including national insurance):
Base Scenario]]*Table153643454611[[#This Row],[Smoking-Attributable Fraction (SAF) of Healthcare Expenditures: Lower Bound
Base Scenario]]</calculatedColumnFormula>
    </tableColumn>
    <tableColumn id="15" name="Smoking-Attributable Government Healthcare Expenditures_x000a_(including national insurance): Upper Bound_x000a_Base Scenario" dataDxfId="1337" dataCellStyle="Percent 2">
      <calculatedColumnFormula>Table153643454611[[#This Row],[Total Government Healthcare Expenditures
(including national insurance):
Base Scenario]]*Table153643454611[[#This Row],[Smoking-Attributable Fraction (SAF) of Healthcare Expenditures: Upper Bound
Base Scenario]]</calculatedColumnFormula>
    </tableColumn>
    <tableColumn id="23" name="Smoking-Attributable Private Healthcare Expenditures:_x000a_Base Scenario" dataDxfId="1336" dataCellStyle="Percent 2">
      <calculatedColumnFormula>Table153643454611[[#This Row],[Total Private (Out-of-Pocket) Healthcare Expenditures:
Base Scenario]]*Table153643454611[[#This Row],[Smoking-Attributable Fraction (SAF) of Healthcare Expenditures
Base Scenario]]</calculatedColumnFormula>
    </tableColumn>
    <tableColumn id="34" name="Smoking-Attributable Private Healthcare Expenditures: Lower Bound_x000a_Base Scenario" dataDxfId="1335" dataCellStyle="Percent 2">
      <calculatedColumnFormula>Table153643454611[[#This Row],[Total Private (Out-of-Pocket) Healthcare Expenditures:
Base Scenario]]*Table153643454611[[#This Row],[Smoking-Attributable Fraction (SAF) of Healthcare Expenditures: Lower Bound
Base Scenario]]</calculatedColumnFormula>
    </tableColumn>
    <tableColumn id="16" name="Smoking-Attributable Private Healthcare Expenditures: Upper Bound_x000a_Base Scenario" dataDxfId="1334" dataCellStyle="Percent 2">
      <calculatedColumnFormula>Table153643454611[[#This Row],[Total Private (Out-of-Pocket) Healthcare Expenditures:
Base Scenario]]*Table153643454611[[#This Row],[Smoking-Attributable Fraction (SAF) of Healthcare Expenditures: Upper Bound
Base Scenario]]</calculatedColumnFormula>
    </tableColumn>
    <tableColumn id="22" name="Smoking-Attributable Other Health Expenditures:_x000a_Base Scenario" dataDxfId="1333" dataCellStyle="Percent 2">
      <calculatedColumnFormula>Table153643454611[[#This Row],[Total Other Health Expenditures:
Base Scenario]]*Table153643454611[[#This Row],[Smoking-Attributable Fraction (SAF) of Healthcare Expenditures
Base Scenario]]</calculatedColumnFormula>
    </tableColumn>
    <tableColumn id="36" name="Smoking-Attributable Other Health Expenditures: Lower Bound_x000a_Base Scenario" dataDxfId="1332" dataCellStyle="Percent 2">
      <calculatedColumnFormula>Table153643454611[[#This Row],[Total Other Health Expenditures:
Base Scenario]]*Table153643454611[[#This Row],[Smoking-Attributable Fraction (SAF) of Healthcare Expenditures: Lower Bound
Base Scenario]]</calculatedColumnFormula>
    </tableColumn>
    <tableColumn id="35" name="Smoking-Attributable Other Health Expenditures: Upper Bound_x000a_Base Scenario" dataDxfId="1331" dataCellStyle="Percent 2">
      <calculatedColumnFormula>Table153643454611[[#This Row],[Total Other Health Expenditures:
Base Scenario]]*Table153643454611[[#This Row],[Smoking-Attributable Fraction (SAF) of Healthcare Expenditures: Upper Bound
Base Scenario]]</calculatedColumnFormula>
    </tableColumn>
    <tableColumn id="10" name="Relative Change in Smoking Prevalence:_x000a_Enforce Marketing Restrictions" dataDxfId="1330" dataCellStyle="Normal 5">
      <calculatedColumnFormula>SUM(Table153643454611[[#This Row],[Smoking-Attributable Fraction (SAF) of Healthcare Expenditures:
Adjusted for Intervention Impacts]:[Smoking-Attributable Private Healthcare Expenditures:
Intervention Scenario]])</calculatedColumnFormula>
    </tableColumn>
    <tableColumn id="3" name="Smoking-Attributable Fraction (SAF) of Healthcare Expenditures:_x000a_Adjusted for Intervention Impacts" dataDxfId="1329" dataCellStyle="Percent"/>
    <tableColumn id="37" name="Smoking-Attributable Fraction (SAF) of Healthcare Expenditures: Lower Bound_x000a_Adjusted for Intervention Impacts" dataDxfId="1328" dataCellStyle="Percent 2">
      <calculatedColumnFormula>$C$17</calculatedColumnFormula>
    </tableColumn>
    <tableColumn id="27" name="Smoking-Attributable Fraction (SAF) of Healthcare Expenditures: Upper Bound_x000a_Adjusted for Intervention Impacts" dataDxfId="1327" dataCellStyle="Percent 2">
      <calculatedColumnFormula>$C$18</calculatedColumnFormula>
    </tableColumn>
    <tableColumn id="4" name="Smoking-Attributable Total Healthcare Expenditures:_x000a_Intervention Scenario" dataDxfId="1326" dataCellStyle="Percent">
      <calculatedColumnFormula>Table153643454611[[#This Row],[Total Healthcare Expenditures
(All Categories):
Base Scenario]]*Table153643454611[[#This Row],[Smoking-Attributable Fraction (SAF) of Healthcare Expenditures:
Adjusted for Intervention Impacts]]</calculatedColumnFormula>
    </tableColumn>
    <tableColumn id="38" name="Smoking-Attributable Total Healthcare Expenditures: Lower Bound_x000a_Intervention Scenario" dataDxfId="1325" dataCellStyle="Percent 2">
      <calculatedColumnFormula>Table153643454611[[#This Row],[Total Healthcare Expenditures
(All Categories):
Base Scenario]]*Table153643454611[[#This Row],[Smoking-Attributable Fraction (SAF) of Healthcare Expenditures: Lower Bound
Adjusted for Intervention Impacts]]</calculatedColumnFormula>
    </tableColumn>
    <tableColumn id="28" name="Smoking-Attributable Total Healthcare Expenditures: Upper Bound_x000a_Intervention Scenario" dataDxfId="1324" dataCellStyle="Percent 2">
      <calculatedColumnFormula>Table153643454611[[#This Row],[Total Healthcare Expenditures
(All Categories):
Base Scenario]]*Table153643454611[[#This Row],[Smoking-Attributable Fraction (SAF) of Healthcare Expenditures: Upper Bound
Adjusted for Intervention Impacts]]</calculatedColumnFormula>
    </tableColumn>
    <tableColumn id="5" name="Smoking-Attributable Government Healthcare Expenditures_x000a_(including national insurance):_x000a_Intervention Scenario" dataDxfId="1323" dataCellStyle="Percent">
      <calculatedColumnFormula>Table153643454611[[#This Row],[Total Government Healthcare Expenditures
(including national insurance):
Base Scenario]]*Table153643454611[[#This Row],[Smoking-Attributable Fraction (SAF) of Healthcare Expenditures:
Adjusted for Intervention Impacts]]</calculatedColumnFormula>
    </tableColumn>
    <tableColumn id="39" name="Smoking-Attributable Government Healthcare Expenditures_x000a_(including national insurance): Lower Bound_x000a_Intervention Scenario" dataDxfId="1322" dataCellStyle="Percent 2">
      <calculatedColumnFormula>Table153643454611[[#This Row],[Total Government Healthcare Expenditures
(including national insurance):
Base Scenario]]*Table153643454611[[#This Row],[Smoking-Attributable Fraction (SAF) of Healthcare Expenditures: Lower Bound
Adjusted for Intervention Impacts]]</calculatedColumnFormula>
    </tableColumn>
    <tableColumn id="29" name="Smoking-Attributable Government Healthcare Expenditures_x000a_(including national insurance): Upper Bound_x000a_Intervention Scenario" dataDxfId="1321" dataCellStyle="Percent 2">
      <calculatedColumnFormula>Table153643454611[[#This Row],[Total Government Healthcare Expenditures
(including national insurance):
Base Scenario]]*Table153643454611[[#This Row],[Smoking-Attributable Fraction (SAF) of Healthcare Expenditures: Upper Bound
Adjusted for Intervention Impacts]]</calculatedColumnFormula>
    </tableColumn>
    <tableColumn id="6" name="Smoking-Attributable Private Healthcare Expenditures:_x000a_Intervention Scenario" dataDxfId="1320" dataCellStyle="Percent">
      <calculatedColumnFormula>Table153643454611[[#This Row],[Total Private (Out-of-Pocket) Healthcare Expenditures:
Base Scenario]]*Table153643454611[[#This Row],[Smoking-Attributable Fraction (SAF) of Healthcare Expenditures:
Adjusted for Intervention Impacts]]</calculatedColumnFormula>
    </tableColumn>
    <tableColumn id="40" name="Smoking-Attributable Private Healthcare Expenditures: Lower Bound_x000a_Intervention Scenario" dataDxfId="1319" dataCellStyle="Percent 2">
      <calculatedColumnFormula>Table153643454611[[#This Row],[Total Private (Out-of-Pocket) Healthcare Expenditures:
Base Scenario]]*Table153643454611[[#This Row],[Smoking-Attributable Fraction (SAF) of Healthcare Expenditures: Lower Bound
Adjusted for Intervention Impacts]]</calculatedColumnFormula>
    </tableColumn>
    <tableColumn id="30" name="Smoking-Attributable Private Healthcare Expenditures: Upper Bound_x000a_Intervention Scenario" dataDxfId="1318" dataCellStyle="Percent 2">
      <calculatedColumnFormula>Table153643454611[[#This Row],[Total Private (Out-of-Pocket) Healthcare Expenditures:
Base Scenario]]*Table153643454611[[#This Row],[Smoking-Attributable Fraction (SAF) of Healthcare Expenditures: Upper Bound
Adjusted for Intervention Impacts]]</calculatedColumnFormula>
    </tableColumn>
    <tableColumn id="12" name="Smoking-Attributable Other Health Expenditures:_x000a_Intervention Scenario" dataDxfId="1317" dataCellStyle="Percent">
      <calculatedColumnFormula>Table153643454611[[#This Row],[Total Other Health Expenditures:
Base Scenario]]*Table153643454611[[#This Row],[Smoking-Attributable Fraction (SAF) of Healthcare Expenditures:
Adjusted for Intervention Impacts]]</calculatedColumnFormula>
    </tableColumn>
    <tableColumn id="42" name="Smoking-Attributable Other Health Expenditures: Lower Bound_x000a_Intervention Scenario" dataDxfId="1316" dataCellStyle="Percent">
      <calculatedColumnFormula>Table153643454611[[#This Row],[Total Other Health Expenditures:
Base Scenario]]*Table153643454611[[#This Row],[Smoking-Attributable Fraction (SAF) of Healthcare Expenditures: Lower Bound
Adjusted for Intervention Impacts]]</calculatedColumnFormula>
    </tableColumn>
    <tableColumn id="41" name="Smoking-Attributable Other Health Expenditures: Upper Bound_x000a_Intervention Scenario" dataDxfId="1315" dataCellStyle="Percent">
      <calculatedColumnFormula>Table153643454611[[#This Row],[Total Other Health Expenditures:
Base Scenario]]*Table153643454611[[#This Row],[Smoking-Attributable Fraction (SAF) of Healthcare Expenditures: Upper Bound
Adjusted for Intervention Impacts]]</calculatedColumnFormula>
    </tableColumn>
    <tableColumn id="18" name="Savings in Smoking-Attributable Total Healthcare Expenditures:_x000a_Intervention Scenario" dataDxfId="1314" dataCellStyle="Percent">
      <calculatedColumnFormula>Table153643454611[[#This Row],[Smoking-Attributable Total Healthcare Expenditures:
Base Scenario]]-Table153643454611[[#This Row],[Smoking-Attributable Total Healthcare Expenditures:
Intervention Scenario]]</calculatedColumnFormula>
    </tableColumn>
    <tableColumn id="44" name="Savings in Smoking-Attributable Total Healthcare Expenditures: Lower Bound_x000a_Intervention Scenario" dataDxfId="1313" dataCellStyle="Percent">
      <calculatedColumnFormula>Table153643454611[[#This Row],[Smoking-Attributable Total Healthcare Expenditures: Lower Bound
Base Scenario]]-Table153643454611[[#This Row],[Smoking-Attributable Total Healthcare Expenditures: Lower Bound
Intervention Scenario]]</calculatedColumnFormula>
    </tableColumn>
    <tableColumn id="43" name="Savings in Smoking-Attributable Total Healthcare Expenditures: Upper Bound_x000a_Intervention Scenario" dataDxfId="1312" dataCellStyle="Percent">
      <calculatedColumnFormula>Table153643454611[[#This Row],[Smoking-Attributable Total Healthcare Expenditures: Upper Bound
Base Scenario]]-Table153643454611[[#This Row],[Smoking-Attributable Total Healthcare Expenditures: Upper Bound
Intervention Scenario]]</calculatedColumnFormula>
    </tableColumn>
    <tableColumn id="19" name="Savings in Smoking-Attributable Government Healthcare Expenditures_x000a_(including national insurance):_x000a_Intervention Scenario" dataDxfId="1311" dataCellStyle="Percent">
      <calculatedColumnFormula>Table153643454611[[#This Row],[Smoking-Attributable Government Healthcare Expenditures
(including national insurance):
Base Scenario]]-Table153643454611[[#This Row],[Smoking-Attributable Government Healthcare Expenditures
(including national insurance):
Intervention Scenario]]</calculatedColumnFormula>
    </tableColumn>
    <tableColumn id="46" name="Savings in Smoking-Attributable Government Healthcare Expenditures_x000a_(including national insurance): Lower Bound_x000a_Intervention Scenario" dataDxfId="1310" dataCellStyle="Percent">
      <calculatedColumnFormula>Table153643454611[[#This Row],[Smoking-Attributable Government Healthcare Expenditures
(including national insurance): Lower Bound
Base Scenario]]-Table153643454611[[#This Row],[Smoking-Attributable Government Healthcare Expenditures
(including national insurance): Lower Bound
Intervention Scenario]]</calculatedColumnFormula>
    </tableColumn>
    <tableColumn id="45" name="Savings in Smoking-Attributable Government Healthcare Expenditures_x000a_(including national insurance): Upper Bound_x000a_Intervention Scenario" dataDxfId="1309" dataCellStyle="Percent">
      <calculatedColumnFormula>Table153643454611[[#This Row],[Smoking-Attributable Government Healthcare Expenditures
(including national insurance): Upper Bound
Base Scenario]]-Table153643454611[[#This Row],[Smoking-Attributable Government Healthcare Expenditures
(including national insurance): Upper Bound
Intervention Scenario]]</calculatedColumnFormula>
    </tableColumn>
    <tableColumn id="20" name="Savings in Smoking-Attributable Private Healthcare Expenditures:_x000a_Intervention Scenario" dataDxfId="1308" dataCellStyle="Percent">
      <calculatedColumnFormula>Table153643454611[[#This Row],[Smoking-Attributable Private Healthcare Expenditures:
Base Scenario]]-Table153643454611[[#This Row],[Smoking-Attributable Private Healthcare Expenditures:
Intervention Scenario]]</calculatedColumnFormula>
    </tableColumn>
    <tableColumn id="48" name="Savings in Smoking-Attributable Private Healthcare Expenditures: Lower Bound_x000a_Intervention Scenario" dataDxfId="1307" dataCellStyle="Percent">
      <calculatedColumnFormula>Table153643454611[[#This Row],[Smoking-Attributable Private Healthcare Expenditures: Lower Bound
Base Scenario]]-Table153643454611[[#This Row],[Smoking-Attributable Private Healthcare Expenditures: Lower Bound
Intervention Scenario]]</calculatedColumnFormula>
    </tableColumn>
    <tableColumn id="47" name="Savings in Smoking-Attributable Private Healthcare Expenditures: Upper Bound_x000a_Intervention Scenario" dataDxfId="1306" dataCellStyle="Percent">
      <calculatedColumnFormula>Table153643454611[[#This Row],[Smoking-Attributable Private Healthcare Expenditures: Upper Bound
Base Scenario]]-Table153643454611[[#This Row],[Smoking-Attributable Private Healthcare Expenditures: Upper Bound
Intervention Scenario]]</calculatedColumnFormula>
    </tableColumn>
    <tableColumn id="21" name="Savings in Smoking-Attributable Other Health Expenditures:_x000a_Intervention Scenario" dataDxfId="1305" dataCellStyle="Percent">
      <calculatedColumnFormula>Table153643454611[[#This Row],[Smoking-Attributable Other Health Expenditures:
Base Scenario]]-Table153643454611[[#This Row],[Smoking-Attributable Other Health Expenditures:
Intervention Scenario]]</calculatedColumnFormula>
    </tableColumn>
    <tableColumn id="49" name="Savings in Smoking-Attributable Other Health Expenditures: Lower Bound_x000a_Intervention Scenario" dataDxfId="1304" dataCellStyle="Percent">
      <calculatedColumnFormula>Table153643454611[[#This Row],[Smoking-Attributable Other Health Expenditures: Lower Bound
Base Scenario]]-Table153643454611[[#This Row],[Smoking-Attributable Other Health Expenditures: Lower Bound
Intervention Scenario]]</calculatedColumnFormula>
    </tableColumn>
    <tableColumn id="50" name="Savings in Smoking-Attributable Other Health Expenditures: Upper Bound_x000a_Intervention Scenario" dataDxfId="1303" dataCellStyle="Percent">
      <calculatedColumnFormula>Table153643454611[[#This Row],[Smoking-Attributable Other Health Expenditures: Upper Bound
Base Scenario]]-Table153643454611[[#This Row],[Smoking-Attributable Other Health Expenditures: Upper Bound
Intervention Scenario]]</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35" name="Table1536" displayName="Table1536" ref="B62:G77" totalsRowShown="0" headerRowDxfId="1690" dataDxfId="1689">
  <autoFilter ref="B62:G77"/>
  <tableColumns count="6">
    <tableColumn id="2" name="Year_x000a_Number" dataDxfId="1688"/>
    <tableColumn id="1" name="Relative Change in Smoking Prevalence: All Four Interventions Combined" dataDxfId="1687" dataCellStyle="Normal 5"/>
    <tableColumn id="3" name="Relative Change in Smoking Prevalence:_x000a_Increase Cigarette Taxes" dataDxfId="1686" dataCellStyle="Percent"/>
    <tableColumn id="4" name="Relative Change in Smoking Prevalence:_x000a_Smoke-Free Air Laws" dataDxfId="1685" dataCellStyle="Percent"/>
    <tableColumn id="5" name="Relative Change in Smoking Prevalence:_x000a_Enforce Marketing Restrictions" dataDxfId="1684" dataCellStyle="Percent"/>
    <tableColumn id="6" name="Relative Change in Smoking Prevalence:_x000a_Cigarette Package Warnings" dataDxfId="1683" dataCellStyle="Percent"/>
  </tableColumns>
  <tableStyleInfo name="TableStyleMedium9" showFirstColumn="0" showLastColumn="0" showRowStripes="1" showColumnStripes="0"/>
</table>
</file>

<file path=xl/tables/table20.xml><?xml version="1.0" encoding="utf-8"?>
<table xmlns="http://schemas.openxmlformats.org/spreadsheetml/2006/main" id="12" name="Table153643454613" displayName="Table153643454613" ref="B129:AW145" totalsRowShown="0" headerRowDxfId="1302" dataDxfId="1301">
  <autoFilter ref="B129:AW145"/>
  <tableColumns count="48">
    <tableColumn id="2" name="Year_x000a_Number" dataDxfId="1300"/>
    <tableColumn id="8" name="Total Healthcare Expenditures_x000a_(All Categories):_x000a_Base Scenario" dataDxfId="1299" dataCellStyle="Normal 5">
      <calculatedColumnFormula>$D$22</calculatedColumnFormula>
    </tableColumn>
    <tableColumn id="7" name="Total Government Healthcare Expenditures_x000a_(including national insurance):_x000a_Base Scenario" dataDxfId="1298" dataCellStyle="Normal 5">
      <calculatedColumnFormula>$D$23</calculatedColumnFormula>
    </tableColumn>
    <tableColumn id="1" name="Total Private (Out-of-Pocket) Healthcare Expenditures:_x000a_Base Scenario" dataDxfId="1297" dataCellStyle="Normal 5">
      <calculatedColumnFormula>$D$24</calculatedColumnFormula>
    </tableColumn>
    <tableColumn id="9" name="Total Other Health Expenditures:_x000a_Base Scenario" dataDxfId="1296" dataCellStyle="Normal 5">
      <calculatedColumnFormula>$D$25</calculatedColumnFormula>
    </tableColumn>
    <tableColumn id="31" name="Smoking-Attributable Fraction (SAF) of Healthcare Expenditures_x000a_Base Scenario" dataDxfId="1295" dataCellStyle="Normal 5">
      <calculatedColumnFormula>$C$16</calculatedColumnFormula>
    </tableColumn>
    <tableColumn id="17" name="Smoking-Attributable Fraction (SAF) of Healthcare Expenditures: Lower Bound_x000a_Base Scenario" dataDxfId="1294" dataCellStyle="Normal 5">
      <calculatedColumnFormula>$C$17</calculatedColumnFormula>
    </tableColumn>
    <tableColumn id="13" name="Smoking-Attributable Fraction (SAF) of Healthcare Expenditures: Upper Bound_x000a_Base Scenario" dataDxfId="1293" dataCellStyle="Normal 5">
      <calculatedColumnFormula>$C$18</calculatedColumnFormula>
    </tableColumn>
    <tableColumn id="26" name="Smoking-Attributable Total Healthcare Expenditures:_x000a_Base Scenario" dataDxfId="1292" dataCellStyle="Percent 2">
      <calculatedColumnFormula>Table153643454613[[#This Row],[Total Healthcare Expenditures
(All Categories):
Base Scenario]]*Table153643454613[[#This Row],[Smoking-Attributable Fraction (SAF) of Healthcare Expenditures
Base Scenario]]</calculatedColumnFormula>
    </tableColumn>
    <tableColumn id="32" name="Smoking-Attributable Total Healthcare Expenditures: Lower Bound_x000a_Base Scenario" dataDxfId="1291" dataCellStyle="Percent 2">
      <calculatedColumnFormula>Table153643454613[[#This Row],[Total Healthcare Expenditures
(All Categories):
Base Scenario]]*Table153643454613[[#This Row],[Smoking-Attributable Fraction (SAF) of Healthcare Expenditures: Lower Bound
Base Scenario]]</calculatedColumnFormula>
    </tableColumn>
    <tableColumn id="14" name="Smoking-Attributable Total Healthcare Expenditures: Upper Bound_x000a_Base Scenario" dataDxfId="1290" dataCellStyle="Percent 2">
      <calculatedColumnFormula>Table153643454613[[#This Row],[Total Healthcare Expenditures
(All Categories):
Base Scenario]]*Table153643454613[[#This Row],[Smoking-Attributable Fraction (SAF) of Healthcare Expenditures: Upper Bound
Base Scenario]]</calculatedColumnFormula>
    </tableColumn>
    <tableColumn id="25" name="Smoking-Attributable Government Healthcare Expenditures_x000a_(including national insurance):_x000a_Base Scenario" dataDxfId="1289" dataCellStyle="Percent 2">
      <calculatedColumnFormula>Table153643454613[[#This Row],[Total Government Healthcare Expenditures
(including national insurance):
Base Scenario]]*Table153643454613[[#This Row],[Smoking-Attributable Fraction (SAF) of Healthcare Expenditures
Base Scenario]]</calculatedColumnFormula>
    </tableColumn>
    <tableColumn id="33" name="Smoking-Attributable Government Healthcare Expenditures_x000a_(including national insurance): Lower Bound_x000a_Base Scenario" dataDxfId="1288" dataCellStyle="Percent 2">
      <calculatedColumnFormula>Table153643454613[[#This Row],[Total Government Healthcare Expenditures
(including national insurance):
Base Scenario]]*Table153643454613[[#This Row],[Smoking-Attributable Fraction (SAF) of Healthcare Expenditures: Lower Bound
Base Scenario]]</calculatedColumnFormula>
    </tableColumn>
    <tableColumn id="15" name="Smoking-Attributable Government Healthcare Expenditures_x000a_(including national insurance): Upper Bound_x000a_Base Scenario" dataDxfId="1287" dataCellStyle="Percent 2">
      <calculatedColumnFormula>Table153643454613[[#This Row],[Total Government Healthcare Expenditures
(including national insurance):
Base Scenario]]*Table153643454613[[#This Row],[Smoking-Attributable Fraction (SAF) of Healthcare Expenditures: Upper Bound
Base Scenario]]</calculatedColumnFormula>
    </tableColumn>
    <tableColumn id="23" name="Smoking-Attributable Private Healthcare Expenditures:_x000a_Base Scenario" dataDxfId="1286" dataCellStyle="Percent 2">
      <calculatedColumnFormula>Table153643454613[[#This Row],[Total Private (Out-of-Pocket) Healthcare Expenditures:
Base Scenario]]*Table153643454613[[#This Row],[Smoking-Attributable Fraction (SAF) of Healthcare Expenditures
Base Scenario]]</calculatedColumnFormula>
    </tableColumn>
    <tableColumn id="34" name="Smoking-Attributable Private Healthcare Expenditures: Lower Bound_x000a_Base Scenario" dataDxfId="1285" dataCellStyle="Percent 2">
      <calculatedColumnFormula>Table153643454613[[#This Row],[Total Private (Out-of-Pocket) Healthcare Expenditures:
Base Scenario]]*Table153643454613[[#This Row],[Smoking-Attributable Fraction (SAF) of Healthcare Expenditures: Lower Bound
Base Scenario]]</calculatedColumnFormula>
    </tableColumn>
    <tableColumn id="16" name="Smoking-Attributable Private Healthcare Expenditures: Upper Bound_x000a_Base Scenario" dataDxfId="1284" dataCellStyle="Percent 2">
      <calculatedColumnFormula>Table153643454613[[#This Row],[Total Private (Out-of-Pocket) Healthcare Expenditures:
Base Scenario]]*Table153643454613[[#This Row],[Smoking-Attributable Fraction (SAF) of Healthcare Expenditures: Upper Bound
Base Scenario]]</calculatedColumnFormula>
    </tableColumn>
    <tableColumn id="22" name="Smoking-Attributable Other Health Expenditures:_x000a_Base Scenario" dataDxfId="1283" dataCellStyle="Percent 2">
      <calculatedColumnFormula>Table153643454613[[#This Row],[Total Other Health Expenditures:
Base Scenario]]*Table153643454613[[#This Row],[Smoking-Attributable Fraction (SAF) of Healthcare Expenditures
Base Scenario]]</calculatedColumnFormula>
    </tableColumn>
    <tableColumn id="36" name="Smoking-Attributable Other Health Expenditures: Lower Bound_x000a_Base Scenario" dataDxfId="1282" dataCellStyle="Percent 2">
      <calculatedColumnFormula>Table153643454613[[#This Row],[Total Other Health Expenditures:
Base Scenario]]*Table153643454613[[#This Row],[Smoking-Attributable Fraction (SAF) of Healthcare Expenditures: Lower Bound
Base Scenario]]</calculatedColumnFormula>
    </tableColumn>
    <tableColumn id="35" name="Smoking-Attributable Other Health Expenditures: Upper Bound_x000a_Base Scenario" dataDxfId="1281" dataCellStyle="Percent 2">
      <calculatedColumnFormula>Table153643454613[[#This Row],[Total Other Health Expenditures:
Base Scenario]]*Table153643454613[[#This Row],[Smoking-Attributable Fraction (SAF) of Healthcare Expenditures: Upper Bound
Base Scenario]]</calculatedColumnFormula>
    </tableColumn>
    <tableColumn id="10" name="Relative Change in Smoking Prevalence:_x000a_Cigarette Package Warnings" dataDxfId="1280" dataCellStyle="Normal 5">
      <calculatedColumnFormula>SUM(Table153643454613[[#This Row],[Smoking-Attributable Fraction (SAF) of Healthcare Expenditures:
Adjusted for Intervention Impacts]:[Smoking-Attributable Private Healthcare Expenditures:
Intervention Scenario]])</calculatedColumnFormula>
    </tableColumn>
    <tableColumn id="3" name="Smoking-Attributable Fraction (SAF) of Healthcare Expenditures:_x000a_Adjusted for Intervention Impacts" dataDxfId="1279" dataCellStyle="Percent"/>
    <tableColumn id="37" name="Smoking-Attributable Fraction (SAF) of Healthcare Expenditures: Lower Bound_x000a_Adjusted for Intervention Impacts" dataDxfId="1278" dataCellStyle="Percent 2">
      <calculatedColumnFormula>$C$17</calculatedColumnFormula>
    </tableColumn>
    <tableColumn id="27" name="Smoking-Attributable Fraction (SAF) of Healthcare Expenditures: Upper Bound_x000a_Adjusted for Intervention Impacts" dataDxfId="1277" dataCellStyle="Percent 2">
      <calculatedColumnFormula>$C$18</calculatedColumnFormula>
    </tableColumn>
    <tableColumn id="4" name="Smoking-Attributable Total Healthcare Expenditures:_x000a_Intervention Scenario" dataDxfId="1276" dataCellStyle="Percent">
      <calculatedColumnFormula>Table153643454613[[#This Row],[Total Healthcare Expenditures
(All Categories):
Base Scenario]]*Table153643454613[[#This Row],[Smoking-Attributable Fraction (SAF) of Healthcare Expenditures:
Adjusted for Intervention Impacts]]</calculatedColumnFormula>
    </tableColumn>
    <tableColumn id="38" name="Smoking-Attributable Total Healthcare Expenditures: Lower Bound_x000a_Intervention Scenario" dataDxfId="1275" dataCellStyle="Percent 2">
      <calculatedColumnFormula>Table153643454613[[#This Row],[Total Healthcare Expenditures
(All Categories):
Base Scenario]]*Table153643454613[[#This Row],[Smoking-Attributable Fraction (SAF) of Healthcare Expenditures: Lower Bound
Adjusted for Intervention Impacts]]</calculatedColumnFormula>
    </tableColumn>
    <tableColumn id="28" name="Smoking-Attributable Total Healthcare Expenditures: Upper Bound_x000a_Intervention Scenario" dataDxfId="1274" dataCellStyle="Percent 2">
      <calculatedColumnFormula>Table153643454613[[#This Row],[Total Healthcare Expenditures
(All Categories):
Base Scenario]]*Table153643454613[[#This Row],[Smoking-Attributable Fraction (SAF) of Healthcare Expenditures: Upper Bound
Adjusted for Intervention Impacts]]</calculatedColumnFormula>
    </tableColumn>
    <tableColumn id="5" name="Smoking-Attributable Government Healthcare Expenditures_x000a_(including national insurance):_x000a_Intervention Scenario" dataDxfId="1273" dataCellStyle="Percent">
      <calculatedColumnFormula>Table153643454613[[#This Row],[Total Government Healthcare Expenditures
(including national insurance):
Base Scenario]]*Table153643454613[[#This Row],[Smoking-Attributable Fraction (SAF) of Healthcare Expenditures:
Adjusted for Intervention Impacts]]</calculatedColumnFormula>
    </tableColumn>
    <tableColumn id="39" name="Smoking-Attributable Government Healthcare Expenditures_x000a_(including national insurance): Lower Bound_x000a_Intervention Scenario" dataDxfId="1272" dataCellStyle="Percent 2">
      <calculatedColumnFormula>Table153643454613[[#This Row],[Total Government Healthcare Expenditures
(including national insurance):
Base Scenario]]*Table153643454613[[#This Row],[Smoking-Attributable Fraction (SAF) of Healthcare Expenditures: Lower Bound
Adjusted for Intervention Impacts]]</calculatedColumnFormula>
    </tableColumn>
    <tableColumn id="29" name="Smoking-Attributable Government Healthcare Expenditures_x000a_(including national insurance): Upper Bound_x000a_Intervention Scenario" dataDxfId="1271" dataCellStyle="Percent 2">
      <calculatedColumnFormula>Table153643454613[[#This Row],[Total Government Healthcare Expenditures
(including national insurance):
Base Scenario]]*Table153643454613[[#This Row],[Smoking-Attributable Fraction (SAF) of Healthcare Expenditures: Upper Bound
Adjusted for Intervention Impacts]]</calculatedColumnFormula>
    </tableColumn>
    <tableColumn id="6" name="Smoking-Attributable Private Healthcare Expenditures:_x000a_Intervention Scenario" dataDxfId="1270" dataCellStyle="Percent">
      <calculatedColumnFormula>Table153643454613[[#This Row],[Total Private (Out-of-Pocket) Healthcare Expenditures:
Base Scenario]]*Table153643454613[[#This Row],[Smoking-Attributable Fraction (SAF) of Healthcare Expenditures:
Adjusted for Intervention Impacts]]</calculatedColumnFormula>
    </tableColumn>
    <tableColumn id="40" name="Smoking-Attributable Private Healthcare Expenditures: Lower Bound_x000a_Intervention Scenario" dataDxfId="1269" dataCellStyle="Percent 2">
      <calculatedColumnFormula>Table153643454613[[#This Row],[Total Private (Out-of-Pocket) Healthcare Expenditures:
Base Scenario]]*Table153643454613[[#This Row],[Smoking-Attributable Fraction (SAF) of Healthcare Expenditures: Lower Bound
Adjusted for Intervention Impacts]]</calculatedColumnFormula>
    </tableColumn>
    <tableColumn id="30" name="Smoking-Attributable Private Healthcare Expenditures: Upper Bound_x000a_Intervention Scenario" dataDxfId="1268" dataCellStyle="Percent 2">
      <calculatedColumnFormula>Table153643454613[[#This Row],[Total Private (Out-of-Pocket) Healthcare Expenditures:
Base Scenario]]*Table153643454613[[#This Row],[Smoking-Attributable Fraction (SAF) of Healthcare Expenditures: Upper Bound
Adjusted for Intervention Impacts]]</calculatedColumnFormula>
    </tableColumn>
    <tableColumn id="12" name="Smoking-Attributable Other Health Expenditures:_x000a_Intervention Scenario" dataDxfId="1267" dataCellStyle="Percent">
      <calculatedColumnFormula>Table153643454613[[#This Row],[Total Other Health Expenditures:
Base Scenario]]*Table153643454613[[#This Row],[Smoking-Attributable Fraction (SAF) of Healthcare Expenditures:
Adjusted for Intervention Impacts]]</calculatedColumnFormula>
    </tableColumn>
    <tableColumn id="42" name="Smoking-Attributable Other Health Expenditures: Lower Bound_x000a_Intervention Scenario" dataDxfId="1266" dataCellStyle="Percent">
      <calculatedColumnFormula>Table153643454613[[#This Row],[Total Other Health Expenditures:
Base Scenario]]*Table153643454613[[#This Row],[Smoking-Attributable Fraction (SAF) of Healthcare Expenditures: Lower Bound
Adjusted for Intervention Impacts]]</calculatedColumnFormula>
    </tableColumn>
    <tableColumn id="41" name="Smoking-Attributable Other Health Expenditures: Upper Bound_x000a_Intervention Scenario" dataDxfId="1265" dataCellStyle="Percent">
      <calculatedColumnFormula>Table153643454613[[#This Row],[Total Other Health Expenditures:
Base Scenario]]*Table153643454613[[#This Row],[Smoking-Attributable Fraction (SAF) of Healthcare Expenditures: Upper Bound
Adjusted for Intervention Impacts]]</calculatedColumnFormula>
    </tableColumn>
    <tableColumn id="18" name="Savings in Smoking-Attributable Total Healthcare Expenditures:_x000a_Intervention Scenario" dataDxfId="1264" dataCellStyle="Percent">
      <calculatedColumnFormula>Table153643454613[[#This Row],[Smoking-Attributable Total Healthcare Expenditures:
Base Scenario]]-Table153643454613[[#This Row],[Smoking-Attributable Total Healthcare Expenditures:
Intervention Scenario]]</calculatedColumnFormula>
    </tableColumn>
    <tableColumn id="44" name="Savings in Smoking-Attributable Total Healthcare Expenditures: Lower Bound_x000a_Intervention Scenario" dataDxfId="1263" dataCellStyle="Percent">
      <calculatedColumnFormula>Table153643454613[[#This Row],[Smoking-Attributable Total Healthcare Expenditures: Lower Bound
Base Scenario]]-Table153643454613[[#This Row],[Smoking-Attributable Total Healthcare Expenditures: Lower Bound
Intervention Scenario]]</calculatedColumnFormula>
    </tableColumn>
    <tableColumn id="43" name="Savings in Smoking-Attributable Total Healthcare Expenditures: Upper Bound_x000a_Intervention Scenario" dataDxfId="1262" dataCellStyle="Percent">
      <calculatedColumnFormula>Table153643454613[[#This Row],[Smoking-Attributable Total Healthcare Expenditures: Upper Bound
Base Scenario]]-Table153643454613[[#This Row],[Smoking-Attributable Total Healthcare Expenditures: Upper Bound
Intervention Scenario]]</calculatedColumnFormula>
    </tableColumn>
    <tableColumn id="19" name="Savings in Smoking-Attributable Government Healthcare Expenditures_x000a_(including national insurance):_x000a_Intervention Scenario" dataDxfId="1261" dataCellStyle="Percent">
      <calculatedColumnFormula>Table153643454613[[#This Row],[Smoking-Attributable Government Healthcare Expenditures
(including national insurance):
Base Scenario]]-Table153643454613[[#This Row],[Smoking-Attributable Government Healthcare Expenditures
(including national insurance):
Intervention Scenario]]</calculatedColumnFormula>
    </tableColumn>
    <tableColumn id="46" name="Savings in Smoking-Attributable Government Healthcare Expenditures_x000a_(including national insurance): Lower Bound_x000a_Intervention Scenario" dataDxfId="1260" dataCellStyle="Percent">
      <calculatedColumnFormula>Table153643454613[[#This Row],[Smoking-Attributable Government Healthcare Expenditures
(including national insurance): Lower Bound
Base Scenario]]-Table153643454613[[#This Row],[Smoking-Attributable Government Healthcare Expenditures
(including national insurance): Lower Bound
Intervention Scenario]]</calculatedColumnFormula>
    </tableColumn>
    <tableColumn id="45" name="Savings in Smoking-Attributable Government Healthcare Expenditures_x000a_(including national insurance): Upper Bound_x000a_Intervention Scenario" dataDxfId="1259" dataCellStyle="Percent">
      <calculatedColumnFormula>Table153643454613[[#This Row],[Smoking-Attributable Government Healthcare Expenditures
(including national insurance): Upper Bound
Base Scenario]]-Table153643454613[[#This Row],[Smoking-Attributable Government Healthcare Expenditures
(including national insurance): Upper Bound
Intervention Scenario]]</calculatedColumnFormula>
    </tableColumn>
    <tableColumn id="20" name="Savings in Smoking-Attributable Private Healthcare Expenditures:_x000a_Intervention Scenario" dataDxfId="1258" dataCellStyle="Percent">
      <calculatedColumnFormula>Table153643454613[[#This Row],[Smoking-Attributable Private Healthcare Expenditures:
Base Scenario]]-Table153643454613[[#This Row],[Smoking-Attributable Private Healthcare Expenditures:
Intervention Scenario]]</calculatedColumnFormula>
    </tableColumn>
    <tableColumn id="48" name="Savings in Smoking-Attributable Private Healthcare Expenditures: Lower Bound_x000a_Intervention Scenario" dataDxfId="1257" dataCellStyle="Percent">
      <calculatedColumnFormula>Table153643454613[[#This Row],[Smoking-Attributable Private Healthcare Expenditures: Lower Bound
Base Scenario]]-Table153643454613[[#This Row],[Smoking-Attributable Private Healthcare Expenditures: Lower Bound
Intervention Scenario]]</calculatedColumnFormula>
    </tableColumn>
    <tableColumn id="47" name="Savings in Smoking-Attributable Private Healthcare Expenditures: Upper Bound_x000a_Intervention Scenario" dataDxfId="1256" dataCellStyle="Percent">
      <calculatedColumnFormula>Table153643454613[[#This Row],[Smoking-Attributable Private Healthcare Expenditures: Upper Bound
Base Scenario]]-Table153643454613[[#This Row],[Smoking-Attributable Private Healthcare Expenditures: Upper Bound
Intervention Scenario]]</calculatedColumnFormula>
    </tableColumn>
    <tableColumn id="21" name="Savings in Smoking-Attributable Other Health Expenditures:_x000a_Intervention Scenario" dataDxfId="1255" dataCellStyle="Percent">
      <calculatedColumnFormula>Table153643454613[[#This Row],[Smoking-Attributable Other Health Expenditures:
Base Scenario]]-Table153643454613[[#This Row],[Smoking-Attributable Other Health Expenditures:
Intervention Scenario]]</calculatedColumnFormula>
    </tableColumn>
    <tableColumn id="49" name="Savings in Smoking-Attributable Other Health Expenditures: Lower Bound_x000a_Intervention Scenario" dataDxfId="1254" dataCellStyle="Percent">
      <calculatedColumnFormula>Table153643454613[[#This Row],[Smoking-Attributable Other Health Expenditures: Lower Bound
Base Scenario]]-Table153643454613[[#This Row],[Smoking-Attributable Other Health Expenditures: Lower Bound
Intervention Scenario]]</calculatedColumnFormula>
    </tableColumn>
    <tableColumn id="50" name="Savings in Smoking-Attributable Other Health Expenditures: Upper Bound_x000a_Intervention Scenario" dataDxfId="1253" dataCellStyle="Percent">
      <calculatedColumnFormula>Table153643454613[[#This Row],[Smoking-Attributable Other Health Expenditures: Upper Bound
Base Scenario]]-Table153643454613[[#This Row],[Smoking-Attributable Other Health Expenditures: Upper Bound
Intervention Scenario]]</calculatedColumnFormula>
    </tableColumn>
  </tableColumns>
  <tableStyleInfo name="TableStyleMedium9" showFirstColumn="0" showLastColumn="0" showRowStripes="1" showColumnStripes="0"/>
</table>
</file>

<file path=xl/tables/table21.xml><?xml version="1.0" encoding="utf-8"?>
<table xmlns="http://schemas.openxmlformats.org/spreadsheetml/2006/main" id="15" name="Table17" displayName="Table17" ref="B141:T366" totalsRowShown="0" headerRowDxfId="1252" dataDxfId="1251" tableBorderDxfId="1250">
  <autoFilter ref="B141:T366"/>
  <tableColumns count="19">
    <tableColumn id="1" name="Risk Factor" dataDxfId="1249"/>
    <tableColumn id="2" name="Intervention" dataDxfId="1248"/>
    <tableColumn id="3" name="Period" dataDxfId="1247"/>
    <tableColumn id="4" name="Year Number" dataDxfId="1246"/>
    <tableColumn id="5" name="Age at Death" dataDxfId="1245"/>
    <tableColumn id="25" name="Number of Risk-Factor Attributable Deaths_x000a_(Base Scenario)" dataDxfId="1244"/>
    <tableColumn id="24" name="Number of Risk Factor Attributable Deaths:_x000a_Lower Bound_x000a_(Base Scenario)" dataDxfId="1243"/>
    <tableColumn id="23" name="Number of Risk Factor Attributable Deaths:_x000a_Upper Bound_x000a_(Base Scenario)" dataDxfId="1242"/>
    <tableColumn id="12" name="Relative Change in Smoking Prevalence_x000a_(Intervention Scenario)" dataDxfId="1241"/>
    <tableColumn id="13" name="Number of Risk Factor Attributable Deaths_x000a_(Intervention Scenario)" dataDxfId="1240"/>
    <tableColumn id="14" name="Number of Risk Factor Attributable Deaths:_x000a_Lower Bound_x000a_(Intervention Scenario)" dataDxfId="1239"/>
    <tableColumn id="15" name="Number of Risk Factor Attributable Deaths:_x000a_Upper Bound_x000a_(Intervention Scenario)" dataDxfId="1238"/>
    <tableColumn id="16" name="Number of Risk Factor Attribtuable Deaths Averted" dataDxfId="1237"/>
    <tableColumn id="17" name="Number of Risk Factor Attribtuable Deaths Averted:_x000a_Lower Bound" dataDxfId="1236"/>
    <tableColumn id="18" name="Number of Risk Factor Attribtuable Deaths Averted:_x000a_Upper Bound" dataDxfId="1235"/>
    <tableColumn id="19" name="Intervention Financial Costs (GEL)" dataDxfId="1234"/>
    <tableColumn id="20" name="Return on Investment (ROI):_x000a_Deaths Averted Per 1k GEL" dataDxfId="1233"/>
    <tableColumn id="21" name="Return on Investment (ROI):_x000a_Deaths Averted Per 1k GEL_x000a_(Lower Bound)" dataDxfId="1232"/>
    <tableColumn id="22" name="Return on Investment (ROI):_x000a_Deaths Averted Per 1k GEL_x000a_(Upper Bound)" dataDxfId="1231"/>
  </tableColumns>
  <tableStyleInfo name="TableStyleMedium6" showFirstColumn="0" showLastColumn="0" showRowStripes="1" showColumnStripes="0"/>
</table>
</file>

<file path=xl/tables/table22.xml><?xml version="1.0" encoding="utf-8"?>
<table xmlns="http://schemas.openxmlformats.org/spreadsheetml/2006/main" id="22" name="Table22" displayName="Table22" ref="B376:T421" totalsRowShown="0" headerRowDxfId="1230" dataDxfId="1229">
  <autoFilter ref="B376:T421"/>
  <tableColumns count="19">
    <tableColumn id="1" name="Risk Factor" dataDxfId="1228"/>
    <tableColumn id="2" name="Intervention" dataDxfId="1227"/>
    <tableColumn id="3" name="Period" dataDxfId="1226"/>
    <tableColumn id="4" name="Year Number" dataDxfId="1225"/>
    <tableColumn id="5" name="Age at Death" dataDxfId="1224"/>
    <tableColumn id="6" name="Number of Risk-Factor Attributable Deaths_x000a_(Base Scenario)" dataDxfId="1223"/>
    <tableColumn id="7" name="Number of Risk Factor Attributable Deaths:_x000a_Lower Bound_x000a_(Base Scenario)" dataDxfId="1222"/>
    <tableColumn id="8" name="Number of Risk Factor Attributable Deaths:_x000a_Upper Bound_x000a_(Base Scenario)" dataDxfId="1221"/>
    <tableColumn id="9" name="Relative Change in Smoking Prevalence_x000a_(Intervention Scenario)" dataDxfId="1220"/>
    <tableColumn id="10" name="Number of Risk Factor Attributable Deaths_x000a_(Intervention Scenario)" dataDxfId="1219"/>
    <tableColumn id="11" name="Number of Risk Factor Attributable Deaths:_x000a_Lower Bound_x000a_(Intervention Scenario)" dataDxfId="1218"/>
    <tableColumn id="12" name="Number of Risk Factor Attributable Deaths:_x000a_Upper Bound_x000a_(Intervention Scenario)" dataDxfId="1217"/>
    <tableColumn id="13" name="Number of Risk Factor Attribtuable Deaths Averted" dataDxfId="1216"/>
    <tableColumn id="14" name="Number of Risk Factor Attribtuable Deaths Averted:_x000a_Lower Bound" dataDxfId="1215"/>
    <tableColumn id="15" name="Number of Risk Factor Attribtuable Deaths Averted:_x000a_Upper Bound" dataDxfId="1214"/>
    <tableColumn id="17" name="Intervention Financial Costs (GEL)" dataDxfId="1213"/>
    <tableColumn id="18" name="Return on Investment (ROI):_x000a_Deaths Averted Per 1k GEL" dataDxfId="1212"/>
    <tableColumn id="19" name="Return on Investment (ROI):_x000a_Deaths Averted Per 1k GEL_x000a_(Lower Bound)" dataDxfId="1211"/>
    <tableColumn id="20" name="Return on Investment (ROI):_x000a_Deaths Averted Per 1k GEL_x000a_(Upper Bound)" dataDxfId="1210"/>
  </tableColumns>
  <tableStyleInfo name="TableStyleMedium6" showFirstColumn="0" showLastColumn="0" showRowStripes="1" showColumnStripes="0"/>
</table>
</file>

<file path=xl/tables/table23.xml><?xml version="1.0" encoding="utf-8"?>
<table xmlns="http://schemas.openxmlformats.org/spreadsheetml/2006/main" id="25" name="Table25" displayName="Table25" ref="B30:G57" totalsRowShown="0" headerRowDxfId="1209" dataDxfId="1208" tableBorderDxfId="1207">
  <autoFilter ref="B30:G57"/>
  <sortState ref="B13:G41">
    <sortCondition ref="D13:D39"/>
  </sortState>
  <tableColumns count="6">
    <tableColumn id="1" name="Diseases" dataDxfId="1206"/>
    <tableColumn id="2" name="ICD-10 Codes" dataDxfId="1205"/>
    <tableColumn id="3" name="Disease ID" dataDxfId="1204"/>
    <tableColumn id="4" name="Tobacco" dataDxfId="1203"/>
    <tableColumn id="5" name="Smoking" dataDxfId="1202"/>
    <tableColumn id="6" name="Secondhand Smoke" dataDxfId="1201"/>
  </tableColumns>
  <tableStyleInfo name="TableStyleMedium6" showFirstColumn="0" showLastColumn="0" showRowStripes="1" showColumnStripes="0"/>
</table>
</file>

<file path=xl/tables/table24.xml><?xml version="1.0" encoding="utf-8"?>
<table xmlns="http://schemas.openxmlformats.org/spreadsheetml/2006/main" id="16" name="Table18" displayName="Table18" ref="B84:G87" totalsRowShown="0" headerRowDxfId="1200" dataDxfId="1199" tableBorderDxfId="1198">
  <autoFilter ref="B84:G87"/>
  <tableColumns count="6">
    <tableColumn id="1" name="Measure" dataDxfId="1197"/>
    <tableColumn id="2" name="Measure Details" dataDxfId="1196"/>
    <tableColumn id="3" name="Measure ID" dataDxfId="1195"/>
    <tableColumn id="4" name="Tobacco" dataDxfId="1194"/>
    <tableColumn id="5" name="Smoking" dataDxfId="1193"/>
    <tableColumn id="6" name="Secondhand Smoke" dataDxfId="1192"/>
  </tableColumns>
  <tableStyleInfo name="TableStyleLight13" showFirstColumn="0" showLastColumn="0" showRowStripes="1" showColumnStripes="0"/>
</table>
</file>

<file path=xl/tables/table25.xml><?xml version="1.0" encoding="utf-8"?>
<table xmlns="http://schemas.openxmlformats.org/spreadsheetml/2006/main" id="17" name="Table19" displayName="Table19" ref="B104:G107" totalsRowShown="0" headerRowDxfId="1191" dataDxfId="1190" tableBorderDxfId="1189">
  <autoFilter ref="B104:G107"/>
  <tableColumns count="6">
    <tableColumn id="1" name="Measure" dataDxfId="1188"/>
    <tableColumn id="2" name="Measure Details" dataDxfId="1187"/>
    <tableColumn id="3" name="Measure ID" dataDxfId="1186"/>
    <tableColumn id="4" name="Tobacco" dataDxfId="1185"/>
    <tableColumn id="5" name="Smoking" dataDxfId="1184"/>
    <tableColumn id="6" name="Secondhand Smoke" dataDxfId="1183"/>
  </tableColumns>
  <tableStyleInfo name="TableStyleLight13" showFirstColumn="0" showLastColumn="0" showRowStripes="1" showColumnStripes="0"/>
</table>
</file>

<file path=xl/tables/table26.xml><?xml version="1.0" encoding="utf-8"?>
<table xmlns="http://schemas.openxmlformats.org/spreadsheetml/2006/main" id="84" name="tblModelResults_YLL508185" displayName="tblModelResults_YLL508185" ref="B129:T354" totalsRowShown="0" headerRowDxfId="1182" dataDxfId="1181" tableBorderDxfId="1180">
  <autoFilter ref="B129:T354"/>
  <tableColumns count="19">
    <tableColumn id="1" name="Risk Factor" dataDxfId="1179"/>
    <tableColumn id="2" name="Intervention" dataDxfId="1178"/>
    <tableColumn id="3" name="Period" dataDxfId="1177"/>
    <tableColumn id="4" name="Year Number" dataDxfId="1176"/>
    <tableColumn id="5" name="Age at Death" dataDxfId="1175"/>
    <tableColumn id="25" name="Cost of Risk-Factor Attributable Premature Mortality_x000a_(Base Scenario)" dataDxfId="1174"/>
    <tableColumn id="24" name="Cost of Risk Factor Attributable Premature Mortality:_x000a_Lower Bound_x000a_(Base Scenario)" dataDxfId="1173"/>
    <tableColumn id="23" name="Cost of Risk Factor Attributable Premature Mortality:_x000a_Upper Bound_x000a_(Base Scenario)" dataDxfId="1172"/>
    <tableColumn id="12" name="Relative Change in Smoking Prevalence_x000a_(Intervention Scenario)" dataDxfId="1171"/>
    <tableColumn id="13" name="Cost of Risk Factor Attributable Premature Mortality_x000a_(Intervention Scenario)" dataDxfId="1170"/>
    <tableColumn id="14" name="Cost of Risk Factor Attributable Premature Mortality:_x000a_Lower Bound_x000a_(Intervention Scenario)" dataDxfId="1169"/>
    <tableColumn id="15" name="Cost of Risk Factor Attributable Premature Mortality:_x000a_Upper Bound_x000a_(Intervention Scenario)" dataDxfId="1168"/>
    <tableColumn id="16" name="Cost Savings" dataDxfId="1167"/>
    <tableColumn id="17" name="Cost Savings:_x000a_Lower Bound" dataDxfId="1166"/>
    <tableColumn id="18" name="Cost Savings:_x000a_Upper Bound" dataDxfId="1165"/>
    <tableColumn id="19" name="Intervention Financial Costs (GEL)" dataDxfId="1164"/>
    <tableColumn id="20" name="Return on Investment (ROI):_x000a_Cost Savings Per 1k GEL" dataDxfId="1163"/>
    <tableColumn id="21" name="Return on Investment (ROI):_x000a_Cost Savings Per 1k GEL_x000a_(Lower Bound)" dataDxfId="1162"/>
    <tableColumn id="22" name="Return on Investment (ROI):_x000a_Cost Savings Per 1k GEL_x000a_(Upper Bound)" dataDxfId="1161"/>
  </tableColumns>
  <tableStyleInfo name="TableStyleMedium6" showFirstColumn="0" showLastColumn="0" showRowStripes="1" showColumnStripes="0"/>
</table>
</file>

<file path=xl/tables/table27.xml><?xml version="1.0" encoding="utf-8"?>
<table xmlns="http://schemas.openxmlformats.org/spreadsheetml/2006/main" id="85" name="tblModelResults_YLL_Summary578286" displayName="tblModelResults_YLL_Summary578286" ref="B364:T409" totalsRowShown="0" headerRowDxfId="1160" dataDxfId="1159">
  <autoFilter ref="B364:T409"/>
  <tableColumns count="19">
    <tableColumn id="1" name="Risk Factor" dataDxfId="1158"/>
    <tableColumn id="2" name="Intervention" dataDxfId="1157"/>
    <tableColumn id="3" name="Period" dataDxfId="1156"/>
    <tableColumn id="4" name="Year Number" dataDxfId="1155"/>
    <tableColumn id="5" name="Age at Death" dataDxfId="1154"/>
    <tableColumn id="6" name="Cost of Risk-Factor Attributable Premature Mortality_x000a_(Base Scenario)" dataDxfId="1153"/>
    <tableColumn id="7" name="Cost of Risk Factor Attributable Premature Mortality:_x000a_Lower Bound_x000a_(Base Scenario)" dataDxfId="1152"/>
    <tableColumn id="8" name="Cost of Risk Factor Attributable Premature Mortality:_x000a_Upper Bound_x000a_(Base Scenario)" dataDxfId="1151"/>
    <tableColumn id="9" name="Relative Change in Smoking Prevalence_x000a_(Intervention Scenario)" dataDxfId="1150"/>
    <tableColumn id="10" name="Cost of Risk Factor Attributable Premature Mortality_x000a_(Intervention Scenario)" dataDxfId="1149"/>
    <tableColumn id="11" name="Cost of Risk Factor Attributable Premature Mortality:_x000a_Lower Bound_x000a_(Intervention Scenario)" dataDxfId="1148"/>
    <tableColumn id="12" name="Cost of Risk Factor Attributable Premature Mortality:_x000a_Upper Bound_x000a_(Intervention Scenario)" dataDxfId="1147"/>
    <tableColumn id="13" name="Cost Savings" dataDxfId="1146"/>
    <tableColumn id="14" name="Cost Savings:_x000a_Lower Bound" dataDxfId="1145"/>
    <tableColumn id="15" name="Cost Savings:_x000a_Upper Bound" dataDxfId="1144"/>
    <tableColumn id="17" name="Intervention Financial Costs (GEL)" dataDxfId="1143"/>
    <tableColumn id="18" name="Return on Investment (ROI):_x000a_Cost Savings Per 1k GEL" dataDxfId="1142"/>
    <tableColumn id="19" name="Return on Investment (ROI):_x000a_Cost Savings Per 1k GEL_x000a_(Lower Bound)" dataDxfId="1141"/>
    <tableColumn id="20" name="Return on Investment (ROI):_x000a_Cost Savings Per 1k GEL_x000a_(Upper Bound)" dataDxfId="1140"/>
  </tableColumns>
  <tableStyleInfo name="TableStyleMedium6" showFirstColumn="0" showLastColumn="0" showRowStripes="1" showColumnStripes="0"/>
</table>
</file>

<file path=xl/tables/table28.xml><?xml version="1.0" encoding="utf-8"?>
<table xmlns="http://schemas.openxmlformats.org/spreadsheetml/2006/main" id="86" name="tblBase_YLL588387" displayName="tblBase_YLL588387" ref="B82:G85" totalsRowShown="0" headerRowDxfId="1139" dataDxfId="1138" tableBorderDxfId="1137">
  <autoFilter ref="B82:G85"/>
  <tableColumns count="6">
    <tableColumn id="1" name="Measure" dataDxfId="1136"/>
    <tableColumn id="2" name="Measure Details" dataDxfId="1135"/>
    <tableColumn id="3" name="Measure ID" dataDxfId="1134"/>
    <tableColumn id="4" name="Tobacco" dataDxfId="1133"/>
    <tableColumn id="5" name="Smoking" dataDxfId="1132"/>
    <tableColumn id="6" name="Secondhand Smoke" dataDxfId="1131"/>
  </tableColumns>
  <tableStyleInfo name="TableStyleLight13" showFirstColumn="0" showLastColumn="0" showRowStripes="1" showColumnStripes="0"/>
</table>
</file>

<file path=xl/tables/table29.xml><?xml version="1.0" encoding="utf-8"?>
<table xmlns="http://schemas.openxmlformats.org/spreadsheetml/2006/main" id="87" name="tblDiseases_YLL598488" displayName="tblDiseases_YLL598488" ref="B31:G58" totalsRowShown="0" headerRowDxfId="1130" dataDxfId="1129" tableBorderDxfId="1128">
  <autoFilter ref="B31:G58"/>
  <sortState ref="B14:G42">
    <sortCondition ref="D13:D39"/>
  </sortState>
  <tableColumns count="6">
    <tableColumn id="1" name="Diseases" dataDxfId="1127"/>
    <tableColumn id="2" name="ICD-10 Codes" dataDxfId="1126"/>
    <tableColumn id="3" name="Disease ID" dataDxfId="1125"/>
    <tableColumn id="4" name="Tobacco" dataDxfId="1124"/>
    <tableColumn id="5" name="Smoking" dataDxfId="1123"/>
    <tableColumn id="6" name="Secondhand Smoke" dataDxfId="1122"/>
  </tableColumns>
  <tableStyleInfo name="TableStyleMedium6" showFirstColumn="0" showLastColumn="0" showRowStripes="1" showColumnStripes="0"/>
</table>
</file>

<file path=xl/tables/table3.xml><?xml version="1.0" encoding="utf-8"?>
<table xmlns="http://schemas.openxmlformats.org/spreadsheetml/2006/main" id="39" name="Table33540" displayName="Table33540" ref="B40:E45" totalsRowShown="0" headerRowDxfId="1682">
  <autoFilter ref="B40:E45"/>
  <tableColumns count="4">
    <tableColumn id="1" name="Intervention/Policy" dataDxfId="1681"/>
    <tableColumn id="2" name="Relative Change in Smoking Prevalence: First 5 Years" dataDxfId="1680"/>
    <tableColumn id="3" name="Relative Change in Smoking Prevalence: Years 6-15" dataDxfId="1679"/>
    <tableColumn id="4" name="Relative Change in Smoking Prevalence: 15 Years" dataDxfId="1678" dataCellStyle="Normal 5"/>
  </tableColumns>
  <tableStyleInfo name="TableStyleMedium9" showFirstColumn="0" showLastColumn="0" showRowStripes="1" showColumnStripes="0"/>
</table>
</file>

<file path=xl/tables/table30.xml><?xml version="1.0" encoding="utf-8"?>
<table xmlns="http://schemas.openxmlformats.org/spreadsheetml/2006/main" id="26" name="tblModelResults_YLL" displayName="tblModelResults_YLL" ref="B160:T385" totalsRowShown="0" headerRowDxfId="1121" dataDxfId="1120" tableBorderDxfId="1119">
  <autoFilter ref="B160:T385"/>
  <tableColumns count="19">
    <tableColumn id="1" name="Risk Factor" dataDxfId="1118"/>
    <tableColumn id="2" name="Intervention" dataDxfId="1117"/>
    <tableColumn id="3" name="Period" dataDxfId="1116"/>
    <tableColumn id="4" name="Year Number" dataDxfId="1115"/>
    <tableColumn id="5" name="Age at Death" dataDxfId="1114"/>
    <tableColumn id="25" name="Risk-Factor Attributable Years of Life Lost Due to Premature Mortality (YLL)_x000a_(Base Scenario)" dataDxfId="1113"/>
    <tableColumn id="24" name="Risk Factor Attributable Years of Life Lost Due to Premature Mortality (YLL):_x000a_Lower Bound_x000a_(Base Scenario)" dataDxfId="1112"/>
    <tableColumn id="23" name="Risk Factor Attributable Years of Life Lost Due to Premature Mortality (YLL):_x000a_Upper Bound_x000a_(Base Scenario)" dataDxfId="1111"/>
    <tableColumn id="12" name="Relative Change in Smoking Prevalence_x000a_(Intervention Scenario)" dataDxfId="1110"/>
    <tableColumn id="13" name="Risk Factor Attributable Years of Life Lost Due to Premature Mortality (YLL)_x000a_(Intervention Scenario)" dataDxfId="1109"/>
    <tableColumn id="14" name="Risk Factor Attributable Years of Life Lost Due to Premature Mortality (YLL):_x000a_Lower Bound_x000a_(Intervention Scenario)" dataDxfId="1108"/>
    <tableColumn id="15" name="Risk Factor Attributable Years of Life Lost Due to Premature Mortality (YLL):_x000a_Upper Bound_x000a_(Intervention Scenario)" dataDxfId="1107"/>
    <tableColumn id="16" name="Years of Life Saved" dataDxfId="1106"/>
    <tableColumn id="17" name="Years of Life Saved:_x000a_Lower Bound" dataDxfId="1105"/>
    <tableColumn id="18" name="Years of Life Saved:_x000a_Upper Bound" dataDxfId="1104"/>
    <tableColumn id="19" name="Intervention Financial Costs (GEL)" dataDxfId="1103"/>
    <tableColumn id="20" name="Return on Investment (ROI):_x000a_Life Years Saved Per 1k GEL" dataDxfId="1102"/>
    <tableColumn id="21" name="Return on Investment (ROI):_x000a_Life Years Saved Per 1k GEL_x000a_(Lower Bound)" dataDxfId="1101"/>
    <tableColumn id="22" name="Return on Investment (ROI):_x000a_Life Years Saved Per 1k GEL_x000a_(Upper Bound)" dataDxfId="1100"/>
  </tableColumns>
  <tableStyleInfo name="TableStyleMedium6" showFirstColumn="0" showLastColumn="0" showRowStripes="1" showColumnStripes="0"/>
</table>
</file>

<file path=xl/tables/table31.xml><?xml version="1.0" encoding="utf-8"?>
<table xmlns="http://schemas.openxmlformats.org/spreadsheetml/2006/main" id="28" name="tblModelResults_YLL_Summary" displayName="tblModelResults_YLL_Summary" ref="B395:T440" totalsRowShown="0" headerRowDxfId="1099" dataDxfId="1098">
  <autoFilter ref="B395:T440"/>
  <tableColumns count="19">
    <tableColumn id="1" name="Risk Factor" dataDxfId="1097"/>
    <tableColumn id="2" name="Intervention" dataDxfId="1096"/>
    <tableColumn id="3" name="Period" dataDxfId="1095"/>
    <tableColumn id="4" name="Year Number" dataDxfId="1094"/>
    <tableColumn id="5" name="Age at Death" dataDxfId="1093"/>
    <tableColumn id="6" name="Risk-Factor Attributable Years of Life Lost Due to Premature Mortality (YLL)_x000a_(Base Scenario)" dataDxfId="1092"/>
    <tableColumn id="7" name="Risk Factor Attributable Years of Life Lost Due to Premature Mortality (YLL):_x000a_Lower Bound_x000a_(Base Scenario)" dataDxfId="1091"/>
    <tableColumn id="8" name="Risk Factor Attributable Years of Life Lost Due to Premature Mortality (YLL):_x000a_Upper Bound_x000a_(Base Scenario)" dataDxfId="1090"/>
    <tableColumn id="9" name="Relative Change in Smoking Prevalence_x000a_(Intervention Scenario)" dataDxfId="1089"/>
    <tableColumn id="10" name="Risk Factor Attributable Years of Life Lost Due to Premature Mortality (YLL)_x000a_(Intervention Scenario)" dataDxfId="1088"/>
    <tableColumn id="11" name="Risk Factor Attributable Years of Life Lost Due to Premature Mortality (YLL):_x000a_Lower Bound_x000a_(Intervention Scenario)" dataDxfId="1087"/>
    <tableColumn id="12" name="Risk Factor Attributable Years of Life Lost Due to Premature Mortality (YLL):_x000a_Upper Bound_x000a_(Intervention Scenario)" dataDxfId="1086"/>
    <tableColumn id="13" name="Years of Life Saved" dataDxfId="1085"/>
    <tableColumn id="14" name="Years of Life Saved:_x000a_Lower Bound" dataDxfId="1084"/>
    <tableColumn id="15" name="Years of Life Saved:_x000a_Upper Bound" dataDxfId="1083"/>
    <tableColumn id="17" name="Intervention Financial Costs (GEL)" dataDxfId="1082"/>
    <tableColumn id="18" name="Return on Investment (ROI):_x000a_Life Years Saved Per 1k GEL" dataDxfId="1081"/>
    <tableColumn id="19" name="Return on Investment (ROI):_x000a_Life Years Saved Per 1k GEL_x000a_(Lower Bound)" dataDxfId="1080"/>
    <tableColumn id="20" name="Return on Investment (ROI):_x000a_Life Years Saved Per 1k GEL_x000a_(Upper Bound)" dataDxfId="1079"/>
  </tableColumns>
  <tableStyleInfo name="TableStyleMedium6" showFirstColumn="0" showLastColumn="0" showRowStripes="1" showColumnStripes="0"/>
</table>
</file>

<file path=xl/tables/table32.xml><?xml version="1.0" encoding="utf-8"?>
<table xmlns="http://schemas.openxmlformats.org/spreadsheetml/2006/main" id="30" name="tblDiseases_YLL" displayName="tblDiseases_YLL" ref="B31:G58" totalsRowShown="0" headerRowDxfId="1078" dataDxfId="1077" tableBorderDxfId="1076">
  <autoFilter ref="B31:G58"/>
  <sortState ref="B13:G41">
    <sortCondition ref="D13:D39"/>
  </sortState>
  <tableColumns count="6">
    <tableColumn id="1" name="Diseases" dataDxfId="1075"/>
    <tableColumn id="2" name="ICD-10 Codes" dataDxfId="1074"/>
    <tableColumn id="3" name="Disease ID" dataDxfId="1073"/>
    <tableColumn id="4" name="Tobacco" dataDxfId="1072"/>
    <tableColumn id="5" name="Smoking" dataDxfId="1071"/>
    <tableColumn id="6" name="Secondhand Smoke" dataDxfId="1070"/>
  </tableColumns>
  <tableStyleInfo name="TableStyleMedium6" showFirstColumn="0" showLastColumn="0" showRowStripes="1" showColumnStripes="0"/>
</table>
</file>

<file path=xl/tables/table33.xml><?xml version="1.0" encoding="utf-8"?>
<table xmlns="http://schemas.openxmlformats.org/spreadsheetml/2006/main" id="23" name="Table23" displayName="Table23" ref="B91:G94" totalsRowShown="0" headerRowDxfId="1069" dataDxfId="1068" tableBorderDxfId="1067">
  <autoFilter ref="B91:G94"/>
  <tableColumns count="6">
    <tableColumn id="1" name="Measure" dataDxfId="1066"/>
    <tableColumn id="2" name="Measure Details" dataDxfId="1065"/>
    <tableColumn id="3" name="Measure ID" dataDxfId="1064"/>
    <tableColumn id="4" name="Tobacco" dataDxfId="1063"/>
    <tableColumn id="5" name="Smoking" dataDxfId="1062"/>
    <tableColumn id="6" name="Secondhand Smoke" dataDxfId="1061"/>
  </tableColumns>
  <tableStyleInfo name="TableStyleLight13" showFirstColumn="0" showLastColumn="0" showRowStripes="1" showColumnStripes="0"/>
</table>
</file>

<file path=xl/tables/table34.xml><?xml version="1.0" encoding="utf-8"?>
<table xmlns="http://schemas.openxmlformats.org/spreadsheetml/2006/main" id="24" name="Table24" displayName="Table24" ref="B114:G117" totalsRowShown="0" headerRowDxfId="1060" dataDxfId="1059" tableBorderDxfId="1058">
  <autoFilter ref="B114:G117"/>
  <tableColumns count="6">
    <tableColumn id="1" name="Measure"/>
    <tableColumn id="2" name="Measure Details" dataDxfId="1057"/>
    <tableColumn id="3" name="Measure ID" dataDxfId="1056"/>
    <tableColumn id="4" name="Tobacco" dataDxfId="1055"/>
    <tableColumn id="5" name="Smoking" dataDxfId="1054"/>
    <tableColumn id="6" name="Secondhand Smoke" dataDxfId="1053"/>
  </tableColumns>
  <tableStyleInfo name="TableStyleLight13" showFirstColumn="0" showLastColumn="0" showRowStripes="1" showColumnStripes="0"/>
</table>
</file>

<file path=xl/tables/table35.xml><?xml version="1.0" encoding="utf-8"?>
<table xmlns="http://schemas.openxmlformats.org/spreadsheetml/2006/main" id="49" name="tblModelResults_YLL50" displayName="tblModelResults_YLL50" ref="B147:T372" totalsRowShown="0" headerRowDxfId="1052" dataDxfId="1051" tableBorderDxfId="1050">
  <autoFilter ref="B147:T372"/>
  <tableColumns count="19">
    <tableColumn id="1" name="Risk Factor" dataDxfId="1049"/>
    <tableColumn id="2" name="Intervention" dataDxfId="1048"/>
    <tableColumn id="3" name="Period" dataDxfId="1047"/>
    <tableColumn id="4" name="Year Number" dataDxfId="1046"/>
    <tableColumn id="5" name="Age" dataDxfId="1045"/>
    <tableColumn id="25" name="Risk-Factor Attributable Years of Life Lived with a Disability (YLD)_x000a_(Base Scenario)" dataDxfId="1044"/>
    <tableColumn id="24" name="Risk Factor Attributable Years of Life Lived with a Disability (YLD):_x000a_Lower Bound_x000a_(Base Scenario)" dataDxfId="1043"/>
    <tableColumn id="23" name="Risk Factor Attributable Years of Life Lived with a Disability (YLD):_x000a_Upper Bound_x000a_(Base Scenario)" dataDxfId="1042"/>
    <tableColumn id="12" name="Relative Change in Smoking Prevalence_x000a_(Intervention Scenario)" dataDxfId="1041"/>
    <tableColumn id="13" name="Risk Factor Attributable Years of Life Lived with a Disability (YLD)_x000a_(Intervention Scenario)" dataDxfId="1040"/>
    <tableColumn id="14" name="Risk Factor Attributable Years of Life Lived with a Disability (YLD):_x000a_Lower Bound_x000a_(Intervention Scenario)" dataDxfId="1039"/>
    <tableColumn id="15" name="Risk Factor Attributable Years of Life Lived with a Disability (YLD):_x000a_Upper Bound_x000a_(Intervention Scenario)" dataDxfId="1038"/>
    <tableColumn id="16" name="Years of Life Saved" dataDxfId="1037"/>
    <tableColumn id="17" name="Years of Life Saved:_x000a_Lower Bound" dataDxfId="1036"/>
    <tableColumn id="18" name="Years of Life Saved:_x000a_Upper Bound" dataDxfId="1035"/>
    <tableColumn id="19" name="Intervention Financial Costs (GEL)" dataDxfId="1034"/>
    <tableColumn id="20" name="Return on Investment (ROI):_x000a_Life Years Saved Per 1k GEL" dataDxfId="1033"/>
    <tableColumn id="21" name="Return on Investment (ROI):_x000a_Life Years Saved Per 1k GEL_x000a_(Lower Bound)" dataDxfId="1032"/>
    <tableColumn id="22" name="Return on Investment (ROI):_x000a_Life Years Saved Per 1k GEL_x000a_(Upper Bound)" dataDxfId="1031"/>
  </tableColumns>
  <tableStyleInfo name="TableStyleMedium6" showFirstColumn="0" showLastColumn="0" showRowStripes="1" showColumnStripes="0"/>
</table>
</file>

<file path=xl/tables/table36.xml><?xml version="1.0" encoding="utf-8"?>
<table xmlns="http://schemas.openxmlformats.org/spreadsheetml/2006/main" id="56" name="tblModelResults_YLL_Summary57" displayName="tblModelResults_YLL_Summary57" ref="B383:T428" totalsRowShown="0" headerRowDxfId="1030" dataDxfId="1029">
  <autoFilter ref="B383:T428"/>
  <tableColumns count="19">
    <tableColumn id="1" name="Risk Factor" dataDxfId="1028"/>
    <tableColumn id="2" name="Intervention" dataDxfId="1027"/>
    <tableColumn id="3" name="Period" dataDxfId="1026"/>
    <tableColumn id="4" name="Year Number" dataDxfId="1025"/>
    <tableColumn id="5" name="Ages 30" dataDxfId="1024"/>
    <tableColumn id="6" name="Risk-Factor Attributable Years of Life Lived with a Disability (YLD)_x000a_(Base Scenario)" dataDxfId="1023"/>
    <tableColumn id="7" name="Risk Factor Attributable Years of Life Lived with a Disability (YLD):_x000a_Lower Bound_x000a_(Base Scenario)" dataDxfId="1022"/>
    <tableColumn id="8" name="Risk Factor Attributable Years of Life Lived with a Disability (YLD):_x000a_Upper Bound_x000a_(Base Scenario)" dataDxfId="1021"/>
    <tableColumn id="9" name="Relative Change in Smoking Prevalence_x000a_(Intervention Scenario)" dataDxfId="1020"/>
    <tableColumn id="10" name="Risk Factor Attributable Years of Life Lived with a Disability (YLD)_x000a_(Intervention Scenario)" dataDxfId="1019"/>
    <tableColumn id="11" name="Risk Factor Attributable Years of Life Lived with a Disability (YLD):_x000a_Lower Bound_x000a_(Intervention Scenario)" dataDxfId="1018"/>
    <tableColumn id="12" name="Risk Factor Attributable Years of Life Lived with a Disability (YLD):_x000a_Upper Bound_x000a_(Intervention Scenario)" dataDxfId="1017"/>
    <tableColumn id="13" name="Years of Life Saved" dataDxfId="1016"/>
    <tableColumn id="14" name="Years of Life Saved:_x000a_Lower Bound" dataDxfId="1015"/>
    <tableColumn id="15" name="Years of Life Saved:_x000a_Upper Bound" dataDxfId="1014"/>
    <tableColumn id="17" name="Intervention Financial Costs (GEL)" dataDxfId="1013"/>
    <tableColumn id="18" name="Return on Investment (ROI):_x000a_Life Years Saved Per 1k GEL" dataDxfId="1012"/>
    <tableColumn id="19" name="Return on Investment (ROI):_x000a_Life Years Saved Per 1k GEL_x000a_(Lower Bound)" dataDxfId="1011"/>
    <tableColumn id="20" name="Return on Investment (ROI):_x000a_Life Years Saved Per 1k GEL_x000a_(Upper Bound)" dataDxfId="1010"/>
  </tableColumns>
  <tableStyleInfo name="TableStyleMedium6" showFirstColumn="0" showLastColumn="0" showRowStripes="1" showColumnStripes="0"/>
</table>
</file>

<file path=xl/tables/table37.xml><?xml version="1.0" encoding="utf-8"?>
<table xmlns="http://schemas.openxmlformats.org/spreadsheetml/2006/main" id="58" name="tblDiseases_YLL59" displayName="tblDiseases_YLL59" ref="B30:G59" totalsRowShown="0" headerRowDxfId="1009" dataDxfId="1008" tableBorderDxfId="1007">
  <autoFilter ref="B30:G59"/>
  <sortState ref="B17:G45">
    <sortCondition ref="D13:D39"/>
  </sortState>
  <tableColumns count="6">
    <tableColumn id="1" name="Diseases" dataDxfId="1006"/>
    <tableColumn id="2" name="ICD-10 Codes" dataDxfId="1005"/>
    <tableColumn id="3" name="Disease ID" dataDxfId="1004"/>
    <tableColumn id="4" name="Tobacco" dataDxfId="1003"/>
    <tableColumn id="5" name="Smoking" dataDxfId="1002"/>
    <tableColumn id="6" name="Secondhand Smoke" dataDxfId="1001"/>
  </tableColumns>
  <tableStyleInfo name="TableStyleMedium6" showFirstColumn="0" showLastColumn="0" showRowStripes="1" showColumnStripes="0"/>
</table>
</file>

<file path=xl/tables/table38.xml><?xml version="1.0" encoding="utf-8"?>
<table xmlns="http://schemas.openxmlformats.org/spreadsheetml/2006/main" id="29" name="Table2330" displayName="Table2330" ref="B86:G89" totalsRowShown="0" headerRowDxfId="1000" dataDxfId="999" tableBorderDxfId="998">
  <autoFilter ref="B86:G89"/>
  <tableColumns count="6">
    <tableColumn id="1" name="Measure" dataDxfId="997"/>
    <tableColumn id="2" name="Measure Details" dataDxfId="996"/>
    <tableColumn id="3" name="Measure ID" dataDxfId="995"/>
    <tableColumn id="4" name="Tobacco" dataDxfId="994"/>
    <tableColumn id="5" name="Smoking" dataDxfId="993"/>
    <tableColumn id="6" name="Secondhand Smoke" dataDxfId="992"/>
  </tableColumns>
  <tableStyleInfo name="TableStyleLight13" showFirstColumn="0" showLastColumn="0" showRowStripes="1" showColumnStripes="0"/>
</table>
</file>

<file path=xl/tables/table39.xml><?xml version="1.0" encoding="utf-8"?>
<table xmlns="http://schemas.openxmlformats.org/spreadsheetml/2006/main" id="31" name="Table2432" displayName="Table2432" ref="B103:G106" totalsRowShown="0" headerRowDxfId="991" dataDxfId="990" tableBorderDxfId="989">
  <autoFilter ref="B103:G106"/>
  <tableColumns count="6">
    <tableColumn id="1" name="Measure"/>
    <tableColumn id="2" name="Measure Details" dataDxfId="988"/>
    <tableColumn id="3" name="Measure ID" dataDxfId="987"/>
    <tableColumn id="4" name="Tobacco" dataDxfId="986"/>
    <tableColumn id="5" name="Smoking" dataDxfId="985"/>
    <tableColumn id="6" name="Secondhand Smoke" dataDxfId="984"/>
  </tableColumns>
  <tableStyleInfo name="TableStyleLight13" showFirstColumn="0" showLastColumn="0" showRowStripes="1" showColumnStripes="0"/>
</table>
</file>

<file path=xl/tables/table4.xml><?xml version="1.0" encoding="utf-8"?>
<table xmlns="http://schemas.openxmlformats.org/spreadsheetml/2006/main" id="42" name="Table543" displayName="Table543" ref="B41:G59" totalsRowShown="0" headerRowDxfId="1677" dataDxfId="1676" headerRowCellStyle="Normal 5" dataCellStyle="Normal 5">
  <autoFilter ref="B41:G59"/>
  <tableColumns count="6">
    <tableColumn id="1" name="Year Number" dataDxfId="1675" dataCellStyle="Normal 5"/>
    <tableColumn id="7" name="All Interventions Combined" dataDxfId="1674" dataCellStyle="Normal 5">
      <calculatedColumnFormula>SUM(D42:G42)</calculatedColumnFormula>
    </tableColumn>
    <tableColumn id="2" name="Increase Tobacco Taxes"/>
    <tableColumn id="3" name="Smoke-Free Air Laws" dataDxfId="1673" dataCellStyle="Normal 5"/>
    <tableColumn id="4" name="Enforce Marketing Restrictions" dataDxfId="1672" dataCellStyle="Normal 5"/>
    <tableColumn id="5" name="Cigarette Package Warnings" dataDxfId="1671" dataCellStyle="Normal 5"/>
  </tableColumns>
  <tableStyleInfo name="TableStyleDark6" showFirstColumn="0" showLastColumn="0" showRowStripes="1" showColumnStripes="0"/>
</table>
</file>

<file path=xl/tables/table40.xml><?xml version="1.0" encoding="utf-8"?>
<table xmlns="http://schemas.openxmlformats.org/spreadsheetml/2006/main" id="80" name="tblModelResults_YLL5081" displayName="tblModelResults_YLL5081" ref="B165:T390" totalsRowShown="0" headerRowDxfId="983" dataDxfId="982" tableBorderDxfId="981">
  <autoFilter ref="B165:T390"/>
  <tableColumns count="19">
    <tableColumn id="1" name="Risk Factor" dataDxfId="980"/>
    <tableColumn id="2" name="Intervention" dataDxfId="979"/>
    <tableColumn id="3" name="Period" dataDxfId="978"/>
    <tableColumn id="4" name="Year Number" dataDxfId="977"/>
    <tableColumn id="5" name="Age" dataDxfId="976"/>
    <tableColumn id="25" name="Risk-Factor Attributable Disability-Adjusted Life Years (DALY)_x000a_(Base Scenario)" dataDxfId="975"/>
    <tableColumn id="24" name="Risk Factor Attributable Disability-Adjusted Life Years (DALY):_x000a_Lower Bound_x000a_(Base Scenario)" dataDxfId="974"/>
    <tableColumn id="23" name="Risk Factor Attributable Disability-Adjusted Life Years (DALY):_x000a_Upper Bound_x000a_(Base Scenario)" dataDxfId="973"/>
    <tableColumn id="12" name="Relative Change in Smoking Prevalence_x000a_(Intervention Scenario)" dataDxfId="972"/>
    <tableColumn id="13" name="Risk Factor Attributable Disability-Adjusted Life Years (DALY)_x000a_(Intervention Scenario)" dataDxfId="971"/>
    <tableColumn id="14" name="Risk Factor Attributable Disability-Adjusted Life Years (DALY):_x000a_Lower Bound_x000a_(Intervention Scenario)" dataDxfId="970"/>
    <tableColumn id="15" name="Risk Factor Attributable Disability-Adjusted Life Years (DALY):_x000a_Upper Bound_x000a_(Intervention Scenario)" dataDxfId="969"/>
    <tableColumn id="16" name="Years of Life Saved" dataDxfId="968"/>
    <tableColumn id="17" name="Years of Life Saved:_x000a_Lower Bound" dataDxfId="967"/>
    <tableColumn id="18" name="Years of Life Saved:_x000a_Upper Bound" dataDxfId="966"/>
    <tableColumn id="19" name="Intervention Financial Costs (GEL)" dataDxfId="965"/>
    <tableColumn id="20" name="Return on Investment (ROI):_x000a_Life Years Saved Per 1k GEL" dataDxfId="964"/>
    <tableColumn id="21" name="Return on Investment (ROI):_x000a_Life Years Saved Per 1k GEL_x000a_(Lower Bound)" dataDxfId="963"/>
    <tableColumn id="22" name="Return on Investment (ROI):_x000a_Life Years Saved Per 1k GEL_x000a_(Upper Bound)" dataDxfId="962"/>
  </tableColumns>
  <tableStyleInfo name="TableStyleMedium6" showFirstColumn="0" showLastColumn="0" showRowStripes="1" showColumnStripes="0"/>
</table>
</file>

<file path=xl/tables/table41.xml><?xml version="1.0" encoding="utf-8"?>
<table xmlns="http://schemas.openxmlformats.org/spreadsheetml/2006/main" id="81" name="tblModelResults_YLL_Summary5782" displayName="tblModelResults_YLL_Summary5782" ref="B400:T445" totalsRowShown="0" headerRowDxfId="961" dataDxfId="960">
  <autoFilter ref="B400:T445"/>
  <tableColumns count="19">
    <tableColumn id="1" name="Risk Factor" dataDxfId="959"/>
    <tableColumn id="2" name="Intervention" dataDxfId="958"/>
    <tableColumn id="3" name="Period" dataDxfId="957"/>
    <tableColumn id="4" name="Year Number" dataDxfId="956"/>
    <tableColumn id="5" name="Age" dataDxfId="955"/>
    <tableColumn id="6" name="Risk-Factor Attributable Disability-Adjusted Life Years (DALY)_x000a_(Base Scenario)" dataDxfId="954"/>
    <tableColumn id="7" name="Risk Factor Attributable Disability-Adjusted Life Years (DALY):_x000a_Lower Bound_x000a_(Base Scenario)" dataDxfId="953"/>
    <tableColumn id="8" name="Risk Factor Attributable Disability-Adjusted Life Years (DALY):_x000a_Upper Bound_x000a_(Base Scenario)" dataDxfId="952"/>
    <tableColumn id="9" name="Relative Change in Smoking Prevalence_x000a_(Intervention Scenario)" dataDxfId="951"/>
    <tableColumn id="10" name="Risk Factor Attributable Disability-Adjusted Life Years (DALY)_x000a_(Intervention Scenario)" dataDxfId="950"/>
    <tableColumn id="11" name="Risk Factor Attributable Disability-Adjusted Life Years (DALY):_x000a_Lower Bound_x000a_(Intervention Scenario)" dataDxfId="949"/>
    <tableColumn id="12" name="Risk Factor Attributable Disability-Adjusted Life Years (DALY):_x000a_Upper Bound_x000a_(Intervention Scenario)" dataDxfId="948"/>
    <tableColumn id="13" name="Years of Life Saved" dataDxfId="947"/>
    <tableColumn id="14" name="Years of Life Saved:_x000a_Lower Bound" dataDxfId="946"/>
    <tableColumn id="15" name="Years of Life Saved:_x000a_Upper Bound" dataDxfId="945"/>
    <tableColumn id="17" name="Intervention Financial Costs (GEL)" dataDxfId="944"/>
    <tableColumn id="18" name="Return on Investment (ROI):_x000a_Life Years Saved Per 1k GEL" dataDxfId="943"/>
    <tableColumn id="19" name="Return on Investment (ROI):_x000a_Life Years Saved Per 1k GEL_x000a_(Lower Bound)" dataDxfId="942"/>
    <tableColumn id="20" name="Return on Investment (ROI):_x000a_Life Years Saved Per 1k GEL_x000a_(Upper Bound)" dataDxfId="941"/>
  </tableColumns>
  <tableStyleInfo name="TableStyleMedium6" showFirstColumn="0" showLastColumn="0" showRowStripes="1" showColumnStripes="0"/>
</table>
</file>

<file path=xl/tables/table42.xml><?xml version="1.0" encoding="utf-8"?>
<table xmlns="http://schemas.openxmlformats.org/spreadsheetml/2006/main" id="83" name="tblDiseases_YLL5984" displayName="tblDiseases_YLL5984" ref="B30:G61" totalsRowShown="0" headerRowDxfId="940" dataDxfId="939" tableBorderDxfId="938">
  <autoFilter ref="B30:G61"/>
  <sortState ref="B14:G42">
    <sortCondition ref="D13:D39"/>
  </sortState>
  <tableColumns count="6">
    <tableColumn id="1" name="Diseases" dataDxfId="937"/>
    <tableColumn id="2" name="ICD-10 Codes" dataDxfId="936"/>
    <tableColumn id="3" name="Disease ID" dataDxfId="935"/>
    <tableColumn id="4" name="Tobacco" dataDxfId="934"/>
    <tableColumn id="5" name="Smoking" dataDxfId="933"/>
    <tableColumn id="6" name="Secondhand Smoke" dataDxfId="932"/>
  </tableColumns>
  <tableStyleInfo name="TableStyleMedium6" showFirstColumn="0" showLastColumn="0" showRowStripes="1" showColumnStripes="0"/>
</table>
</file>

<file path=xl/tables/table43.xml><?xml version="1.0" encoding="utf-8"?>
<table xmlns="http://schemas.openxmlformats.org/spreadsheetml/2006/main" id="34" name="Table2335" displayName="Table2335" ref="B94:G97" totalsRowShown="0" headerRowDxfId="931" dataDxfId="930" tableBorderDxfId="929">
  <autoFilter ref="B94:G97"/>
  <tableColumns count="6">
    <tableColumn id="1" name="Measure" dataDxfId="928"/>
    <tableColumn id="2" name="Measure Details" dataDxfId="927"/>
    <tableColumn id="3" name="Measure ID" dataDxfId="926"/>
    <tableColumn id="4" name="Tobacco" dataDxfId="925"/>
    <tableColumn id="5" name="Smoking" dataDxfId="924"/>
    <tableColumn id="6" name="Secondhand Smoke" dataDxfId="923"/>
  </tableColumns>
  <tableStyleInfo name="TableStyleLight13" showFirstColumn="0" showLastColumn="0" showRowStripes="1" showColumnStripes="0"/>
</table>
</file>

<file path=xl/tables/table44.xml><?xml version="1.0" encoding="utf-8"?>
<table xmlns="http://schemas.openxmlformats.org/spreadsheetml/2006/main" id="40" name="Table243241" displayName="Table243241" ref="B116:G119" totalsRowShown="0" headerRowDxfId="922" dataDxfId="921" tableBorderDxfId="920">
  <autoFilter ref="B116:G119"/>
  <tableColumns count="6">
    <tableColumn id="1" name="Measure"/>
    <tableColumn id="2" name="Measure Details" dataDxfId="919"/>
    <tableColumn id="3" name="Measure ID" dataDxfId="918"/>
    <tableColumn id="4" name="Tobacco" dataDxfId="917"/>
    <tableColumn id="5" name="Smoking" dataDxfId="916"/>
    <tableColumn id="6" name="Secondhand Smoke" dataDxfId="915"/>
  </tableColumns>
  <tableStyleInfo name="TableStyleLight13" showFirstColumn="0" showLastColumn="0" showRowStripes="1" showColumnStripes="0"/>
</table>
</file>

<file path=xl/tables/table45.xml><?xml version="1.0" encoding="utf-8"?>
<table xmlns="http://schemas.openxmlformats.org/spreadsheetml/2006/main" id="62" name="Table62" displayName="Table62" ref="B8:F16" totalsRowShown="0" headerRowDxfId="914" dataDxfId="913" tableBorderDxfId="912" headerRowCellStyle="Normal 2">
  <autoFilter ref="B8:F16"/>
  <tableColumns count="5">
    <tableColumn id="1" name="Input Parameter" dataDxfId="911" dataCellStyle="Normal 2"/>
    <tableColumn id="2" name="Estimate" dataDxfId="910"/>
    <tableColumn id="3" name="Range: Lower Bound" dataDxfId="909"/>
    <tableColumn id="4" name="Range: Upper Bound" dataDxfId="908" dataCellStyle="Normal 2"/>
    <tableColumn id="5" name="Data Source" dataDxfId="907"/>
  </tableColumns>
  <tableStyleInfo name="TableStyleMedium17" showFirstColumn="0" showLastColumn="0" showRowStripes="1" showColumnStripes="0"/>
</table>
</file>

<file path=xl/tables/table46.xml><?xml version="1.0" encoding="utf-8"?>
<table xmlns="http://schemas.openxmlformats.org/spreadsheetml/2006/main" id="63" name="Table63" displayName="Table63" ref="B23:F29" totalsRowShown="0" headerRowDxfId="906" dataDxfId="905" headerRowCellStyle="Normal 2">
  <autoFilter ref="B23:F29"/>
  <tableColumns count="5">
    <tableColumn id="1" name="Measure" dataDxfId="904" dataCellStyle="Normal 2"/>
    <tableColumn id="2" name="Year" dataDxfId="903" dataCellStyle="Normal 2"/>
    <tableColumn id="3" name="Males" dataDxfId="902"/>
    <tableColumn id="4" name="Females" dataDxfId="901"/>
    <tableColumn id="5" name="Data Source" dataDxfId="900" dataCellStyle="Normal 2"/>
  </tableColumns>
  <tableStyleInfo name="TableStyleMedium3" showFirstColumn="0" showLastColumn="0" showRowStripes="1" showColumnStripes="0"/>
</table>
</file>

<file path=xl/tables/table47.xml><?xml version="1.0" encoding="utf-8"?>
<table xmlns="http://schemas.openxmlformats.org/spreadsheetml/2006/main" id="64" name="Table64" displayName="Table64" ref="B34:E38" totalsRowShown="0" headerRowDxfId="899" headerRowBorderDxfId="898" tableBorderDxfId="897" totalsRowBorderDxfId="896" headerRowCellStyle="Normal 2">
  <autoFilter ref="B34:E38"/>
  <tableColumns count="4">
    <tableColumn id="1" name="Measure" dataDxfId="895" dataCellStyle="Normal 2"/>
    <tableColumn id="2" name="Males" dataDxfId="894" dataCellStyle="Normal 2"/>
    <tableColumn id="3" name="Females" dataDxfId="893" dataCellStyle="Normal 2"/>
    <tableColumn id="4" name="Total (Both Genders)" dataDxfId="892" dataCellStyle="Normal 2">
      <calculatedColumnFormula>C35+D35</calculatedColumnFormula>
    </tableColumn>
  </tableColumns>
  <tableStyleInfo name="TableStyleMedium19" showFirstColumn="0" showLastColumn="0" showRowStripes="1" showColumnStripes="0"/>
</table>
</file>

<file path=xl/tables/table48.xml><?xml version="1.0" encoding="utf-8"?>
<table xmlns="http://schemas.openxmlformats.org/spreadsheetml/2006/main" id="65" name="Table65" displayName="Table65" ref="B72:V88" totalsRowShown="0" headerRowDxfId="891" headerRowBorderDxfId="890" headerRowCellStyle="Normal 5">
  <autoFilter ref="B72:V88"/>
  <tableColumns count="21">
    <tableColumn id="1" name="Year_x000a_Number" dataDxfId="889" dataCellStyle="Normal 5"/>
    <tableColumn id="11" name="Employed Persons:_x000a_Males" dataDxfId="888" dataCellStyle="Normal 5">
      <calculatedColumnFormula>$D$24</calculatedColumnFormula>
    </tableColumn>
    <tableColumn id="10" name="Employed Persons:_x000a_Females" dataDxfId="887" dataCellStyle="Normal 5">
      <calculatedColumnFormula>$E$24</calculatedColumnFormula>
    </tableColumn>
    <tableColumn id="6" name="Smoking Prevalence:_x000a_Males" dataDxfId="886" dataCellStyle="Normal 5">
      <calculatedColumnFormula>$D$25</calculatedColumnFormula>
    </tableColumn>
    <tableColumn id="5" name="Smoking Prevalence:_x000a_Females" dataDxfId="885" dataCellStyle="Normal 5">
      <calculatedColumnFormula>$E$25</calculatedColumnFormula>
    </tableColumn>
    <tableColumn id="9" name="Employed Smokers:_x000a_Males" dataDxfId="884" dataCellStyle="Normal 5">
      <calculatedColumnFormula>Table65[[#This Row],[Employed Persons:
Males]]*Table65[[#This Row],[Smoking Prevalence:
Males]]</calculatedColumnFormula>
    </tableColumn>
    <tableColumn id="8" name="Employed Smokers:_x000a_Females" dataDxfId="883" dataCellStyle="Normal 5">
      <calculatedColumnFormula>Table65[[#This Row],[Employed Persons:
Females]]*Table65[[#This Row],[Smoking Prevalence:
Females]]</calculatedColumnFormula>
    </tableColumn>
    <tableColumn id="2" name="Excess Absenteeism (Costs):_x000a_Males" dataDxfId="882" dataCellStyle="Normal 5">
      <calculatedColumnFormula>$C$9*Table65[[#This Row],[Employed Smokers:
Males]]*D$29</calculatedColumnFormula>
    </tableColumn>
    <tableColumn id="3" name="Excess Absenteeism (Costs):_x000a_Females" dataDxfId="881">
      <calculatedColumnFormula>$C$9*Table65[[#This Row],[Employed Smokers:
Females]]*E$29</calculatedColumnFormula>
    </tableColumn>
    <tableColumn id="4" name="Excess Absenteeism (Costs):_x000a_Total" dataDxfId="880">
      <calculatedColumnFormula>Table65[[#This Row],[Excess Absenteeism (Costs):
Males]]+Table65[[#This Row],[Excess Absenteeism (Costs):
Females]]</calculatedColumnFormula>
    </tableColumn>
    <tableColumn id="12" name="Relative Change in Smoking Prevalence:_x000a_Increase Cigarette Taxes"/>
    <tableColumn id="13" name="Smoking Prevalence Associated with Intervention: Males" dataDxfId="879">
      <calculatedColumnFormula>Table65[[#This Row],[Smoking Prevalence:
Males]]</calculatedColumnFormula>
    </tableColumn>
    <tableColumn id="14" name="Smoking Prevalence Associated with Intervention: Females" dataDxfId="878">
      <calculatedColumnFormula>Table65[[#This Row],[Smoking Prevalence:
Females]]</calculatedColumnFormula>
    </tableColumn>
    <tableColumn id="15" name="Employed Smokers (Intervention Scenario):_x000a_Males" dataDxfId="877">
      <calculatedColumnFormula>Table65[[#This Row],[Employed Persons:
Males]]*Table65[[#This Row],[Smoking Prevalence Associated with Intervention: Males]]</calculatedColumnFormula>
    </tableColumn>
    <tableColumn id="16" name="Employed Smokers (Intervention Scenario):_x000a_Females" dataDxfId="876">
      <calculatedColumnFormula>Table65[[#This Row],[Employed Persons:
Females]]*Table65[[#This Row],[Smoking Prevalence Associated with Intervention: Females]]</calculatedColumnFormula>
    </tableColumn>
    <tableColumn id="17" name="Excess Absenteeism (Costs) - Intervention Scenario:_x000a_Males" dataDxfId="875">
      <calculatedColumnFormula>$C$9*O73*D$29</calculatedColumnFormula>
    </tableColumn>
    <tableColumn id="18" name="Excess Absenteeism (Costs) - Intervention Scenario:_x000a_Females" dataDxfId="874">
      <calculatedColumnFormula>$C$9*P73*E$29</calculatedColumnFormula>
    </tableColumn>
    <tableColumn id="19" name="Excess Absenteeism (Costs) - Intervention Scenario:_x000a_Total" dataDxfId="873">
      <calculatedColumnFormula>Table65[[#This Row],[Excess Absenteeism (Costs) - Intervention Scenario:
Males]]+Table65[[#This Row],[Excess Absenteeism (Costs) - Intervention Scenario:
Females]]</calculatedColumnFormula>
    </tableColumn>
    <tableColumn id="20" name="Cost Savings:_x000a_Males" dataDxfId="872">
      <calculatedColumnFormula>Table65[[#This Row],[Excess Absenteeism (Costs):
Males]]-Table65[[#This Row],[Excess Absenteeism (Costs) - Intervention Scenario:
Males]]</calculatedColumnFormula>
    </tableColumn>
    <tableColumn id="21" name="Cost Savings:_x000a_Females" dataDxfId="871">
      <calculatedColumnFormula>Table65[[#This Row],[Excess Absenteeism (Costs):
Females]]-Table65[[#This Row],[Excess Absenteeism (Costs) - Intervention Scenario:
Females]]</calculatedColumnFormula>
    </tableColumn>
    <tableColumn id="22" name="Cost Savings:_x000a_Total" dataDxfId="870">
      <calculatedColumnFormula>Table65[[#This Row],[Excess Absenteeism (Costs):
Total]]-Table65[[#This Row],[Excess Absenteeism (Costs) - Intervention Scenario:
Total]]</calculatedColumnFormula>
    </tableColumn>
  </tableColumns>
  <tableStyleInfo name="TableStyleMedium9" showFirstColumn="0" showLastColumn="0" showRowStripes="1" showColumnStripes="0"/>
</table>
</file>

<file path=xl/tables/table49.xml><?xml version="1.0" encoding="utf-8"?>
<table xmlns="http://schemas.openxmlformats.org/spreadsheetml/2006/main" id="66" name="Table6567" displayName="Table6567" ref="B95:V111" totalsRowShown="0" headerRowDxfId="869" headerRowBorderDxfId="868" headerRowCellStyle="Normal 5">
  <autoFilter ref="B95:V111"/>
  <tableColumns count="21">
    <tableColumn id="1" name="Year_x000a_Number" dataDxfId="867" dataCellStyle="Normal 5"/>
    <tableColumn id="11" name="Employed Persons:_x000a_Males" dataDxfId="866" dataCellStyle="Normal 5">
      <calculatedColumnFormula>$D$24</calculatedColumnFormula>
    </tableColumn>
    <tableColumn id="10" name="Employed Persons:_x000a_Females" dataDxfId="865" dataCellStyle="Normal 5">
      <calculatedColumnFormula>$E$24</calculatedColumnFormula>
    </tableColumn>
    <tableColumn id="6" name="Smoking Prevalence:_x000a_Males" dataDxfId="864" dataCellStyle="Normal 5">
      <calculatedColumnFormula>$D$25</calculatedColumnFormula>
    </tableColumn>
    <tableColumn id="5" name="Smoking Prevalence:_x000a_Females" dataDxfId="863" dataCellStyle="Normal 5">
      <calculatedColumnFormula>$E$25</calculatedColumnFormula>
    </tableColumn>
    <tableColumn id="9" name="Employed Smokers:_x000a_Males" dataDxfId="862" dataCellStyle="Normal 5">
      <calculatedColumnFormula>Table6567[[#This Row],[Employed Persons:
Males]]*Table6567[[#This Row],[Smoking Prevalence:
Males]]</calculatedColumnFormula>
    </tableColumn>
    <tableColumn id="8" name="Employed Smokers:_x000a_Females" dataDxfId="861" dataCellStyle="Normal 5">
      <calculatedColumnFormula>Table6567[[#This Row],[Employed Persons:
Females]]*Table6567[[#This Row],[Smoking Prevalence:
Females]]</calculatedColumnFormula>
    </tableColumn>
    <tableColumn id="2" name="Excess Absenteeism (Costs):_x000a_Males" dataDxfId="860" dataCellStyle="Normal 5">
      <calculatedColumnFormula>$C$9*Table6567[[#This Row],[Employed Smokers:
Males]]*D$29</calculatedColumnFormula>
    </tableColumn>
    <tableColumn id="3" name="Excess Absenteeism (Costs):_x000a_Females" dataDxfId="859">
      <calculatedColumnFormula>$C$9*Table6567[[#This Row],[Employed Smokers:
Females]]*E$29</calculatedColumnFormula>
    </tableColumn>
    <tableColumn id="4" name="Excess Absenteeism (Costs):_x000a_Total" dataDxfId="858">
      <calculatedColumnFormula>Table6567[[#This Row],[Excess Absenteeism (Costs):
Males]]+Table6567[[#This Row],[Excess Absenteeism (Costs):
Females]]</calculatedColumnFormula>
    </tableColumn>
    <tableColumn id="12" name="Relative Change in Smoking Prevalence:_x000a_Smoke-Free Air Laws"/>
    <tableColumn id="13" name="Smoking Prevalence Associated with Intervention: Males" dataDxfId="857">
      <calculatedColumnFormula>Table6567[[#This Row],[Smoking Prevalence:
Males]]</calculatedColumnFormula>
    </tableColumn>
    <tableColumn id="14" name="Smoking Prevalence Associated with Intervention: Females" dataDxfId="856">
      <calculatedColumnFormula>Table6567[[#This Row],[Smoking Prevalence:
Females]]</calculatedColumnFormula>
    </tableColumn>
    <tableColumn id="15" name="Employed Smokers (Intervention Scenario):_x000a_Males" dataDxfId="855">
      <calculatedColumnFormula>Table6567[[#This Row],[Employed Persons:
Males]]*Table6567[[#This Row],[Smoking Prevalence Associated with Intervention: Males]]</calculatedColumnFormula>
    </tableColumn>
    <tableColumn id="16" name="Employed Smokers (Intervention Scenario):_x000a_Females" dataDxfId="854">
      <calculatedColumnFormula>Table6567[[#This Row],[Employed Persons:
Females]]*Table6567[[#This Row],[Smoking Prevalence Associated with Intervention: Females]]</calculatedColumnFormula>
    </tableColumn>
    <tableColumn id="17" name="Excess Absenteeism (Costs) - Intervention Scenario:_x000a_Males" dataDxfId="853">
      <calculatedColumnFormula>$C$9*O96*D$29</calculatedColumnFormula>
    </tableColumn>
    <tableColumn id="18" name="Excess Absenteeism (Costs) - Intervention Scenario:_x000a_Females" dataDxfId="852">
      <calculatedColumnFormula>$C$9*P96*E$29</calculatedColumnFormula>
    </tableColumn>
    <tableColumn id="19" name="Excess Absenteeism (Costs) - Intervention Scenario:_x000a_Total" dataDxfId="851">
      <calculatedColumnFormula>Table6567[[#This Row],[Excess Absenteeism (Costs) - Intervention Scenario:
Males]]+Table6567[[#This Row],[Excess Absenteeism (Costs) - Intervention Scenario:
Females]]</calculatedColumnFormula>
    </tableColumn>
    <tableColumn id="20" name="Cost Savings:_x000a_Males" dataDxfId="850">
      <calculatedColumnFormula>Table6567[[#This Row],[Excess Absenteeism (Costs):
Males]]-Table6567[[#This Row],[Excess Absenteeism (Costs) - Intervention Scenario:
Males]]</calculatedColumnFormula>
    </tableColumn>
    <tableColumn id="21" name="Cost Savings:_x000a_Females" dataDxfId="849">
      <calculatedColumnFormula>Table6567[[#This Row],[Excess Absenteeism (Costs):
Females]]-Table6567[[#This Row],[Excess Absenteeism (Costs) - Intervention Scenario:
Females]]</calculatedColumnFormula>
    </tableColumn>
    <tableColumn id="22" name="Cost Savings:_x000a_Total" dataDxfId="848">
      <calculatedColumnFormula>Table6567[[#This Row],[Excess Absenteeism (Costs):
Total]]-Table6567[[#This Row],[Excess Absenteeism (Costs) - Intervention Scenario:
Total]]</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43" name="Table1644" displayName="Table1644" ref="B21:J25" totalsRowShown="0" dataDxfId="1670">
  <autoFilter ref="B21:J25"/>
  <tableColumns count="9">
    <tableColumn id="1" name="Type of Expenditure" dataDxfId="1669"/>
    <tableColumn id="2" name="Year" dataDxfId="1668"/>
    <tableColumn id="3" name="Total Healthcare Expenditures" dataDxfId="1667"/>
    <tableColumn id="8" name="Smoking-Attributable Fraction (SAF) for Georgia" dataDxfId="1666" dataCellStyle="Comma 2">
      <calculatedColumnFormula>$C$16</calculatedColumnFormula>
    </tableColumn>
    <tableColumn id="5" name="Smoking-Attributable Fraction (SAF) for Georgia: Lower Bound" dataDxfId="1665" dataCellStyle="Comma 2">
      <calculatedColumnFormula>$C$17</calculatedColumnFormula>
    </tableColumn>
    <tableColumn id="6" name="Smoking-Attributable Fraction (SAF) for Georgia: Upper Bound" dataDxfId="1664" dataCellStyle="Comma 2">
      <calculatedColumnFormula>$C$18</calculatedColumnFormula>
    </tableColumn>
    <tableColumn id="9" name="Smoking-Attributable Expenditures" dataDxfId="1663" dataCellStyle="Comma 2">
      <calculatedColumnFormula>Table1644[[#This Row],[Total Healthcare Expenditures]]*Table1644[[#This Row],[Smoking-Attributable Fraction (SAF) for Georgia]]</calculatedColumnFormula>
    </tableColumn>
    <tableColumn id="4" name="Smoking-Attributable Expenditures: Lower Bound" dataDxfId="1662">
      <calculatedColumnFormula>Table1644[[#This Row],[Total Healthcare Expenditures]]*Table1644[[#This Row],[Smoking-Attributable Fraction (SAF) for Georgia: Lower Bound]]</calculatedColumnFormula>
    </tableColumn>
    <tableColumn id="7" name="Smoking-Attributable Expenditures: Upper Bound" dataDxfId="1661">
      <calculatedColumnFormula>Table1644[[#This Row],[Total Healthcare Expenditures]]*Table1644[[#This Row],[Smoking-Attributable Fraction (SAF) for Georgia: Upper Bound]]</calculatedColumnFormula>
    </tableColumn>
  </tableColumns>
  <tableStyleInfo name="TableStyleMedium2" showFirstColumn="0" showLastColumn="0" showRowStripes="1" showColumnStripes="0"/>
</table>
</file>

<file path=xl/tables/table50.xml><?xml version="1.0" encoding="utf-8"?>
<table xmlns="http://schemas.openxmlformats.org/spreadsheetml/2006/main" id="67" name="Table656768" displayName="Table656768" ref="B118:V134" totalsRowShown="0" headerRowDxfId="847" headerRowBorderDxfId="846" headerRowCellStyle="Normal 5">
  <autoFilter ref="B118:V134"/>
  <tableColumns count="21">
    <tableColumn id="1" name="Year_x000a_Number" dataDxfId="845" dataCellStyle="Normal 5"/>
    <tableColumn id="11" name="Employed Persons:_x000a_Males" dataDxfId="844" dataCellStyle="Normal 5">
      <calculatedColumnFormula>$D$24</calculatedColumnFormula>
    </tableColumn>
    <tableColumn id="10" name="Employed Persons:_x000a_Females" dataDxfId="843" dataCellStyle="Normal 5">
      <calculatedColumnFormula>$E$24</calculatedColumnFormula>
    </tableColumn>
    <tableColumn id="6" name="Smoking Prevalence:_x000a_Males" dataDxfId="842" dataCellStyle="Normal 5">
      <calculatedColumnFormula>$D$25</calculatedColumnFormula>
    </tableColumn>
    <tableColumn id="5" name="Smoking Prevalence:_x000a_Females" dataDxfId="841" dataCellStyle="Normal 5">
      <calculatedColumnFormula>$E$25</calculatedColumnFormula>
    </tableColumn>
    <tableColumn id="9" name="Employed Smokers:_x000a_Males" dataDxfId="840" dataCellStyle="Normal 5">
      <calculatedColumnFormula>Table656768[[#This Row],[Employed Persons:
Males]]*Table656768[[#This Row],[Smoking Prevalence:
Males]]</calculatedColumnFormula>
    </tableColumn>
    <tableColumn id="8" name="Employed Smokers:_x000a_Females" dataDxfId="839" dataCellStyle="Normal 5">
      <calculatedColumnFormula>Table656768[[#This Row],[Employed Persons:
Females]]*Table656768[[#This Row],[Smoking Prevalence:
Females]]</calculatedColumnFormula>
    </tableColumn>
    <tableColumn id="2" name="Excess Absenteeism (Costs):_x000a_Males" dataDxfId="838" dataCellStyle="Normal 5">
      <calculatedColumnFormula>$C$9*Table656768[[#This Row],[Employed Smokers:
Males]]*D$29</calculatedColumnFormula>
    </tableColumn>
    <tableColumn id="3" name="Excess Absenteeism (Costs):_x000a_Females" dataDxfId="837">
      <calculatedColumnFormula>$C$9*Table656768[[#This Row],[Employed Smokers:
Females]]*E$29</calculatedColumnFormula>
    </tableColumn>
    <tableColumn id="4" name="Excess Absenteeism (Costs):_x000a_Total" dataDxfId="836">
      <calculatedColumnFormula>Table656768[[#This Row],[Excess Absenteeism (Costs):
Males]]+Table656768[[#This Row],[Excess Absenteeism (Costs):
Females]]</calculatedColumnFormula>
    </tableColumn>
    <tableColumn id="12" name="Relative Change in Smoking Prevalence:_x000a_Enforce Marketing Restrictions"/>
    <tableColumn id="13" name="Smoking Prevalence Associated with Intervention: Males" dataDxfId="835">
      <calculatedColumnFormula>Table656768[[#This Row],[Smoking Prevalence:
Males]]</calculatedColumnFormula>
    </tableColumn>
    <tableColumn id="14" name="Smoking Prevalence Associated with Intervention: Females" dataDxfId="834">
      <calculatedColumnFormula>Table656768[[#This Row],[Smoking Prevalence:
Females]]</calculatedColumnFormula>
    </tableColumn>
    <tableColumn id="15" name="Employed Smokers (Intervention Scenario):_x000a_Males" dataDxfId="833">
      <calculatedColumnFormula>Table656768[[#This Row],[Employed Persons:
Males]]*Table656768[[#This Row],[Smoking Prevalence Associated with Intervention: Males]]</calculatedColumnFormula>
    </tableColumn>
    <tableColumn id="16" name="Employed Smokers (Intervention Scenario):_x000a_Females" dataDxfId="832">
      <calculatedColumnFormula>Table656768[[#This Row],[Employed Persons:
Females]]*Table656768[[#This Row],[Smoking Prevalence Associated with Intervention: Females]]</calculatedColumnFormula>
    </tableColumn>
    <tableColumn id="17" name="Excess Absenteeism (Costs) - Intervention Scenario:_x000a_Males" dataDxfId="831">
      <calculatedColumnFormula>$C$9*O119*D$29</calculatedColumnFormula>
    </tableColumn>
    <tableColumn id="18" name="Excess Absenteeism (Costs) - Intervention Scenario:_x000a_Females" dataDxfId="830">
      <calculatedColumnFormula>$C$9*P119*E$29</calculatedColumnFormula>
    </tableColumn>
    <tableColumn id="19" name="Excess Absenteeism (Costs) - Intervention Scenario:_x000a_Total" dataDxfId="829">
      <calculatedColumnFormula>Table656768[[#This Row],[Excess Absenteeism (Costs) - Intervention Scenario:
Males]]+Table656768[[#This Row],[Excess Absenteeism (Costs) - Intervention Scenario:
Females]]</calculatedColumnFormula>
    </tableColumn>
    <tableColumn id="20" name="Cost Savings:_x000a_Males" dataDxfId="828">
      <calculatedColumnFormula>Table656768[[#This Row],[Excess Absenteeism (Costs):
Males]]-Table656768[[#This Row],[Excess Absenteeism (Costs) - Intervention Scenario:
Males]]</calculatedColumnFormula>
    </tableColumn>
    <tableColumn id="21" name="Cost Savings:_x000a_Females" dataDxfId="827">
      <calculatedColumnFormula>Table656768[[#This Row],[Excess Absenteeism (Costs):
Females]]-Table656768[[#This Row],[Excess Absenteeism (Costs) - Intervention Scenario:
Females]]</calculatedColumnFormula>
    </tableColumn>
    <tableColumn id="22" name="Cost Savings:_x000a_Total" dataDxfId="826">
      <calculatedColumnFormula>Table656768[[#This Row],[Excess Absenteeism (Costs):
Total]]-Table656768[[#This Row],[Excess Absenteeism (Costs) - Intervention Scenario:
Total]]</calculatedColumnFormula>
    </tableColumn>
  </tableColumns>
  <tableStyleInfo name="TableStyleMedium9" showFirstColumn="0" showLastColumn="0" showRowStripes="1" showColumnStripes="0"/>
</table>
</file>

<file path=xl/tables/table51.xml><?xml version="1.0" encoding="utf-8"?>
<table xmlns="http://schemas.openxmlformats.org/spreadsheetml/2006/main" id="68" name="Table65676869" displayName="Table65676869" ref="B141:V157" totalsRowShown="0" headerRowDxfId="825" headerRowBorderDxfId="824" headerRowCellStyle="Normal 5">
  <autoFilter ref="B141:V157"/>
  <tableColumns count="21">
    <tableColumn id="1" name="Year_x000a_Number" dataDxfId="823" dataCellStyle="Normal 5"/>
    <tableColumn id="11" name="Employed Persons:_x000a_Males" dataDxfId="822" dataCellStyle="Normal 5">
      <calculatedColumnFormula>$D$24</calculatedColumnFormula>
    </tableColumn>
    <tableColumn id="10" name="Employed Persons:_x000a_Females" dataDxfId="821" dataCellStyle="Normal 5">
      <calculatedColumnFormula>$E$24</calculatedColumnFormula>
    </tableColumn>
    <tableColumn id="6" name="Smoking Prevalence:_x000a_Males" dataDxfId="820" dataCellStyle="Normal 5">
      <calculatedColumnFormula>$D$25</calculatedColumnFormula>
    </tableColumn>
    <tableColumn id="5" name="Smoking Prevalence:_x000a_Females" dataDxfId="819" dataCellStyle="Normal 5">
      <calculatedColumnFormula>$E$25</calculatedColumnFormula>
    </tableColumn>
    <tableColumn id="9" name="Employed Smokers:_x000a_Males" dataDxfId="818" dataCellStyle="Normal 5">
      <calculatedColumnFormula>Table65676869[[#This Row],[Employed Persons:
Males]]*Table65676869[[#This Row],[Smoking Prevalence:
Males]]</calculatedColumnFormula>
    </tableColumn>
    <tableColumn id="8" name="Employed Smokers:_x000a_Females" dataDxfId="817" dataCellStyle="Normal 5">
      <calculatedColumnFormula>Table65676869[[#This Row],[Employed Persons:
Females]]*Table65676869[[#This Row],[Smoking Prevalence:
Females]]</calculatedColumnFormula>
    </tableColumn>
    <tableColumn id="2" name="Excess Absenteeism (Costs):_x000a_Males" dataDxfId="816" dataCellStyle="Normal 5">
      <calculatedColumnFormula>$C$9*Table65676869[[#This Row],[Employed Smokers:
Males]]*D$29</calculatedColumnFormula>
    </tableColumn>
    <tableColumn id="3" name="Excess Absenteeism (Costs):_x000a_Females" dataDxfId="815">
      <calculatedColumnFormula>$C$9*Table65676869[[#This Row],[Employed Smokers:
Females]]*E$29</calculatedColumnFormula>
    </tableColumn>
    <tableColumn id="4" name="Excess Absenteeism (Costs):_x000a_Total" dataDxfId="814">
      <calculatedColumnFormula>Table65676869[[#This Row],[Excess Absenteeism (Costs):
Males]]+Table65676869[[#This Row],[Excess Absenteeism (Costs):
Females]]</calculatedColumnFormula>
    </tableColumn>
    <tableColumn id="12" name="Relative Change in Smoking Prevalence:_x000a_Cigarette Package Warnings"/>
    <tableColumn id="13" name="Smoking Prevalence Associated with Intervention: Males" dataDxfId="813">
      <calculatedColumnFormula>Table65676869[[#This Row],[Smoking Prevalence:
Males]]</calculatedColumnFormula>
    </tableColumn>
    <tableColumn id="14" name="Smoking Prevalence Associated with Intervention: Females" dataDxfId="812">
      <calculatedColumnFormula>Table65676869[[#This Row],[Smoking Prevalence:
Females]]</calculatedColumnFormula>
    </tableColumn>
    <tableColumn id="15" name="Employed Smokers (Intervention Scenario):_x000a_Males" dataDxfId="811">
      <calculatedColumnFormula>Table65676869[[#This Row],[Employed Persons:
Males]]*Table65676869[[#This Row],[Smoking Prevalence Associated with Intervention: Males]]</calculatedColumnFormula>
    </tableColumn>
    <tableColumn id="16" name="Employed Smokers (Intervention Scenario):_x000a_Females" dataDxfId="810">
      <calculatedColumnFormula>Table65676869[[#This Row],[Employed Persons:
Females]]*Table65676869[[#This Row],[Smoking Prevalence Associated with Intervention: Females]]</calculatedColumnFormula>
    </tableColumn>
    <tableColumn id="17" name="Excess Absenteeism (Costs) - Intervention Scenario:_x000a_Males" dataDxfId="809">
      <calculatedColumnFormula>$C$9*O142*D$29</calculatedColumnFormula>
    </tableColumn>
    <tableColumn id="18" name="Excess Absenteeism (Costs) - Intervention Scenario:_x000a_Females" dataDxfId="808">
      <calculatedColumnFormula>$C$9*P142*E$29</calculatedColumnFormula>
    </tableColumn>
    <tableColumn id="19" name="Excess Absenteeism (Costs) - Intervention Scenario:_x000a_Total" dataDxfId="807">
      <calculatedColumnFormula>Table65676869[[#This Row],[Excess Absenteeism (Costs) - Intervention Scenario:
Males]]+Table65676869[[#This Row],[Excess Absenteeism (Costs) - Intervention Scenario:
Females]]</calculatedColumnFormula>
    </tableColumn>
    <tableColumn id="20" name="Cost Savings:_x000a_Males" dataDxfId="806">
      <calculatedColumnFormula>Table65676869[[#This Row],[Excess Absenteeism (Costs):
Males]]-Table65676869[[#This Row],[Excess Absenteeism (Costs) - Intervention Scenario:
Males]]</calculatedColumnFormula>
    </tableColumn>
    <tableColumn id="21" name="Cost Savings:_x000a_Females" dataDxfId="805">
      <calculatedColumnFormula>Table65676869[[#This Row],[Excess Absenteeism (Costs):
Females]]-Table65676869[[#This Row],[Excess Absenteeism (Costs) - Intervention Scenario:
Females]]</calculatedColumnFormula>
    </tableColumn>
    <tableColumn id="22" name="Cost Savings:_x000a_Total" dataDxfId="804">
      <calculatedColumnFormula>Table65676869[[#This Row],[Excess Absenteeism (Costs):
Total]]-Table65676869[[#This Row],[Excess Absenteeism (Costs) - Intervention Scenario:
Total]]</calculatedColumnFormula>
    </tableColumn>
  </tableColumns>
  <tableStyleInfo name="TableStyleMedium9" showFirstColumn="0" showLastColumn="0" showRowStripes="1" showColumnStripes="0"/>
</table>
</file>

<file path=xl/tables/table52.xml><?xml version="1.0" encoding="utf-8"?>
<table xmlns="http://schemas.openxmlformats.org/spreadsheetml/2006/main" id="69" name="Table6570" displayName="Table6570" ref="B191:V207" totalsRowShown="0" headerRowDxfId="803" headerRowBorderDxfId="802" headerRowCellStyle="Normal 5">
  <autoFilter ref="B191:V207"/>
  <tableColumns count="21">
    <tableColumn id="1" name="Year_x000a_Number" dataDxfId="801" dataCellStyle="Normal 5"/>
    <tableColumn id="11" name="Employed Persons:_x000a_Males" dataDxfId="800" dataCellStyle="Normal 5">
      <calculatedColumnFormula>$D$24</calculatedColumnFormula>
    </tableColumn>
    <tableColumn id="10" name="Employed Persons:_x000a_Females" dataDxfId="799" dataCellStyle="Normal 5">
      <calculatedColumnFormula>$E$24</calculatedColumnFormula>
    </tableColumn>
    <tableColumn id="6" name="Smoking Prevalence:_x000a_Males" dataDxfId="798" dataCellStyle="Normal 5">
      <calculatedColumnFormula>$D$25</calculatedColumnFormula>
    </tableColumn>
    <tableColumn id="5" name="Smoking Prevalence:_x000a_Females" dataDxfId="797" dataCellStyle="Normal 5">
      <calculatedColumnFormula>$E$25</calculatedColumnFormula>
    </tableColumn>
    <tableColumn id="9" name="Employed Smokers:_x000a_Males" dataDxfId="796" dataCellStyle="Normal 5">
      <calculatedColumnFormula>Table6570[[#This Row],[Employed Persons:
Males]]*Table6570[[#This Row],[Smoking Prevalence:
Males]]</calculatedColumnFormula>
    </tableColumn>
    <tableColumn id="8" name="Employed Smokers:_x000a_Females" dataDxfId="795" dataCellStyle="Normal 5">
      <calculatedColumnFormula>Table6570[[#This Row],[Employed Persons:
Females]]*Table6570[[#This Row],[Smoking Prevalence:
Females]]</calculatedColumnFormula>
    </tableColumn>
    <tableColumn id="2" name="Excess Presenteeism (Costs):_x000a_Males" dataDxfId="794" dataCellStyle="Normal 5">
      <calculatedColumnFormula>$C$10*Table6570[[#This Row],[Employed Smokers:
Males]]*D$27</calculatedColumnFormula>
    </tableColumn>
    <tableColumn id="3" name="Excess Presenteeism (Costs):_x000a_Females" dataDxfId="793">
      <calculatedColumnFormula>$C$10*Table6570[[#This Row],[Employed Smokers:
Females]]*E$27</calculatedColumnFormula>
    </tableColumn>
    <tableColumn id="4" name="Excess Presenteeism (Costs):_x000a_Total" dataDxfId="792">
      <calculatedColumnFormula>Table6570[[#This Row],[Excess Presenteeism (Costs):
Males]]+Table6570[[#This Row],[Excess Presenteeism (Costs):
Females]]</calculatedColumnFormula>
    </tableColumn>
    <tableColumn id="12" name="Relative Change in Smoking Prevalence:_x000a_Increase Cigarette Taxes"/>
    <tableColumn id="13" name="Smoking Prevalence Associated with Intervention: Males" dataDxfId="791">
      <calculatedColumnFormula>Table6570[[#This Row],[Smoking Prevalence:
Males]]</calculatedColumnFormula>
    </tableColumn>
    <tableColumn id="14" name="Smoking Prevalence Associated with Intervention: Females" dataDxfId="790">
      <calculatedColumnFormula>Table6570[[#This Row],[Smoking Prevalence:
Females]]</calculatedColumnFormula>
    </tableColumn>
    <tableColumn id="15" name="Employed Smokers (Intervention Scenario):_x000a_Males" dataDxfId="789">
      <calculatedColumnFormula>Table6570[[#This Row],[Employed Persons:
Males]]*Table6570[[#This Row],[Smoking Prevalence Associated with Intervention: Males]]</calculatedColumnFormula>
    </tableColumn>
    <tableColumn id="16" name="Employed Smokers (Intervention Scenario):_x000a_Females" dataDxfId="788">
      <calculatedColumnFormula>Table6570[[#This Row],[Employed Persons:
Females]]*Table6570[[#This Row],[Smoking Prevalence Associated with Intervention: Females]]</calculatedColumnFormula>
    </tableColumn>
    <tableColumn id="17" name="Excess Presenteeism (Costs) - Intervention Scenario:_x000a_Males" dataDxfId="787">
      <calculatedColumnFormula>$C$10*O192*D$27</calculatedColumnFormula>
    </tableColumn>
    <tableColumn id="18" name="Excess Presenteeism (Costs) - Intervention Scenario:_x000a_Females" dataDxfId="786">
      <calculatedColumnFormula>$C$10*P192*E$27</calculatedColumnFormula>
    </tableColumn>
    <tableColumn id="19" name="Excess Presenteeism (Costs) - Intervention Scenario:_x000a_Total" dataDxfId="785">
      <calculatedColumnFormula>Table6570[[#This Row],[Excess Presenteeism (Costs) - Intervention Scenario:
Males]]+Table6570[[#This Row],[Excess Presenteeism (Costs) - Intervention Scenario:
Females]]</calculatedColumnFormula>
    </tableColumn>
    <tableColumn id="20" name="Cost Savings:_x000a_Males" dataDxfId="784">
      <calculatedColumnFormula>Table6570[[#This Row],[Excess Presenteeism (Costs):
Males]]-Table6570[[#This Row],[Excess Presenteeism (Costs) - Intervention Scenario:
Males]]</calculatedColumnFormula>
    </tableColumn>
    <tableColumn id="21" name="Cost Savings:_x000a_Females" dataDxfId="783">
      <calculatedColumnFormula>Table6570[[#This Row],[Excess Presenteeism (Costs):
Females]]-Table6570[[#This Row],[Excess Presenteeism (Costs) - Intervention Scenario:
Females]]</calculatedColumnFormula>
    </tableColumn>
    <tableColumn id="22" name="Cost Savings:_x000a_Total" dataDxfId="782">
      <calculatedColumnFormula>Table6570[[#This Row],[Excess Presenteeism (Costs):
Total]]-Table6570[[#This Row],[Excess Presenteeism (Costs) - Intervention Scenario:
Total]]</calculatedColumnFormula>
    </tableColumn>
  </tableColumns>
  <tableStyleInfo name="TableStyleMedium9" showFirstColumn="0" showLastColumn="0" showRowStripes="1" showColumnStripes="0"/>
</table>
</file>

<file path=xl/tables/table53.xml><?xml version="1.0" encoding="utf-8"?>
<table xmlns="http://schemas.openxmlformats.org/spreadsheetml/2006/main" id="70" name="Table656771" displayName="Table656771" ref="B214:V230" totalsRowShown="0" headerRowDxfId="781" headerRowBorderDxfId="780" headerRowCellStyle="Normal 5">
  <autoFilter ref="B214:V230"/>
  <tableColumns count="21">
    <tableColumn id="1" name="Year_x000a_Number" dataDxfId="779" dataCellStyle="Normal 5"/>
    <tableColumn id="11" name="Employed Persons:_x000a_Males" dataDxfId="778" dataCellStyle="Normal 5">
      <calculatedColumnFormula>$D$24</calculatedColumnFormula>
    </tableColumn>
    <tableColumn id="10" name="Employed Persons:_x000a_Females" dataDxfId="777" dataCellStyle="Normal 5">
      <calculatedColumnFormula>$E$24</calculatedColumnFormula>
    </tableColumn>
    <tableColumn id="6" name="Smoking Prevalence:_x000a_Males" dataDxfId="776" dataCellStyle="Normal 5">
      <calculatedColumnFormula>$D$25</calculatedColumnFormula>
    </tableColumn>
    <tableColumn id="5" name="Smoking Prevalence:_x000a_Females" dataDxfId="775" dataCellStyle="Normal 5">
      <calculatedColumnFormula>$E$25</calculatedColumnFormula>
    </tableColumn>
    <tableColumn id="9" name="Employed Smokers:_x000a_Males" dataDxfId="774" dataCellStyle="Normal 5">
      <calculatedColumnFormula>Table656771[[#This Row],[Employed Persons:
Males]]*Table656771[[#This Row],[Smoking Prevalence:
Males]]</calculatedColumnFormula>
    </tableColumn>
    <tableColumn id="8" name="Employed Smokers:_x000a_Females" dataDxfId="773" dataCellStyle="Normal 5">
      <calculatedColumnFormula>Table656771[[#This Row],[Employed Persons:
Females]]*Table656771[[#This Row],[Smoking Prevalence:
Females]]</calculatedColumnFormula>
    </tableColumn>
    <tableColumn id="2" name="Excess Presenteeism (Costs):_x000a_Males" dataDxfId="772" dataCellStyle="Normal 5">
      <calculatedColumnFormula>$C$10*Table656771[[#This Row],[Employed Smokers:
Males]]*D$27</calculatedColumnFormula>
    </tableColumn>
    <tableColumn id="3" name="Excess Presenteeism (Costs):_x000a_Females" dataDxfId="771">
      <calculatedColumnFormula>$C$10*Table656771[[#This Row],[Employed Smokers:
Females]]*E$27</calculatedColumnFormula>
    </tableColumn>
    <tableColumn id="4" name="Excess Presenteeism (Costs):_x000a_Total" dataDxfId="770">
      <calculatedColumnFormula>Table656771[[#This Row],[Excess Presenteeism (Costs):
Males]]+Table656771[[#This Row],[Excess Presenteeism (Costs):
Females]]</calculatedColumnFormula>
    </tableColumn>
    <tableColumn id="12" name="Relative Change in Smoking Prevalence:_x000a_Smoke-Free Air Laws"/>
    <tableColumn id="13" name="Smoking Prevalence Associated with Intervention: Males" dataDxfId="769">
      <calculatedColumnFormula>Table656771[[#This Row],[Smoking Prevalence:
Males]]</calculatedColumnFormula>
    </tableColumn>
    <tableColumn id="14" name="Smoking Prevalence Associated with Intervention: Females" dataDxfId="768">
      <calculatedColumnFormula>Table656771[[#This Row],[Smoking Prevalence:
Females]]</calculatedColumnFormula>
    </tableColumn>
    <tableColumn id="15" name="Employed Smokers (Intervention Scenario):_x000a_Males" dataDxfId="767">
      <calculatedColumnFormula>Table656771[[#This Row],[Employed Persons:
Males]]*Table656771[[#This Row],[Smoking Prevalence Associated with Intervention: Males]]</calculatedColumnFormula>
    </tableColumn>
    <tableColumn id="16" name="Employed Smokers (Intervention Scenario):_x000a_Females" dataDxfId="766">
      <calculatedColumnFormula>Table656771[[#This Row],[Employed Persons:
Females]]*Table656771[[#This Row],[Smoking Prevalence Associated with Intervention: Females]]</calculatedColumnFormula>
    </tableColumn>
    <tableColumn id="17" name="Excess Presenteeism (Costs) - Intervention Scenario:_x000a_Males" dataDxfId="765">
      <calculatedColumnFormula>$C$10*O215*D$27</calculatedColumnFormula>
    </tableColumn>
    <tableColumn id="18" name="Excess Presenteeism (Costs) - Intervention Scenario:_x000a_Females" dataDxfId="764">
      <calculatedColumnFormula>$C$10*P215*E$27</calculatedColumnFormula>
    </tableColumn>
    <tableColumn id="19" name="Excess Presenteeism (Costs) - Intervention Scenario:_x000a_Total" dataDxfId="763">
      <calculatedColumnFormula>Table656771[[#This Row],[Excess Presenteeism (Costs) - Intervention Scenario:
Males]]+Table656771[[#This Row],[Excess Presenteeism (Costs) - Intervention Scenario:
Females]]</calculatedColumnFormula>
    </tableColumn>
    <tableColumn id="20" name="Cost Savings:_x000a_Males" dataDxfId="762">
      <calculatedColumnFormula>Table656771[[#This Row],[Excess Presenteeism (Costs):
Males]]-Table656771[[#This Row],[Excess Presenteeism (Costs) - Intervention Scenario:
Males]]</calculatedColumnFormula>
    </tableColumn>
    <tableColumn id="21" name="Cost Savings:_x000a_Females" dataDxfId="761">
      <calculatedColumnFormula>Table656771[[#This Row],[Excess Presenteeism (Costs):
Females]]-Table656771[[#This Row],[Excess Presenteeism (Costs) - Intervention Scenario:
Females]]</calculatedColumnFormula>
    </tableColumn>
    <tableColumn id="22" name="Cost Savings:_x000a_Total" dataDxfId="760">
      <calculatedColumnFormula>Table656771[[#This Row],[Excess Presenteeism (Costs):
Total]]-Table656771[[#This Row],[Excess Presenteeism (Costs) - Intervention Scenario:
Total]]</calculatedColumnFormula>
    </tableColumn>
  </tableColumns>
  <tableStyleInfo name="TableStyleMedium9" showFirstColumn="0" showLastColumn="0" showRowStripes="1" showColumnStripes="0"/>
</table>
</file>

<file path=xl/tables/table54.xml><?xml version="1.0" encoding="utf-8"?>
<table xmlns="http://schemas.openxmlformats.org/spreadsheetml/2006/main" id="71" name="Table65676872" displayName="Table65676872" ref="B237:V253" totalsRowShown="0" headerRowDxfId="759" headerRowBorderDxfId="758" headerRowCellStyle="Normal 5">
  <autoFilter ref="B237:V253"/>
  <tableColumns count="21">
    <tableColumn id="1" name="Year_x000a_Number" dataDxfId="757" dataCellStyle="Normal 5"/>
    <tableColumn id="11" name="Employed Persons:_x000a_Males" dataDxfId="756" dataCellStyle="Normal 5">
      <calculatedColumnFormula>$D$24</calculatedColumnFormula>
    </tableColumn>
    <tableColumn id="10" name="Employed Persons:_x000a_Females" dataDxfId="755" dataCellStyle="Normal 5">
      <calculatedColumnFormula>$E$24</calculatedColumnFormula>
    </tableColumn>
    <tableColumn id="6" name="Smoking Prevalence:_x000a_Males" dataDxfId="754" dataCellStyle="Normal 5">
      <calculatedColumnFormula>$D$25</calculatedColumnFormula>
    </tableColumn>
    <tableColumn id="5" name="Smoking Prevalence:_x000a_Females" dataDxfId="753" dataCellStyle="Normal 5">
      <calculatedColumnFormula>$E$25</calculatedColumnFormula>
    </tableColumn>
    <tableColumn id="9" name="Employed Smokers:_x000a_Males" dataDxfId="752" dataCellStyle="Normal 5">
      <calculatedColumnFormula>Table65676872[[#This Row],[Employed Persons:
Males]]*Table65676872[[#This Row],[Smoking Prevalence:
Males]]</calculatedColumnFormula>
    </tableColumn>
    <tableColumn id="8" name="Employed Smokers:_x000a_Females" dataDxfId="751" dataCellStyle="Normal 5">
      <calculatedColumnFormula>Table65676872[[#This Row],[Employed Persons:
Females]]*Table65676872[[#This Row],[Smoking Prevalence:
Females]]</calculatedColumnFormula>
    </tableColumn>
    <tableColumn id="2" name="Excess Presenteeism (Costs):_x000a_Males" dataDxfId="750" dataCellStyle="Normal 5">
      <calculatedColumnFormula>$C$10*Table65676872[[#This Row],[Employed Smokers:
Males]]*D$27</calculatedColumnFormula>
    </tableColumn>
    <tableColumn id="3" name="Excess Presenteeism (Costs):_x000a_Females" dataDxfId="749">
      <calculatedColumnFormula>$C$10*Table65676872[[#This Row],[Employed Smokers:
Females]]*E$27</calculatedColumnFormula>
    </tableColumn>
    <tableColumn id="4" name="Excess Presenteeism (Costs):_x000a_Total" dataDxfId="748">
      <calculatedColumnFormula>Table65676872[[#This Row],[Excess Presenteeism (Costs):
Males]]+Table65676872[[#This Row],[Excess Presenteeism (Costs):
Females]]</calculatedColumnFormula>
    </tableColumn>
    <tableColumn id="12" name="Relative Change in Smoking Prevalence:_x000a_Enforce Marketing Restrictions"/>
    <tableColumn id="13" name="Smoking Prevalence Associated with Intervention: Males" dataDxfId="747">
      <calculatedColumnFormula>Table65676872[[#This Row],[Smoking Prevalence:
Males]]</calculatedColumnFormula>
    </tableColumn>
    <tableColumn id="14" name="Smoking Prevalence Associated with Intervention: Females" dataDxfId="746">
      <calculatedColumnFormula>Table65676872[[#This Row],[Smoking Prevalence:
Females]]</calculatedColumnFormula>
    </tableColumn>
    <tableColumn id="15" name="Employed Smokers (Intervention Scenario):_x000a_Males" dataDxfId="745">
      <calculatedColumnFormula>Table65676872[[#This Row],[Employed Persons:
Males]]*Table65676872[[#This Row],[Smoking Prevalence Associated with Intervention: Males]]</calculatedColumnFormula>
    </tableColumn>
    <tableColumn id="16" name="Employed Smokers (Intervention Scenario):_x000a_Females" dataDxfId="744">
      <calculatedColumnFormula>Table65676872[[#This Row],[Employed Persons:
Females]]*Table65676872[[#This Row],[Smoking Prevalence Associated with Intervention: Females]]</calculatedColumnFormula>
    </tableColumn>
    <tableColumn id="17" name="Excess Presenteeism (Costs) - Intervention Scenario:_x000a_Males" dataDxfId="743">
      <calculatedColumnFormula>$C$10*O238*D$27</calculatedColumnFormula>
    </tableColumn>
    <tableColumn id="18" name="Excess Presenteeism (Costs) - Intervention Scenario:_x000a_Females" dataDxfId="742">
      <calculatedColumnFormula>$C$10*P238*E$27</calculatedColumnFormula>
    </tableColumn>
    <tableColumn id="19" name="Excess Presenteeism (Costs) - Intervention Scenario:_x000a_Total" dataDxfId="741">
      <calculatedColumnFormula>Table65676872[[#This Row],[Excess Presenteeism (Costs) - Intervention Scenario:
Males]]+Table65676872[[#This Row],[Excess Presenteeism (Costs) - Intervention Scenario:
Females]]</calculatedColumnFormula>
    </tableColumn>
    <tableColumn id="20" name="Cost Savings:_x000a_Males" dataDxfId="740">
      <calculatedColumnFormula>Table65676872[[#This Row],[Excess Presenteeism (Costs):
Males]]-Table65676872[[#This Row],[Excess Presenteeism (Costs) - Intervention Scenario:
Males]]</calculatedColumnFormula>
    </tableColumn>
    <tableColumn id="21" name="Cost Savings:_x000a_Females" dataDxfId="739">
      <calculatedColumnFormula>Table65676872[[#This Row],[Excess Presenteeism (Costs):
Females]]-Table65676872[[#This Row],[Excess Presenteeism (Costs) - Intervention Scenario:
Females]]</calculatedColumnFormula>
    </tableColumn>
    <tableColumn id="22" name="Cost Savings:_x000a_Total" dataDxfId="738">
      <calculatedColumnFormula>Table65676872[[#This Row],[Excess Presenteeism (Costs):
Total]]-Table65676872[[#This Row],[Excess Presenteeism (Costs) - Intervention Scenario:
Total]]</calculatedColumnFormula>
    </tableColumn>
  </tableColumns>
  <tableStyleInfo name="TableStyleMedium9" showFirstColumn="0" showLastColumn="0" showRowStripes="1" showColumnStripes="0"/>
</table>
</file>

<file path=xl/tables/table55.xml><?xml version="1.0" encoding="utf-8"?>
<table xmlns="http://schemas.openxmlformats.org/spreadsheetml/2006/main" id="72" name="Table6567686973" displayName="Table6567686973" ref="B260:V276" totalsRowShown="0" headerRowDxfId="737" headerRowBorderDxfId="736" headerRowCellStyle="Normal 5">
  <autoFilter ref="B260:V276"/>
  <tableColumns count="21">
    <tableColumn id="1" name="Year_x000a_Number" dataDxfId="735" dataCellStyle="Normal 5"/>
    <tableColumn id="11" name="Employed Persons:_x000a_Males" dataDxfId="734" dataCellStyle="Normal 5">
      <calculatedColumnFormula>$D$24</calculatedColumnFormula>
    </tableColumn>
    <tableColumn id="10" name="Employed Persons:_x000a_Females" dataDxfId="733" dataCellStyle="Normal 5">
      <calculatedColumnFormula>$E$24</calculatedColumnFormula>
    </tableColumn>
    <tableColumn id="6" name="Smoking Prevalence:_x000a_Males" dataDxfId="732" dataCellStyle="Normal 5">
      <calculatedColumnFormula>$D$25</calculatedColumnFormula>
    </tableColumn>
    <tableColumn id="5" name="Smoking Prevalence:_x000a_Females" dataDxfId="731" dataCellStyle="Normal 5">
      <calculatedColumnFormula>$E$25</calculatedColumnFormula>
    </tableColumn>
    <tableColumn id="9" name="Employed Smokers:_x000a_Males" dataDxfId="730" dataCellStyle="Normal 5">
      <calculatedColumnFormula>Table6567686973[[#This Row],[Employed Persons:
Males]]*Table6567686973[[#This Row],[Smoking Prevalence:
Males]]</calculatedColumnFormula>
    </tableColumn>
    <tableColumn id="8" name="Employed Smokers:_x000a_Females" dataDxfId="729" dataCellStyle="Normal 5">
      <calculatedColumnFormula>Table6567686973[[#This Row],[Employed Persons:
Females]]*Table6567686973[[#This Row],[Smoking Prevalence:
Females]]</calculatedColumnFormula>
    </tableColumn>
    <tableColumn id="2" name="Excess Presenteeism (Costs):_x000a_Males" dataDxfId="728" dataCellStyle="Normal 5">
      <calculatedColumnFormula>$C$10*Table6567686973[[#This Row],[Employed Smokers:
Males]]*D$27</calculatedColumnFormula>
    </tableColumn>
    <tableColumn id="3" name="Excess Presenteeism (Costs):_x000a_Females" dataDxfId="727">
      <calculatedColumnFormula>$C$10*Table6567686973[[#This Row],[Employed Smokers:
Females]]*E$27</calculatedColumnFormula>
    </tableColumn>
    <tableColumn id="4" name="Excess Presenteeism (Costs):_x000a_Total" dataDxfId="726">
      <calculatedColumnFormula>Table6567686973[[#This Row],[Excess Presenteeism (Costs):
Males]]+Table6567686973[[#This Row],[Excess Presenteeism (Costs):
Females]]</calculatedColumnFormula>
    </tableColumn>
    <tableColumn id="12" name="Relative Change in Smoking Prevalence:_x000a_Cigarette Package Warnings"/>
    <tableColumn id="13" name="Smoking Prevalence Associated with Intervention: Males" dataDxfId="725">
      <calculatedColumnFormula>Table6567686973[[#This Row],[Smoking Prevalence:
Males]]</calculatedColumnFormula>
    </tableColumn>
    <tableColumn id="14" name="Smoking Prevalence Associated with Intervention: Females" dataDxfId="724">
      <calculatedColumnFormula>Table6567686973[[#This Row],[Smoking Prevalence:
Females]]</calculatedColumnFormula>
    </tableColumn>
    <tableColumn id="15" name="Employed Smokers (Intervention Scenario):_x000a_Males" dataDxfId="723">
      <calculatedColumnFormula>Table6567686973[[#This Row],[Employed Persons:
Males]]*Table6567686973[[#This Row],[Smoking Prevalence Associated with Intervention: Males]]</calculatedColumnFormula>
    </tableColumn>
    <tableColumn id="16" name="Employed Smokers (Intervention Scenario):_x000a_Females" dataDxfId="722">
      <calculatedColumnFormula>Table6567686973[[#This Row],[Employed Persons:
Females]]*Table6567686973[[#This Row],[Smoking Prevalence Associated with Intervention: Females]]</calculatedColumnFormula>
    </tableColumn>
    <tableColumn id="17" name="Excess Presenteeism (Costs) - Intervention Scenario:_x000a_Males" dataDxfId="721">
      <calculatedColumnFormula>$C$10*O261*D$27</calculatedColumnFormula>
    </tableColumn>
    <tableColumn id="18" name="Excess Presenteeism (Costs) - Intervention Scenario:_x000a_Females" dataDxfId="720">
      <calculatedColumnFormula>$C$10*P261*E$27</calculatedColumnFormula>
    </tableColumn>
    <tableColumn id="19" name="Excess Presenteeism (Costs) - Intervention Scenario:_x000a_Total" dataDxfId="719">
      <calculatedColumnFormula>Table6567686973[[#This Row],[Excess Presenteeism (Costs) - Intervention Scenario:
Males]]+Table6567686973[[#This Row],[Excess Presenteeism (Costs) - Intervention Scenario:
Females]]</calculatedColumnFormula>
    </tableColumn>
    <tableColumn id="20" name="Cost Savings:_x000a_Males" dataDxfId="718">
      <calculatedColumnFormula>Table6567686973[[#This Row],[Excess Presenteeism (Costs):
Males]]-Table6567686973[[#This Row],[Excess Presenteeism (Costs) - Intervention Scenario:
Males]]</calculatedColumnFormula>
    </tableColumn>
    <tableColumn id="21" name="Cost Savings:_x000a_Females" dataDxfId="717">
      <calculatedColumnFormula>Table6567686973[[#This Row],[Excess Presenteeism (Costs):
Females]]-Table6567686973[[#This Row],[Excess Presenteeism (Costs) - Intervention Scenario:
Females]]</calculatedColumnFormula>
    </tableColumn>
    <tableColumn id="22" name="Cost Savings:_x000a_Total" dataDxfId="716">
      <calculatedColumnFormula>Table6567686973[[#This Row],[Excess Presenteeism (Costs):
Total]]-Table6567686973[[#This Row],[Excess Presenteeism (Costs) - Intervention Scenario:
Total]]</calculatedColumnFormula>
    </tableColumn>
  </tableColumns>
  <tableStyleInfo name="TableStyleMedium9" showFirstColumn="0" showLastColumn="0" showRowStripes="1" showColumnStripes="0"/>
</table>
</file>

<file path=xl/tables/table56.xml><?xml version="1.0" encoding="utf-8"?>
<table xmlns="http://schemas.openxmlformats.org/spreadsheetml/2006/main" id="73" name="Table657074" displayName="Table657074" ref="B310:V326" totalsRowShown="0" headerRowDxfId="715" headerRowBorderDxfId="714" headerRowCellStyle="Normal 5">
  <autoFilter ref="B310:V326"/>
  <tableColumns count="21">
    <tableColumn id="1" name="Year_x000a_Number" dataDxfId="713" dataCellStyle="Normal 5"/>
    <tableColumn id="11" name="Employed Persons:_x000a_Males" dataDxfId="712" dataCellStyle="Normal 5">
      <calculatedColumnFormula>$D$24</calculatedColumnFormula>
    </tableColumn>
    <tableColumn id="10" name="Employed Persons:_x000a_Females" dataDxfId="711" dataCellStyle="Normal 5">
      <calculatedColumnFormula>$E$24</calculatedColumnFormula>
    </tableColumn>
    <tableColumn id="6" name="Smoking Prevalence:_x000a_Males" dataDxfId="710" dataCellStyle="Normal 5">
      <calculatedColumnFormula>$D$25</calculatedColumnFormula>
    </tableColumn>
    <tableColumn id="5" name="Smoking Prevalence:_x000a_Females" dataDxfId="709" dataCellStyle="Normal 5">
      <calculatedColumnFormula>$E$25</calculatedColumnFormula>
    </tableColumn>
    <tableColumn id="9" name="Employed Smokers:_x000a_Males" dataDxfId="708" dataCellStyle="Normal 5">
      <calculatedColumnFormula>Table657074[[#This Row],[Employed Persons:
Males]]*Table657074[[#This Row],[Smoking Prevalence:
Males]]</calculatedColumnFormula>
    </tableColumn>
    <tableColumn id="8" name="Employed Smokers:_x000a_Females" dataDxfId="707" dataCellStyle="Normal 5">
      <calculatedColumnFormula>Table657074[[#This Row],[Employed Persons:
Females]]*Table657074[[#This Row],[Smoking Prevalence:
Females]]</calculatedColumnFormula>
    </tableColumn>
    <tableColumn id="2" name="Smoking Breaks (Costs):_x000a_Males" dataDxfId="706" dataCellStyle="Normal 5">
      <calculatedColumnFormula>$C$16*Table657074[[#This Row],[Employed Smokers:
Males]]*D$29</calculatedColumnFormula>
    </tableColumn>
    <tableColumn id="3" name="Smoking Breaks (Costs):_x000a_Females" dataDxfId="705">
      <calculatedColumnFormula>$C$16*Table657074[[#This Row],[Employed Smokers:
Females]]*E$29</calculatedColumnFormula>
    </tableColumn>
    <tableColumn id="4" name="Smoking Breaks (Costs):_x000a_Total" dataDxfId="704">
      <calculatedColumnFormula>Table657074[[#This Row],[Smoking Breaks (Costs):
Males]]+Table657074[[#This Row],[Smoking Breaks (Costs):
Females]]</calculatedColumnFormula>
    </tableColumn>
    <tableColumn id="12" name="Relative Change in Smoking Prevalence:_x000a_Increase Cigarette Taxes"/>
    <tableColumn id="13" name="Smoking Prevalence Associated with Intervention: Males" dataDxfId="703">
      <calculatedColumnFormula>Table657074[[#This Row],[Smoking Prevalence:
Males]]</calculatedColumnFormula>
    </tableColumn>
    <tableColumn id="14" name="Smoking Prevalence Associated with Intervention: Females" dataDxfId="702">
      <calculatedColumnFormula>Table657074[[#This Row],[Smoking Prevalence:
Females]]</calculatedColumnFormula>
    </tableColumn>
    <tableColumn id="15" name="Employed Smokers (Intervention Scenario):_x000a_Males" dataDxfId="701">
      <calculatedColumnFormula>Table657074[[#This Row],[Employed Persons:
Males]]*Table657074[[#This Row],[Smoking Prevalence Associated with Intervention: Males]]</calculatedColumnFormula>
    </tableColumn>
    <tableColumn id="16" name="Employed Smokers (Intervention Scenario):_x000a_Females" dataDxfId="700">
      <calculatedColumnFormula>Table657074[[#This Row],[Employed Persons:
Females]]*Table657074[[#This Row],[Smoking Prevalence Associated with Intervention: Females]]</calculatedColumnFormula>
    </tableColumn>
    <tableColumn id="17" name="Smoking Breaks (Costs) - Intervention Scenario:_x000a_Males" dataDxfId="699">
      <calculatedColumnFormula>$C$16*O311*D$29</calculatedColumnFormula>
    </tableColumn>
    <tableColumn id="18" name="Smoking Breaks (Costs) - Intervention Scenario:_x000a_Females" dataDxfId="698">
      <calculatedColumnFormula>$C$16*P311*E$29</calculatedColumnFormula>
    </tableColumn>
    <tableColumn id="19" name="Smoking Breaks (Costs) - Intervention Scenario:_x000a_Total" dataDxfId="697">
      <calculatedColumnFormula>Table657074[[#This Row],[Smoking Breaks (Costs) - Intervention Scenario:
Males]]+Table657074[[#This Row],[Smoking Breaks (Costs) - Intervention Scenario:
Females]]</calculatedColumnFormula>
    </tableColumn>
    <tableColumn id="20" name="Cost Savings:_x000a_Males" dataDxfId="696">
      <calculatedColumnFormula>Table657074[[#This Row],[Smoking Breaks (Costs):
Males]]-Table657074[[#This Row],[Smoking Breaks (Costs) - Intervention Scenario:
Males]]</calculatedColumnFormula>
    </tableColumn>
    <tableColumn id="21" name="Cost Savings:_x000a_Females" dataDxfId="695">
      <calculatedColumnFormula>Table657074[[#This Row],[Smoking Breaks (Costs):
Females]]-Table657074[[#This Row],[Smoking Breaks (Costs) - Intervention Scenario:
Females]]</calculatedColumnFormula>
    </tableColumn>
    <tableColumn id="22" name="Cost Savings:_x000a_Total" dataDxfId="694">
      <calculatedColumnFormula>Table657074[[#This Row],[Smoking Breaks (Costs):
Total]]-Table657074[[#This Row],[Smoking Breaks (Costs) - Intervention Scenario:
Total]]</calculatedColumnFormula>
    </tableColumn>
  </tableColumns>
  <tableStyleInfo name="TableStyleMedium9" showFirstColumn="0" showLastColumn="0" showRowStripes="1" showColumnStripes="0"/>
</table>
</file>

<file path=xl/tables/table57.xml><?xml version="1.0" encoding="utf-8"?>
<table xmlns="http://schemas.openxmlformats.org/spreadsheetml/2006/main" id="74" name="Table65677175" displayName="Table65677175" ref="B333:V349" totalsRowShown="0" headerRowDxfId="693" headerRowBorderDxfId="692" headerRowCellStyle="Normal 5">
  <autoFilter ref="B333:V349"/>
  <tableColumns count="21">
    <tableColumn id="1" name="Year_x000a_Number" dataDxfId="691" dataCellStyle="Normal 5"/>
    <tableColumn id="11" name="Employed Persons:_x000a_Males" dataDxfId="690" dataCellStyle="Normal 5">
      <calculatedColumnFormula>$D$24</calculatedColumnFormula>
    </tableColumn>
    <tableColumn id="10" name="Employed Persons:_x000a_Females" dataDxfId="689" dataCellStyle="Normal 5">
      <calculatedColumnFormula>$E$24</calculatedColumnFormula>
    </tableColumn>
    <tableColumn id="6" name="Smoking Prevalence:_x000a_Males" dataDxfId="688" dataCellStyle="Normal 5">
      <calculatedColumnFormula>$D$25</calculatedColumnFormula>
    </tableColumn>
    <tableColumn id="5" name="Smoking Prevalence:_x000a_Females" dataDxfId="687" dataCellStyle="Normal 5">
      <calculatedColumnFormula>$E$25</calculatedColumnFormula>
    </tableColumn>
    <tableColumn id="9" name="Employed Smokers:_x000a_Males" dataDxfId="686" dataCellStyle="Normal 5">
      <calculatedColumnFormula>Table65677175[[#This Row],[Employed Persons:
Males]]*Table65677175[[#This Row],[Smoking Prevalence:
Males]]</calculatedColumnFormula>
    </tableColumn>
    <tableColumn id="8" name="Employed Smokers:_x000a_Females" dataDxfId="685" dataCellStyle="Normal 5">
      <calculatedColumnFormula>Table65677175[[#This Row],[Employed Persons:
Females]]*Table65677175[[#This Row],[Smoking Prevalence:
Females]]</calculatedColumnFormula>
    </tableColumn>
    <tableColumn id="2" name="Smoking Breaks (Costs):_x000a_Males" dataDxfId="684" dataCellStyle="Normal 5">
      <calculatedColumnFormula>$C$16*Table65677175[[#This Row],[Employed Smokers:
Males]]*D$29</calculatedColumnFormula>
    </tableColumn>
    <tableColumn id="3" name="Smoking Breaks (Costs):_x000a_Females" dataDxfId="683">
      <calculatedColumnFormula>$C$16*Table65677175[[#This Row],[Employed Smokers:
Females]]*E$29</calculatedColumnFormula>
    </tableColumn>
    <tableColumn id="4" name="Smoking Breaks (Costs):_x000a_Total" dataDxfId="682">
      <calculatedColumnFormula>Table65677175[[#This Row],[Smoking Breaks (Costs):
Males]]+Table65677175[[#This Row],[Smoking Breaks (Costs):
Females]]</calculatedColumnFormula>
    </tableColumn>
    <tableColumn id="12" name="Relative Change in Smoking Prevalence:_x000a_Smoke-Free Air Laws"/>
    <tableColumn id="13" name="Smoking Prevalence Associated with Intervention: Males" dataDxfId="681">
      <calculatedColumnFormula>Table65677175[[#This Row],[Smoking Prevalence:
Males]]</calculatedColumnFormula>
    </tableColumn>
    <tableColumn id="14" name="Smoking Prevalence Associated with Intervention: Females" dataDxfId="680">
      <calculatedColumnFormula>Table65677175[[#This Row],[Smoking Prevalence:
Females]]</calculatedColumnFormula>
    </tableColumn>
    <tableColumn id="15" name="Employed Smokers (Intervention Scenario):_x000a_Males" dataDxfId="679">
      <calculatedColumnFormula>Table65677175[[#This Row],[Employed Persons:
Males]]*Table65677175[[#This Row],[Smoking Prevalence Associated with Intervention: Males]]</calculatedColumnFormula>
    </tableColumn>
    <tableColumn id="16" name="Employed Smokers (Intervention Scenario):_x000a_Females" dataDxfId="678">
      <calculatedColumnFormula>Table65677175[[#This Row],[Employed Persons:
Females]]*Table65677175[[#This Row],[Smoking Prevalence Associated with Intervention: Females]]</calculatedColumnFormula>
    </tableColumn>
    <tableColumn id="17" name="Excess Presenteeism (Costs) - Intervention Scenario:_x000a_Males" dataDxfId="677">
      <calculatedColumnFormula>$C$16*O334*D$29</calculatedColumnFormula>
    </tableColumn>
    <tableColumn id="18" name="Smoking Breaks (Costs) - Intervention Scenario:_x000a_Females" dataDxfId="676">
      <calculatedColumnFormula>$C$16*P334*E$29</calculatedColumnFormula>
    </tableColumn>
    <tableColumn id="19" name="Smoking Breaks (Costs) - Intervention Scenario:_x000a_Total" dataDxfId="675">
      <calculatedColumnFormula>Table65677175[[#This Row],[Excess Presenteeism (Costs) - Intervention Scenario:
Males]]+Table65677175[[#This Row],[Smoking Breaks (Costs) - Intervention Scenario:
Females]]</calculatedColumnFormula>
    </tableColumn>
    <tableColumn id="20" name="Cost Savings:_x000a_Males" dataDxfId="674">
      <calculatedColumnFormula>Table65677175[[#This Row],[Smoking Breaks (Costs):
Males]]-Table65677175[[#This Row],[Excess Presenteeism (Costs) - Intervention Scenario:
Males]]</calculatedColumnFormula>
    </tableColumn>
    <tableColumn id="21" name="Cost Savings:_x000a_Females" dataDxfId="673">
      <calculatedColumnFormula>Table65677175[[#This Row],[Smoking Breaks (Costs):
Females]]-Table65677175[[#This Row],[Smoking Breaks (Costs) - Intervention Scenario:
Females]]</calculatedColumnFormula>
    </tableColumn>
    <tableColumn id="22" name="Cost Savings:_x000a_Total" dataDxfId="672">
      <calculatedColumnFormula>Table65677175[[#This Row],[Smoking Breaks (Costs):
Total]]-Table65677175[[#This Row],[Smoking Breaks (Costs) - Intervention Scenario:
Total]]</calculatedColumnFormula>
    </tableColumn>
  </tableColumns>
  <tableStyleInfo name="TableStyleMedium9" showFirstColumn="0" showLastColumn="0" showRowStripes="1" showColumnStripes="0"/>
</table>
</file>

<file path=xl/tables/table58.xml><?xml version="1.0" encoding="utf-8"?>
<table xmlns="http://schemas.openxmlformats.org/spreadsheetml/2006/main" id="75" name="Table6567687276" displayName="Table6567687276" ref="B356:V372" totalsRowShown="0" headerRowDxfId="671" headerRowBorderDxfId="670" headerRowCellStyle="Normal 5">
  <autoFilter ref="B356:V372"/>
  <tableColumns count="21">
    <tableColumn id="1" name="Year_x000a_Number" dataDxfId="669" dataCellStyle="Normal 5"/>
    <tableColumn id="11" name="Employed Persons:_x000a_Males" dataDxfId="668" dataCellStyle="Normal 5">
      <calculatedColumnFormula>$D$24</calculatedColumnFormula>
    </tableColumn>
    <tableColumn id="10" name="Employed Persons:_x000a_Females" dataDxfId="667" dataCellStyle="Normal 5">
      <calculatedColumnFormula>$E$24</calculatedColumnFormula>
    </tableColumn>
    <tableColumn id="6" name="Smoking Prevalence:_x000a_Males" dataDxfId="666" dataCellStyle="Normal 5">
      <calculatedColumnFormula>$D$25</calculatedColumnFormula>
    </tableColumn>
    <tableColumn id="5" name="Smoking Prevalence:_x000a_Females" dataDxfId="665" dataCellStyle="Normal 5">
      <calculatedColumnFormula>$E$25</calculatedColumnFormula>
    </tableColumn>
    <tableColumn id="9" name="Employed Smokers:_x000a_Males" dataDxfId="664" dataCellStyle="Normal 5">
      <calculatedColumnFormula>Table6567687276[[#This Row],[Employed Persons:
Males]]*Table6567687276[[#This Row],[Smoking Prevalence:
Males]]</calculatedColumnFormula>
    </tableColumn>
    <tableColumn id="8" name="Employed Smokers:_x000a_Females" dataDxfId="663" dataCellStyle="Normal 5">
      <calculatedColumnFormula>Table6567687276[[#This Row],[Employed Persons:
Females]]*Table6567687276[[#This Row],[Smoking Prevalence:
Females]]</calculatedColumnFormula>
    </tableColumn>
    <tableColumn id="2" name="Smoking Breaks (Costs):_x000a_Males" dataDxfId="662" dataCellStyle="Normal 5">
      <calculatedColumnFormula>$C$16*Table6567687276[[#This Row],[Employed Smokers:
Males]]*D$29</calculatedColumnFormula>
    </tableColumn>
    <tableColumn id="3" name="Smoking Breaks (Costs):_x000a_Females" dataDxfId="661">
      <calculatedColumnFormula>$C$16*Table6567687276[[#This Row],[Employed Smokers:
Females]]*E$29</calculatedColumnFormula>
    </tableColumn>
    <tableColumn id="4" name="Smoking Breaks (Costs):_x000a_Total" dataDxfId="660">
      <calculatedColumnFormula>Table6567687276[[#This Row],[Smoking Breaks (Costs):
Males]]+Table6567687276[[#This Row],[Smoking Breaks (Costs):
Females]]</calculatedColumnFormula>
    </tableColumn>
    <tableColumn id="12" name="Relative Change in Smoking Prevalence:_x000a_Enforce Marketing Restrictions"/>
    <tableColumn id="13" name="Smoking Prevalence Associated with Intervention: Males" dataDxfId="659">
      <calculatedColumnFormula>Table6567687276[[#This Row],[Smoking Prevalence:
Males]]</calculatedColumnFormula>
    </tableColumn>
    <tableColumn id="14" name="Smoking Prevalence Associated with Intervention: Females" dataDxfId="658">
      <calculatedColumnFormula>Table6567687276[[#This Row],[Smoking Prevalence:
Females]]</calculatedColumnFormula>
    </tableColumn>
    <tableColumn id="15" name="Employed Smokers (Intervention Scenario):_x000a_Males" dataDxfId="657">
      <calculatedColumnFormula>Table6567687276[[#This Row],[Employed Persons:
Males]]*Table6567687276[[#This Row],[Smoking Prevalence Associated with Intervention: Males]]</calculatedColumnFormula>
    </tableColumn>
    <tableColumn id="16" name="Employed Smokers (Intervention Scenario):_x000a_Females" dataDxfId="656">
      <calculatedColumnFormula>Table6567687276[[#This Row],[Employed Persons:
Females]]*Table6567687276[[#This Row],[Smoking Prevalence Associated with Intervention: Females]]</calculatedColumnFormula>
    </tableColumn>
    <tableColumn id="17" name="Smoking Breaks (Costs) - Intervention Scenario:_x000a_Males" dataDxfId="655">
      <calculatedColumnFormula>$C$16*O357*D$29</calculatedColumnFormula>
    </tableColumn>
    <tableColumn id="18" name="Smoking Breaks (Costs) - Intervention Scenario:_x000a_Females" dataDxfId="654">
      <calculatedColumnFormula>$C$16*P357*E$29</calculatedColumnFormula>
    </tableColumn>
    <tableColumn id="19" name="Smoking Breaks (Costs) - Intervention Scenario:_x000a_Total" dataDxfId="653">
      <calculatedColumnFormula>Table6567687276[[#This Row],[Smoking Breaks (Costs) - Intervention Scenario:
Males]]+Table6567687276[[#This Row],[Smoking Breaks (Costs) - Intervention Scenario:
Females]]</calculatedColumnFormula>
    </tableColumn>
    <tableColumn id="20" name="Cost Savings:_x000a_Males" dataDxfId="652">
      <calculatedColumnFormula>Table6567687276[[#This Row],[Smoking Breaks (Costs):
Males]]-Table6567687276[[#This Row],[Smoking Breaks (Costs) - Intervention Scenario:
Males]]</calculatedColumnFormula>
    </tableColumn>
    <tableColumn id="21" name="Cost Savings:_x000a_Females" dataDxfId="651">
      <calculatedColumnFormula>Table6567687276[[#This Row],[Smoking Breaks (Costs):
Females]]-Table6567687276[[#This Row],[Smoking Breaks (Costs) - Intervention Scenario:
Females]]</calculatedColumnFormula>
    </tableColumn>
    <tableColumn id="22" name="Cost Savings:_x000a_Total" dataDxfId="650">
      <calculatedColumnFormula>Table6567687276[[#This Row],[Smoking Breaks (Costs):
Total]]-Table6567687276[[#This Row],[Smoking Breaks (Costs) - Intervention Scenario:
Total]]</calculatedColumnFormula>
    </tableColumn>
  </tableColumns>
  <tableStyleInfo name="TableStyleMedium9" showFirstColumn="0" showLastColumn="0" showRowStripes="1" showColumnStripes="0"/>
</table>
</file>

<file path=xl/tables/table59.xml><?xml version="1.0" encoding="utf-8"?>
<table xmlns="http://schemas.openxmlformats.org/spreadsheetml/2006/main" id="76" name="Table656768697377" displayName="Table656768697377" ref="B379:V395" totalsRowShown="0" headerRowDxfId="649" headerRowBorderDxfId="648" headerRowCellStyle="Normal 5">
  <autoFilter ref="B379:V395"/>
  <tableColumns count="21">
    <tableColumn id="1" name="Year_x000a_Number" dataDxfId="647" dataCellStyle="Normal 5"/>
    <tableColumn id="11" name="Employed Persons:_x000a_Males" dataDxfId="646" dataCellStyle="Normal 5">
      <calculatedColumnFormula>$D$24</calculatedColumnFormula>
    </tableColumn>
    <tableColumn id="10" name="Employed Persons:_x000a_Females" dataDxfId="645" dataCellStyle="Normal 5">
      <calculatedColumnFormula>$E$24</calculatedColumnFormula>
    </tableColumn>
    <tableColumn id="6" name="Smoking Prevalence:_x000a_Males" dataDxfId="644" dataCellStyle="Normal 5">
      <calculatedColumnFormula>$D$25</calculatedColumnFormula>
    </tableColumn>
    <tableColumn id="5" name="Smoking Prevalence:_x000a_Females" dataDxfId="643" dataCellStyle="Normal 5">
      <calculatedColumnFormula>$E$25</calculatedColumnFormula>
    </tableColumn>
    <tableColumn id="9" name="Employed Smokers:_x000a_Males" dataDxfId="642" dataCellStyle="Normal 5">
      <calculatedColumnFormula>Table656768697377[[#This Row],[Employed Persons:
Males]]*Table656768697377[[#This Row],[Smoking Prevalence:
Males]]</calculatedColumnFormula>
    </tableColumn>
    <tableColumn id="8" name="Employed Smokers:_x000a_Females" dataDxfId="641" dataCellStyle="Normal 5">
      <calculatedColumnFormula>Table656768697377[[#This Row],[Employed Persons:
Females]]*Table656768697377[[#This Row],[Smoking Prevalence:
Females]]</calculatedColumnFormula>
    </tableColumn>
    <tableColumn id="2" name="Smoking Breaks (Costs):_x000a_Males" dataDxfId="640" dataCellStyle="Normal 5">
      <calculatedColumnFormula>$C$16*Table656768697377[[#This Row],[Employed Smokers:
Males]]*D$29</calculatedColumnFormula>
    </tableColumn>
    <tableColumn id="3" name="Smoking Breaks (Costs):_x000a_Females" dataDxfId="639">
      <calculatedColumnFormula>$C$16*Table656768697377[[#This Row],[Employed Smokers:
Females]]*E$29</calculatedColumnFormula>
    </tableColumn>
    <tableColumn id="4" name="Smoking Breaks (Costs):_x000a_Total" dataDxfId="638">
      <calculatedColumnFormula>Table656768697377[[#This Row],[Smoking Breaks (Costs):
Males]]+Table656768697377[[#This Row],[Smoking Breaks (Costs):
Females]]</calculatedColumnFormula>
    </tableColumn>
    <tableColumn id="12" name="Relative Change in Smoking Prevalence:_x000a_Cigarette Package Warnings"/>
    <tableColumn id="13" name="Smoking Prevalence Associated with Intervention: Males" dataDxfId="637">
      <calculatedColumnFormula>Table656768697377[[#This Row],[Smoking Prevalence:
Males]]</calculatedColumnFormula>
    </tableColumn>
    <tableColumn id="14" name="Smoking Prevalence Associated with Intervention: Females" dataDxfId="636">
      <calculatedColumnFormula>Table656768697377[[#This Row],[Smoking Prevalence:
Females]]</calculatedColumnFormula>
    </tableColumn>
    <tableColumn id="15" name="Employed Smokers (Intervention Scenario):_x000a_Males" dataDxfId="635">
      <calculatedColumnFormula>Table656768697377[[#This Row],[Employed Persons:
Males]]*Table656768697377[[#This Row],[Smoking Prevalence Associated with Intervention: Males]]</calculatedColumnFormula>
    </tableColumn>
    <tableColumn id="16" name="Employed Smokers (Intervention Scenario):_x000a_Females" dataDxfId="634">
      <calculatedColumnFormula>Table656768697377[[#This Row],[Employed Persons:
Females]]*Table656768697377[[#This Row],[Smoking Prevalence Associated with Intervention: Females]]</calculatedColumnFormula>
    </tableColumn>
    <tableColumn id="17" name="Smoking Breaks (Costs) - Intervention Scenario:_x000a_Males" dataDxfId="633">
      <calculatedColumnFormula>$C$16*O380*D$29</calculatedColumnFormula>
    </tableColumn>
    <tableColumn id="18" name="Smoking Breaks (Costs) - Intervention Scenario:_x000a_Females" dataDxfId="632">
      <calculatedColumnFormula>$C$16*P380*E$29</calculatedColumnFormula>
    </tableColumn>
    <tableColumn id="19" name="Smoking Breaks (Costs) - Intervention Scenario:_x000a_Total" dataDxfId="631">
      <calculatedColumnFormula>Table656768697377[[#This Row],[Smoking Breaks (Costs) - Intervention Scenario:
Males]]+Table656768697377[[#This Row],[Smoking Breaks (Costs) - Intervention Scenario:
Females]]</calculatedColumnFormula>
    </tableColumn>
    <tableColumn id="20" name="Cost Savings:_x000a_Males" dataDxfId="630">
      <calculatedColumnFormula>Table656768697377[[#This Row],[Smoking Breaks (Costs):
Males]]-Table656768697377[[#This Row],[Smoking Breaks (Costs) - Intervention Scenario:
Males]]</calculatedColumnFormula>
    </tableColumn>
    <tableColumn id="21" name="Cost Savings:_x000a_Females" dataDxfId="629">
      <calculatedColumnFormula>Table656768697377[[#This Row],[Smoking Breaks (Costs):
Females]]-Table656768697377[[#This Row],[Smoking Breaks (Costs) - Intervention Scenario:
Females]]</calculatedColumnFormula>
    </tableColumn>
    <tableColumn id="22" name="Cost Savings:_x000a_Total" dataDxfId="628">
      <calculatedColumnFormula>Table656768697377[[#This Row],[Smoking Breaks (Costs):
Total]]-Table656768697377[[#This Row],[Smoking Breaks (Costs) - Intervention Scenario:
Total]]</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 name="Table16" displayName="Table16" ref="B4:E8" totalsRowShown="0" dataDxfId="1660">
  <autoFilter ref="B4:E8"/>
  <tableColumns count="4">
    <tableColumn id="1" name="Type of Expenditure" dataDxfId="1659"/>
    <tableColumn id="2" name="Year" dataDxfId="1658"/>
    <tableColumn id="3" name="Total Expenditures_x000a_(Local Currency)" dataDxfId="1657"/>
    <tableColumn id="5" name="Data Source_x000a_(Total Expenditures)" dataDxfId="1656" dataCellStyle="Comma 2"/>
  </tableColumns>
  <tableStyleInfo name="TableStyleMedium2" showFirstColumn="0" showLastColumn="0" showRowStripes="1" showColumnStripes="0"/>
</table>
</file>

<file path=xl/tables/table60.xml><?xml version="1.0" encoding="utf-8"?>
<table xmlns="http://schemas.openxmlformats.org/spreadsheetml/2006/main" id="77" name="Table5078" displayName="Table5078" ref="B403:H408" totalsRowShown="0" headerRowDxfId="627" dataDxfId="626" headerRowCellStyle="Normal 2" dataCellStyle="Normal 2">
  <autoFilter ref="B403:H408"/>
  <tableColumns count="7">
    <tableColumn id="1" name="Intervention" dataCellStyle="Normal 2"/>
    <tableColumn id="2" name="Relative Reduction in Smoking Prevalence:_x000a_First 5 Years" dataDxfId="625" dataCellStyle="Normal 2"/>
    <tableColumn id="3" name="Baseline Absenteeism Costs:_x000a_First 5 Years" dataDxfId="624" dataCellStyle="Normal 2">
      <calculatedColumnFormula>SUM(D405:D408)</calculatedColumnFormula>
    </tableColumn>
    <tableColumn id="5" name="Intervention Absenteeism Costs:_x000a_First 5 Years" dataDxfId="623" dataCellStyle="Normal 2">
      <calculatedColumnFormula>SUM(D405:D408)</calculatedColumnFormula>
    </tableColumn>
    <tableColumn id="6" name="Savings in Excess Absenteeism Costs:_x000a_First 5 Years" dataDxfId="622" dataCellStyle="Normal 2"/>
    <tableColumn id="4" name="Intervention/Policy Costs (Financial)" dataDxfId="621" dataCellStyle="Normal 2"/>
    <tableColumn id="7" name="Return on Investment" dataDxfId="620" dataCellStyle="Normal 2">
      <calculatedColumnFormula>Table5078[[#This Row],[Savings in Excess Absenteeism Costs:
First 5 Years]]/Table5078[[#This Row],[Intervention/Policy Costs (Financial)]]</calculatedColumnFormula>
    </tableColumn>
  </tableColumns>
  <tableStyleInfo name="TableStyleMedium16" showFirstColumn="0" showLastColumn="0" showRowStripes="1" showColumnStripes="0"/>
</table>
</file>

<file path=xl/tables/table61.xml><?xml version="1.0" encoding="utf-8"?>
<table xmlns="http://schemas.openxmlformats.org/spreadsheetml/2006/main" id="78" name="Table505279" displayName="Table505279" ref="B413:H418" totalsRowShown="0" headerRowDxfId="619" dataDxfId="618" headerRowCellStyle="Normal 2" dataCellStyle="Normal 2">
  <autoFilter ref="B413:H418"/>
  <tableColumns count="7">
    <tableColumn id="1" name="Intervention" dataCellStyle="Normal 2"/>
    <tableColumn id="2" name="Relative Reduction in Smoking Prevalence:_x000a_Years 6-15" dataDxfId="617" dataCellStyle="Normal 2"/>
    <tableColumn id="3" name="Baseline Absenteeism Costs:_x000a_Years 6-15" dataDxfId="616" dataCellStyle="Normal 2">
      <calculatedColumnFormula>SUM(K78:K87)</calculatedColumnFormula>
    </tableColumn>
    <tableColumn id="5" name="Intervention Absenteeism Costs:_x000a_Years 6-15" dataDxfId="615" dataCellStyle="Normal 2">
      <calculatedColumnFormula>SUM(S78:S87)</calculatedColumnFormula>
    </tableColumn>
    <tableColumn id="8" name="Savings in Excess Absenteeism Costs:_x000a_Years 6-16" dataDxfId="614" dataCellStyle="Normal 2">
      <calculatedColumnFormula>SUM(V78:V87)</calculatedColumnFormula>
    </tableColumn>
    <tableColumn id="6" name="Intervention/Policy Costs (Financial)" dataDxfId="613"/>
    <tableColumn id="7" name="Return on Investment" dataDxfId="612" dataCellStyle="Normal 2">
      <calculatedColumnFormula>Table505279[[#This Row],[Savings in Excess Absenteeism Costs:
Years 6-16]]/Table505279[[#This Row],[Intervention/Policy Costs (Financial)]]</calculatedColumnFormula>
    </tableColumn>
  </tableColumns>
  <tableStyleInfo name="TableStyleMedium16" showFirstColumn="0" showLastColumn="0" showRowStripes="1" showColumnStripes="0"/>
</table>
</file>

<file path=xl/tables/table62.xml><?xml version="1.0" encoding="utf-8"?>
<table xmlns="http://schemas.openxmlformats.org/spreadsheetml/2006/main" id="79" name="Table50525380" displayName="Table50525380" ref="B423:H428" totalsRowShown="0" headerRowDxfId="611" dataDxfId="610" headerRowCellStyle="Normal 2" dataCellStyle="Normal 2">
  <autoFilter ref="B423:H428"/>
  <tableColumns count="7">
    <tableColumn id="1" name="Intervention" dataCellStyle="Normal 2"/>
    <tableColumn id="2" name="Relative Reduction in Smoking Prevalence:_x000a_After 15 Years" dataDxfId="609" dataCellStyle="Normal 2"/>
    <tableColumn id="3" name="Baseline Absenteeism Costs:_x000a_After 15 Years" dataDxfId="608" dataCellStyle="Normal 2">
      <calculatedColumnFormula>SUM(K73:K87)</calculatedColumnFormula>
    </tableColumn>
    <tableColumn id="5" name="Intervention Absenteeism Costs:_x000a_After 15 Years" dataDxfId="607" dataCellStyle="Normal 2">
      <calculatedColumnFormula>SUM(S73:S87)</calculatedColumnFormula>
    </tableColumn>
    <tableColumn id="6" name="Savings in Excess Absenteeism Costs:_x000a_After 15 Years" dataDxfId="606" dataCellStyle="Normal 2">
      <calculatedColumnFormula>SUM(V73:V87)</calculatedColumnFormula>
    </tableColumn>
    <tableColumn id="4" name="Intervention/Policy Costs (Financial)" dataDxfId="605" dataCellStyle="Normal 2"/>
    <tableColumn id="7" name="Return on Investment" dataDxfId="604" dataCellStyle="Normal 2">
      <calculatedColumnFormula>Table50525380[[#This Row],[Savings in Excess Absenteeism Costs:
After 15 Years]]/Table50525380[[#This Row],[Intervention/Policy Costs (Financial)]]</calculatedColumnFormula>
    </tableColumn>
  </tableColumns>
  <tableStyleInfo name="TableStyleMedium16" showFirstColumn="0" showLastColumn="0" showRowStripes="1" showColumnStripes="0"/>
</table>
</file>

<file path=xl/tables/table63.xml><?xml version="1.0" encoding="utf-8"?>
<table xmlns="http://schemas.openxmlformats.org/spreadsheetml/2006/main" id="11" name="Table507812" displayName="Table507812" ref="B433:H438" totalsRowShown="0" headerRowDxfId="603" dataDxfId="602" headerRowCellStyle="Normal 2" dataCellStyle="Normal 2">
  <autoFilter ref="B433:H438"/>
  <tableColumns count="7">
    <tableColumn id="1" name="Intervention" dataCellStyle="Normal 2"/>
    <tableColumn id="2" name="Relative Reduction in Smoking Prevalence:_x000a_First 5 Years" dataDxfId="601" dataCellStyle="Normal 2"/>
    <tableColumn id="3" name="Baseline Presenteeism Costs:_x000a_First 5 Years" dataDxfId="600" dataCellStyle="Normal 2">
      <calculatedColumnFormula>SUM(K192:K196)</calculatedColumnFormula>
    </tableColumn>
    <tableColumn id="5" name="Intervention Presenteeism Costs:_x000a_First 5 Years" dataDxfId="599" dataCellStyle="Normal 2">
      <calculatedColumnFormula>D434-F434</calculatedColumnFormula>
    </tableColumn>
    <tableColumn id="6" name="Savings in Excess Presenteeism Costs:_x000a_First 5 Years" dataDxfId="598" dataCellStyle="Normal 2">
      <calculatedColumnFormula>SUM(F435:F438)</calculatedColumnFormula>
    </tableColumn>
    <tableColumn id="4" name="Intervention/Policy Costs (Financial)" dataDxfId="597" dataCellStyle="Normal 2"/>
    <tableColumn id="7" name="Return on Investment" dataDxfId="596" dataCellStyle="Normal 2">
      <calculatedColumnFormula>Table507812[[#This Row],[Savings in Excess Presenteeism Costs:
First 5 Years]]/Table507812[[#This Row],[Intervention/Policy Costs (Financial)]]</calculatedColumnFormula>
    </tableColumn>
  </tableColumns>
  <tableStyleInfo name="TableStyleMedium16" showFirstColumn="0" showLastColumn="0" showRowStripes="1" showColumnStripes="0"/>
</table>
</file>

<file path=xl/tables/table64.xml><?xml version="1.0" encoding="utf-8"?>
<table xmlns="http://schemas.openxmlformats.org/spreadsheetml/2006/main" id="13" name="Table50527914" displayName="Table50527914" ref="B443:H448" totalsRowShown="0" headerRowDxfId="595" dataDxfId="594" headerRowCellStyle="Normal 2" dataCellStyle="Normal 2">
  <autoFilter ref="B443:H448"/>
  <tableColumns count="7">
    <tableColumn id="1" name="Intervention" dataCellStyle="Normal 2"/>
    <tableColumn id="2" name="Relative Reduction in Smoking Prevalence:_x000a_Years 6-15" dataDxfId="593" dataCellStyle="Normal 2"/>
    <tableColumn id="3" name="Baseline Presenteeism Costs:_x000a_Years 6-15" dataDxfId="592" dataCellStyle="Normal 2">
      <calculatedColumnFormula>SUM(K202:K206)</calculatedColumnFormula>
    </tableColumn>
    <tableColumn id="5" name="Intervention Presenteeism Costs:_x000a_Years 6-15" dataDxfId="591" dataCellStyle="Normal 2"/>
    <tableColumn id="8" name="Savings in Excess Presenteeism Costs:_x000a_Years 6-16" dataDxfId="590" dataCellStyle="Normal 2"/>
    <tableColumn id="6" name="Intervention/Policy Costs (Financial)" dataDxfId="589"/>
    <tableColumn id="7" name="Return on Investment" dataDxfId="588" dataCellStyle="Normal 2">
      <calculatedColumnFormula>Table50527914[[#This Row],[Savings in Excess Presenteeism Costs:
Years 6-16]]/Table50527914[[#This Row],[Intervention/Policy Costs (Financial)]]</calculatedColumnFormula>
    </tableColumn>
  </tableColumns>
  <tableStyleInfo name="TableStyleMedium16" showFirstColumn="0" showLastColumn="0" showRowStripes="1" showColumnStripes="0"/>
</table>
</file>

<file path=xl/tables/table65.xml><?xml version="1.0" encoding="utf-8"?>
<table xmlns="http://schemas.openxmlformats.org/spreadsheetml/2006/main" id="14" name="Table5052538015" displayName="Table5052538015" ref="B453:H458" totalsRowShown="0" headerRowDxfId="587" dataDxfId="586" headerRowCellStyle="Normal 2" dataCellStyle="Normal 2">
  <autoFilter ref="B453:H458"/>
  <tableColumns count="7">
    <tableColumn id="1" name="Intervention" dataCellStyle="Normal 2"/>
    <tableColumn id="2" name="Relative Reduction in Smoking Prevalence:_x000a_After 15 Years" dataDxfId="585" dataCellStyle="Normal 2"/>
    <tableColumn id="3" name="Baseline Presenteeism Costs:_x000a_After 15 Years" dataDxfId="584" dataCellStyle="Normal 2"/>
    <tableColumn id="5" name="Intervention Presenteeism Costs:_x000a_After 15 Years" dataDxfId="583" dataCellStyle="Normal 2"/>
    <tableColumn id="6" name="Savings in Excess Presenteeism Costs:_x000a_After 15 Years" dataDxfId="582" dataCellStyle="Normal 2"/>
    <tableColumn id="4" name="Intervention/Policy Costs (Financial)" dataDxfId="581" dataCellStyle="Normal 2"/>
    <tableColumn id="7" name="Return on Investment" dataDxfId="580" dataCellStyle="Normal 2">
      <calculatedColumnFormula>Table5052538015[[#This Row],[Savings in Excess Presenteeism Costs:
After 15 Years]]/Table5052538015[[#This Row],[Intervention/Policy Costs (Financial)]]</calculatedColumnFormula>
    </tableColumn>
  </tableColumns>
  <tableStyleInfo name="TableStyleMedium16" showFirstColumn="0" showLastColumn="0" showRowStripes="1" showColumnStripes="0"/>
</table>
</file>

<file path=xl/tables/table66.xml><?xml version="1.0" encoding="utf-8"?>
<table xmlns="http://schemas.openxmlformats.org/spreadsheetml/2006/main" id="36" name="Table50781237" displayName="Table50781237" ref="B463:H468" totalsRowShown="0" headerRowDxfId="579" dataDxfId="578" headerRowCellStyle="Normal 2" dataCellStyle="Normal 2">
  <autoFilter ref="B463:H468"/>
  <tableColumns count="7">
    <tableColumn id="1" name="Intervention" dataCellStyle="Normal 2"/>
    <tableColumn id="2" name="Relative Reduction in Smoking Prevalence:_x000a_First 5 Years" dataDxfId="577" dataCellStyle="Normal 2"/>
    <tableColumn id="3" name="Baseline Smoking Breaks, Costs:_x000a_First 5 Years" dataDxfId="576" dataCellStyle="Normal 2">
      <calculatedColumnFormula>SUM(D465:D468)</calculatedColumnFormula>
    </tableColumn>
    <tableColumn id="5" name="Intervention Smoking Breaks, Costs:_x000a_First 5 Years" dataDxfId="575" dataCellStyle="Normal 2">
      <calculatedColumnFormula>SUM(D465:D468)</calculatedColumnFormula>
    </tableColumn>
    <tableColumn id="6" name="Savings in Excess Smoking Breaks, Costs:_x000a_First 5 Years" dataDxfId="574" dataCellStyle="Normal 2"/>
    <tableColumn id="4" name="Intervention/Policy Costs (Financial)" dataDxfId="573" dataCellStyle="Normal 2"/>
    <tableColumn id="7" name="Return on Investment" dataDxfId="572" dataCellStyle="Normal 2">
      <calculatedColumnFormula>Table50781237[[#This Row],[Savings in Excess Smoking Breaks, Costs:
First 5 Years]]/Table50781237[[#This Row],[Intervention/Policy Costs (Financial)]]</calculatedColumnFormula>
    </tableColumn>
  </tableColumns>
  <tableStyleInfo name="TableStyleMedium16" showFirstColumn="0" showLastColumn="0" showRowStripes="1" showColumnStripes="0"/>
</table>
</file>

<file path=xl/tables/table67.xml><?xml version="1.0" encoding="utf-8"?>
<table xmlns="http://schemas.openxmlformats.org/spreadsheetml/2006/main" id="37" name="Table5052791438" displayName="Table5052791438" ref="B473:H478" totalsRowShown="0" headerRowDxfId="571" dataDxfId="570" headerRowCellStyle="Normal 2" dataCellStyle="Normal 2">
  <autoFilter ref="B473:H478"/>
  <tableColumns count="7">
    <tableColumn id="1" name="Intervention" dataCellStyle="Normal 2"/>
    <tableColumn id="2" name="Relative Reduction in Smoking Prevalence:_x000a_Years 6-15" dataDxfId="569" dataCellStyle="Normal 2"/>
    <tableColumn id="3" name="Baseline Smoking Breaks, Costs:_x000a_Years 6-15" dataDxfId="568" dataCellStyle="Normal 2"/>
    <tableColumn id="5" name="Intervention Smoking Breaks, Costs:_x000a_Years 6-15" dataDxfId="567" dataCellStyle="Normal 2"/>
    <tableColumn id="8" name="Savings in Smoking Breaks, Costs:_x000a_Years 6-16" dataDxfId="566" dataCellStyle="Normal 2"/>
    <tableColumn id="6" name="Intervention/Policy Costs (Financial)" dataDxfId="565"/>
    <tableColumn id="7" name="Return on Investment" dataDxfId="564" dataCellStyle="Normal 2">
      <calculatedColumnFormula>Table5052791438[[#This Row],[Savings in Smoking Breaks, Costs:
Years 6-16]]/Table5052791438[[#This Row],[Intervention/Policy Costs (Financial)]]</calculatedColumnFormula>
    </tableColumn>
  </tableColumns>
  <tableStyleInfo name="TableStyleMedium16" showFirstColumn="0" showLastColumn="0" showRowStripes="1" showColumnStripes="0"/>
</table>
</file>

<file path=xl/tables/table68.xml><?xml version="1.0" encoding="utf-8"?>
<table xmlns="http://schemas.openxmlformats.org/spreadsheetml/2006/main" id="38" name="Table505253801539" displayName="Table505253801539" ref="B483:H488" totalsRowShown="0" headerRowDxfId="563" dataDxfId="562" headerRowCellStyle="Normal 2" dataCellStyle="Normal 2">
  <autoFilter ref="B483:H488"/>
  <tableColumns count="7">
    <tableColumn id="1" name="Intervention" dataCellStyle="Normal 2"/>
    <tableColumn id="2" name="Relative Reduction in Smoking Prevalence:_x000a_After 15 Years" dataDxfId="561" dataCellStyle="Normal 2"/>
    <tableColumn id="3" name="Baseline Smoking Breaks, Costs:_x000a_After 15 Years" dataDxfId="560" dataCellStyle="Normal 2"/>
    <tableColumn id="5" name="Intervention Smoking Breaks, Costs:_x000a_After 15 Years" dataDxfId="559" dataCellStyle="Normal 2"/>
    <tableColumn id="6" name="Savings in Smoking Breaks, Costs:_x000a_After 15 Years" dataDxfId="558" dataCellStyle="Normal 2"/>
    <tableColumn id="4" name="Intervention/Policy Costs (Financial)" dataDxfId="557" dataCellStyle="Normal 2"/>
    <tableColumn id="7" name="Return on Investment" dataDxfId="556" dataCellStyle="Normal 2">
      <calculatedColumnFormula>Table505253801539[[#This Row],[Savings in Smoking Breaks, Costs:
After 15 Years]]/Table505253801539[[#This Row],[Intervention/Policy Costs (Financial)]]</calculatedColumnFormula>
    </tableColumn>
  </tableColumns>
  <tableStyleInfo name="TableStyleMedium16" showFirstColumn="0" showLastColumn="0" showRowStripes="1" showColumnStripes="0"/>
</table>
</file>

<file path=xl/tables/table69.xml><?xml version="1.0" encoding="utf-8"?>
<table xmlns="http://schemas.openxmlformats.org/spreadsheetml/2006/main" id="5" name="Table656" displayName="Table656" ref="B49:V65" totalsRowShown="0" headerRowDxfId="555" headerRowBorderDxfId="554" headerRowCellStyle="Normal 5">
  <autoFilter ref="B49:V65"/>
  <tableColumns count="21">
    <tableColumn id="1" name="Year_x000a_Number" dataDxfId="553" dataCellStyle="Normal 5"/>
    <tableColumn id="11" name="Employed Persons:_x000a_Males" dataDxfId="552" dataCellStyle="Normal 5">
      <calculatedColumnFormula>$D$24</calculatedColumnFormula>
    </tableColumn>
    <tableColumn id="10" name="Employed Persons:_x000a_Females" dataDxfId="551" dataCellStyle="Normal 5">
      <calculatedColumnFormula>$E$24</calculatedColumnFormula>
    </tableColumn>
    <tableColumn id="6" name="Smoking Prevalence:_x000a_Males" dataDxfId="550" dataCellStyle="Normal 5">
      <calculatedColumnFormula>$D$25</calculatedColumnFormula>
    </tableColumn>
    <tableColumn id="5" name="Smoking Prevalence:_x000a_Females" dataDxfId="549" dataCellStyle="Normal 5">
      <calculatedColumnFormula>$E$25</calculatedColumnFormula>
    </tableColumn>
    <tableColumn id="9" name="Employed Smokers:_x000a_Males" dataDxfId="548" dataCellStyle="Normal 5">
      <calculatedColumnFormula>Table656[[#This Row],[Employed Persons:
Males]]*Table656[[#This Row],[Smoking Prevalence:
Males]]</calculatedColumnFormula>
    </tableColumn>
    <tableColumn id="8" name="Employed Smokers:_x000a_Females" dataDxfId="547" dataCellStyle="Normal 5">
      <calculatedColumnFormula>Table656[[#This Row],[Employed Persons:
Females]]*Table656[[#This Row],[Smoking Prevalence:
Females]]</calculatedColumnFormula>
    </tableColumn>
    <tableColumn id="2" name="Excess Absenteeism (Costs):_x000a_Males" dataDxfId="546" dataCellStyle="Normal 5">
      <calculatedColumnFormula>$C$9*Table656[[#This Row],[Employed Smokers:
Males]]*D$29</calculatedColumnFormula>
    </tableColumn>
    <tableColumn id="3" name="Excess Absenteeism (Costs):_x000a_Females" dataDxfId="545">
      <calculatedColumnFormula>$C$9*Table656[[#This Row],[Employed Smokers:
Females]]*E$29</calculatedColumnFormula>
    </tableColumn>
    <tableColumn id="4" name="Excess Absenteeism (Costs):_x000a_Total" dataDxfId="544">
      <calculatedColumnFormula>Table656[[#This Row],[Excess Absenteeism (Costs):
Males]]+Table656[[#This Row],[Excess Absenteeism (Costs):
Females]]</calculatedColumnFormula>
    </tableColumn>
    <tableColumn id="12" name="Relative Change in Smoking Prevalence:_x000a_All Interventions Combined"/>
    <tableColumn id="13" name="Smoking Prevalence Associated with Intervention: Males" dataDxfId="543">
      <calculatedColumnFormula>Table656[[#This Row],[Smoking Prevalence:
Males]]</calculatedColumnFormula>
    </tableColumn>
    <tableColumn id="14" name="Smoking Prevalence Associated with Intervention: Females" dataDxfId="542">
      <calculatedColumnFormula>Table656[[#This Row],[Smoking Prevalence:
Females]]</calculatedColumnFormula>
    </tableColumn>
    <tableColumn id="15" name="Employed Smokers (Intervention Scenario):_x000a_Males" dataDxfId="541">
      <calculatedColumnFormula>Table656[[#This Row],[Employed Persons:
Males]]*Table656[[#This Row],[Smoking Prevalence Associated with Intervention: Males]]</calculatedColumnFormula>
    </tableColumn>
    <tableColumn id="16" name="Employed Smokers (Intervention Scenario):_x000a_Females" dataDxfId="540">
      <calculatedColumnFormula>Table656[[#This Row],[Employed Persons:
Females]]*Table656[[#This Row],[Smoking Prevalence Associated with Intervention: Females]]</calculatedColumnFormula>
    </tableColumn>
    <tableColumn id="17" name="Excess Absenteeism (Costs) - Intervention Scenario:_x000a_Males" dataDxfId="539">
      <calculatedColumnFormula>$C$9*O50*D$29</calculatedColumnFormula>
    </tableColumn>
    <tableColumn id="18" name="Excess Absenteeism (Costs) - Intervention Scenario:_x000a_Females" dataDxfId="538">
      <calculatedColumnFormula>$C$9*P50*E$29</calculatedColumnFormula>
    </tableColumn>
    <tableColumn id="19" name="Excess Absenteeism (Costs) - Intervention Scenario:_x000a_Total" dataDxfId="537">
      <calculatedColumnFormula>Table656[[#This Row],[Excess Absenteeism (Costs) - Intervention Scenario:
Males]]+Table656[[#This Row],[Excess Absenteeism (Costs) - Intervention Scenario:
Females]]</calculatedColumnFormula>
    </tableColumn>
    <tableColumn id="20" name="Cost Savings:_x000a_Males" dataDxfId="536">
      <calculatedColumnFormula>Table656[[#This Row],[Excess Absenteeism (Costs):
Males]]-Table656[[#This Row],[Excess Absenteeism (Costs) - Intervention Scenario:
Males]]</calculatedColumnFormula>
    </tableColumn>
    <tableColumn id="21" name="Cost Savings:_x000a_Females" dataDxfId="535">
      <calculatedColumnFormula>Table656[[#This Row],[Excess Absenteeism (Costs):
Females]]-Table656[[#This Row],[Excess Absenteeism (Costs) - Intervention Scenario:
Females]]</calculatedColumnFormula>
    </tableColumn>
    <tableColumn id="22" name="Cost Savings:_x000a_Total" dataDxfId="534">
      <calculatedColumnFormula>Table656[[#This Row],[Excess Absenteeism (Costs):
Total]]-Table656[[#This Row],[Excess Absenteeism (Costs) - Intervention Scenario:
Total]]</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45" name="Table1536434546" displayName="Table1536434546" ref="B33:AW49" totalsRowShown="0" headerRowDxfId="1655" dataDxfId="1654">
  <autoFilter ref="B33:AW49"/>
  <tableColumns count="48">
    <tableColumn id="2" name="Year_x000a_Number" dataDxfId="1653"/>
    <tableColumn id="8" name="Total Healthcare Expenditures_x000a_(All Categories):_x000a_Base Scenario" dataDxfId="1652" dataCellStyle="Normal 5">
      <calculatedColumnFormula>$D$22</calculatedColumnFormula>
    </tableColumn>
    <tableColumn id="7" name="Total Government Healthcare Expenditures_x000a_(including national insurance):_x000a_Base Scenario" dataDxfId="1651" dataCellStyle="Normal 5">
      <calculatedColumnFormula>$D$23</calculatedColumnFormula>
    </tableColumn>
    <tableColumn id="1" name="Total Private (Out-of-Pocket) Healthcare Expenditures:_x000a_Base Scenario" dataDxfId="1650" dataCellStyle="Normal 5">
      <calculatedColumnFormula>$D$24</calculatedColumnFormula>
    </tableColumn>
    <tableColumn id="9" name="Total Other Health Expenditures:_x000a_Base Scenario" dataDxfId="1649" dataCellStyle="Normal 5">
      <calculatedColumnFormula>$D$25</calculatedColumnFormula>
    </tableColumn>
    <tableColumn id="31" name="Smoking-Attributable Fraction (SAF) of Healthcare Expenditures_x000a_Base Scenario" dataDxfId="1648" dataCellStyle="Normal 5">
      <calculatedColumnFormula>$C$16</calculatedColumnFormula>
    </tableColumn>
    <tableColumn id="17" name="Smoking-Attributable Fraction (SAF) of Healthcare Expenditures: Lower Bound_x000a_Base Scenario" dataDxfId="1647" dataCellStyle="Normal 5">
      <calculatedColumnFormula>$C$17</calculatedColumnFormula>
    </tableColumn>
    <tableColumn id="13" name="Smoking-Attributable Fraction (SAF) of Healthcare Expenditures: Upper Bound_x000a_Base Scenario" dataDxfId="1646" dataCellStyle="Normal 5">
      <calculatedColumnFormula>$C$18</calculatedColumnFormula>
    </tableColumn>
    <tableColumn id="26" name="Smoking-Attributable Total Healthcare Expenditures:_x000a_Base Scenario" dataDxfId="1645" dataCellStyle="Percent 2">
      <calculatedColumnFormula>Table1536434546[[#This Row],[Total Healthcare Expenditures
(All Categories):
Base Scenario]]*Table1536434546[[#This Row],[Smoking-Attributable Fraction (SAF) of Healthcare Expenditures
Base Scenario]]</calculatedColumnFormula>
    </tableColumn>
    <tableColumn id="32" name="Smoking-Attributable Total Healthcare Expenditures: Lower Bound_x000a_Base Scenario" dataDxfId="1644" dataCellStyle="Percent 2">
      <calculatedColumnFormula>Table1536434546[[#This Row],[Total Healthcare Expenditures
(All Categories):
Base Scenario]]*Table1536434546[[#This Row],[Smoking-Attributable Fraction (SAF) of Healthcare Expenditures: Lower Bound
Base Scenario]]</calculatedColumnFormula>
    </tableColumn>
    <tableColumn id="14" name="Smoking-Attributable Total Healthcare Expenditures: Upper Bound_x000a_Base Scenario" dataDxfId="1643" dataCellStyle="Percent 2">
      <calculatedColumnFormula>Table1536434546[[#This Row],[Total Healthcare Expenditures
(All Categories):
Base Scenario]]*Table1536434546[[#This Row],[Smoking-Attributable Fraction (SAF) of Healthcare Expenditures: Upper Bound
Base Scenario]]</calculatedColumnFormula>
    </tableColumn>
    <tableColumn id="25" name="Smoking-Attributable Government Healthcare Expenditures_x000a_(including national insurance):_x000a_Base Scenario" dataDxfId="1642" dataCellStyle="Percent 2">
      <calculatedColumnFormula>Table1536434546[[#This Row],[Total Government Healthcare Expenditures
(including national insurance):
Base Scenario]]*Table1536434546[[#This Row],[Smoking-Attributable Fraction (SAF) of Healthcare Expenditures
Base Scenario]]</calculatedColumnFormula>
    </tableColumn>
    <tableColumn id="33" name="Smoking-Attributable Government Healthcare Expenditures_x000a_(including national insurance): Lower Bound_x000a_Base Scenario" dataDxfId="1641" dataCellStyle="Percent 2">
      <calculatedColumnFormula>Table1536434546[[#This Row],[Total Government Healthcare Expenditures
(including national insurance):
Base Scenario]]*Table1536434546[[#This Row],[Smoking-Attributable Fraction (SAF) of Healthcare Expenditures: Lower Bound
Base Scenario]]</calculatedColumnFormula>
    </tableColumn>
    <tableColumn id="15" name="Smoking-Attributable Government Healthcare Expenditures_x000a_(including national insurance): Upper Bound_x000a_Base Scenario" dataDxfId="1640" dataCellStyle="Percent 2">
      <calculatedColumnFormula>Table1536434546[[#This Row],[Total Government Healthcare Expenditures
(including national insurance):
Base Scenario]]*Table1536434546[[#This Row],[Smoking-Attributable Fraction (SAF) of Healthcare Expenditures: Upper Bound
Base Scenario]]</calculatedColumnFormula>
    </tableColumn>
    <tableColumn id="23" name="Smoking-Attributable Private Healthcare Expenditures:_x000a_Base Scenario" dataDxfId="1639" dataCellStyle="Percent 2">
      <calculatedColumnFormula>Table1536434546[[#This Row],[Total Private (Out-of-Pocket) Healthcare Expenditures:
Base Scenario]]*Table1536434546[[#This Row],[Smoking-Attributable Fraction (SAF) of Healthcare Expenditures
Base Scenario]]</calculatedColumnFormula>
    </tableColumn>
    <tableColumn id="34" name="Smoking-Attributable Private Healthcare Expenditures: Lower Bound_x000a_Base Scenario" dataDxfId="1638" dataCellStyle="Percent 2">
      <calculatedColumnFormula>Table1536434546[[#This Row],[Total Private (Out-of-Pocket) Healthcare Expenditures:
Base Scenario]]*Table1536434546[[#This Row],[Smoking-Attributable Fraction (SAF) of Healthcare Expenditures: Lower Bound
Base Scenario]]</calculatedColumnFormula>
    </tableColumn>
    <tableColumn id="16" name="Smoking-Attributable Private Healthcare Expenditures: Upper Bound_x000a_Base Scenario" dataDxfId="1637" dataCellStyle="Percent 2">
      <calculatedColumnFormula>Table1536434546[[#This Row],[Total Private (Out-of-Pocket) Healthcare Expenditures:
Base Scenario]]*Table1536434546[[#This Row],[Smoking-Attributable Fraction (SAF) of Healthcare Expenditures: Upper Bound
Base Scenario]]</calculatedColumnFormula>
    </tableColumn>
    <tableColumn id="22" name="Smoking-Attributable Other Health Expenditures:_x000a_Base Scenario" dataDxfId="1636" dataCellStyle="Percent 2">
      <calculatedColumnFormula>Table1536434546[[#This Row],[Total Other Health Expenditures:
Base Scenario]]*Table1536434546[[#This Row],[Smoking-Attributable Fraction (SAF) of Healthcare Expenditures
Base Scenario]]</calculatedColumnFormula>
    </tableColumn>
    <tableColumn id="36" name="Smoking-Attributable Other Health Expenditures: Lower Bound_x000a_Base Scenario" dataDxfId="1635" dataCellStyle="Percent 2">
      <calculatedColumnFormula>Table1536434546[[#This Row],[Total Other Health Expenditures:
Base Scenario]]*Table1536434546[[#This Row],[Smoking-Attributable Fraction (SAF) of Healthcare Expenditures: Lower Bound
Base Scenario]]</calculatedColumnFormula>
    </tableColumn>
    <tableColumn id="35" name="Smoking-Attributable Other Health Expenditures: Upper Bound_x000a_Base Scenario" dataDxfId="1634" dataCellStyle="Percent 2">
      <calculatedColumnFormula>Table1536434546[[#This Row],[Total Other Health Expenditures:
Base Scenario]]*Table1536434546[[#This Row],[Smoking-Attributable Fraction (SAF) of Healthcare Expenditures: Upper Bound
Base Scenario]]</calculatedColumnFormula>
    </tableColumn>
    <tableColumn id="10" name="Relative Change in Smoking Prevalence:_x000a_All Interventions Combined" dataDxfId="1633" dataCellStyle="Normal 5">
      <calculatedColumnFormula>SUM(Table1536434546[[#This Row],[Smoking-Attributable Fraction (SAF) of Healthcare Expenditures:
Adjusted for Intervention Impacts]:[Smoking-Attributable Private Healthcare Expenditures:
Intervention Scenario]])</calculatedColumnFormula>
    </tableColumn>
    <tableColumn id="3" name="Smoking-Attributable Fraction (SAF) of Healthcare Expenditures:_x000a_Adjusted for Intervention Impacts" dataDxfId="1632" dataCellStyle="Percent"/>
    <tableColumn id="37" name="Smoking-Attributable Fraction (SAF) of Healthcare Expenditures: Lower Bound_x000a_Adjusted for Intervention Impacts" dataDxfId="1631" dataCellStyle="Percent 2">
      <calculatedColumnFormula>$C$17</calculatedColumnFormula>
    </tableColumn>
    <tableColumn id="27" name="Smoking-Attributable Fraction (SAF) of Healthcare Expenditures: Upper Bound_x000a_Adjusted for Intervention Impacts" dataDxfId="1630" dataCellStyle="Percent 2">
      <calculatedColumnFormula>$C$18</calculatedColumnFormula>
    </tableColumn>
    <tableColumn id="4" name="Smoking-Attributable Total Healthcare Expenditures:_x000a_Intervention Scenario" dataDxfId="1629" dataCellStyle="Percent">
      <calculatedColumnFormula>Table1536434546[[#This Row],[Total Healthcare Expenditures
(All Categories):
Base Scenario]]*Table1536434546[[#This Row],[Smoking-Attributable Fraction (SAF) of Healthcare Expenditures:
Adjusted for Intervention Impacts]]</calculatedColumnFormula>
    </tableColumn>
    <tableColumn id="38" name="Smoking-Attributable Total Healthcare Expenditures: Lower Bound_x000a_Intervention Scenario" dataDxfId="1628" dataCellStyle="Percent 2">
      <calculatedColumnFormula>Table1536434546[[#This Row],[Total Healthcare Expenditures
(All Categories):
Base Scenario]]*Table1536434546[[#This Row],[Smoking-Attributable Fraction (SAF) of Healthcare Expenditures: Lower Bound
Adjusted for Intervention Impacts]]</calculatedColumnFormula>
    </tableColumn>
    <tableColumn id="28" name="Smoking-Attributable Total Healthcare Expenditures: Upper Bound_x000a_Intervention Scenario" dataDxfId="1627" dataCellStyle="Percent 2">
      <calculatedColumnFormula>Table1536434546[[#This Row],[Total Healthcare Expenditures
(All Categories):
Base Scenario]]*Table1536434546[[#This Row],[Smoking-Attributable Fraction (SAF) of Healthcare Expenditures: Upper Bound
Adjusted for Intervention Impacts]]</calculatedColumnFormula>
    </tableColumn>
    <tableColumn id="5" name="Smoking-Attributable Government Healthcare Expenditures_x000a_(including national insurance):_x000a_Intervention Scenario" dataDxfId="1626" dataCellStyle="Percent">
      <calculatedColumnFormula>Table1536434546[[#This Row],[Total Government Healthcare Expenditures
(including national insurance):
Base Scenario]]*Table1536434546[[#This Row],[Smoking-Attributable Fraction (SAF) of Healthcare Expenditures:
Adjusted for Intervention Impacts]]</calculatedColumnFormula>
    </tableColumn>
    <tableColumn id="39" name="Smoking-Attributable Government Healthcare Expenditures_x000a_(including national insurance): Lower Bound_x000a_Intervention Scenario" dataDxfId="1625" dataCellStyle="Percent 2">
      <calculatedColumnFormula>Table1536434546[[#This Row],[Total Government Healthcare Expenditures
(including national insurance):
Base Scenario]]*Table1536434546[[#This Row],[Smoking-Attributable Fraction (SAF) of Healthcare Expenditures: Lower Bound
Adjusted for Intervention Impacts]]</calculatedColumnFormula>
    </tableColumn>
    <tableColumn id="29" name="Smoking-Attributable Government Healthcare Expenditures_x000a_(including national insurance): Upper Bound_x000a_Intervention Scenario" dataDxfId="1624" dataCellStyle="Percent 2">
      <calculatedColumnFormula>Table1536434546[[#This Row],[Total Government Healthcare Expenditures
(including national insurance):
Base Scenario]]*Table1536434546[[#This Row],[Smoking-Attributable Fraction (SAF) of Healthcare Expenditures: Upper Bound
Adjusted for Intervention Impacts]]</calculatedColumnFormula>
    </tableColumn>
    <tableColumn id="6" name="Smoking-Attributable Private Healthcare Expenditures:_x000a_Intervention Scenario" dataDxfId="1623" dataCellStyle="Percent">
      <calculatedColumnFormula>Table1536434546[[#This Row],[Total Private (Out-of-Pocket) Healthcare Expenditures:
Base Scenario]]*Table1536434546[[#This Row],[Smoking-Attributable Fraction (SAF) of Healthcare Expenditures:
Adjusted for Intervention Impacts]]</calculatedColumnFormula>
    </tableColumn>
    <tableColumn id="40" name="Smoking-Attributable Private Healthcare Expenditures: Lower Bound_x000a_Intervention Scenario" dataDxfId="1622" dataCellStyle="Percent 2">
      <calculatedColumnFormula>Table1536434546[[#This Row],[Total Private (Out-of-Pocket) Healthcare Expenditures:
Base Scenario]]*Table1536434546[[#This Row],[Smoking-Attributable Fraction (SAF) of Healthcare Expenditures: Lower Bound
Adjusted for Intervention Impacts]]</calculatedColumnFormula>
    </tableColumn>
    <tableColumn id="30" name="Smoking-Attributable Private Healthcare Expenditures: Upper Bound_x000a_Intervention Scenario" dataDxfId="1621" dataCellStyle="Percent 2">
      <calculatedColumnFormula>Table1536434546[[#This Row],[Total Private (Out-of-Pocket) Healthcare Expenditures:
Base Scenario]]*Table1536434546[[#This Row],[Smoking-Attributable Fraction (SAF) of Healthcare Expenditures: Upper Bound
Adjusted for Intervention Impacts]]</calculatedColumnFormula>
    </tableColumn>
    <tableColumn id="12" name="Smoking-Attributable Other Health Expenditures:_x000a_Intervention Scenario" dataDxfId="1620" dataCellStyle="Percent">
      <calculatedColumnFormula>Table1536434546[[#This Row],[Total Other Health Expenditures:
Base Scenario]]*Table1536434546[[#This Row],[Smoking-Attributable Fraction (SAF) of Healthcare Expenditures:
Adjusted for Intervention Impacts]]</calculatedColumnFormula>
    </tableColumn>
    <tableColumn id="42" name="Smoking-Attributable Other Health Expenditures: Lower Bound_x000a_Intervention Scenario" dataDxfId="1619" dataCellStyle="Percent">
      <calculatedColumnFormula>Table1536434546[[#This Row],[Total Other Health Expenditures:
Base Scenario]]*Table1536434546[[#This Row],[Smoking-Attributable Fraction (SAF) of Healthcare Expenditures: Lower Bound
Adjusted for Intervention Impacts]]</calculatedColumnFormula>
    </tableColumn>
    <tableColumn id="41" name="Smoking-Attributable Other Health Expenditures: Upper Bound_x000a_Intervention Scenario" dataDxfId="1618" dataCellStyle="Percent">
      <calculatedColumnFormula>Table1536434546[[#This Row],[Total Other Health Expenditures:
Base Scenario]]*Table1536434546[[#This Row],[Smoking-Attributable Fraction (SAF) of Healthcare Expenditures: Upper Bound
Adjusted for Intervention Impacts]]</calculatedColumnFormula>
    </tableColumn>
    <tableColumn id="18" name="Savings in Smoking-Attributable Total Healthcare Expenditures:_x000a_Intervention Scenario" dataDxfId="1617" dataCellStyle="Percent">
      <calculatedColumnFormula>Table1536434546[[#This Row],[Smoking-Attributable Total Healthcare Expenditures:
Base Scenario]]-Table1536434546[[#This Row],[Smoking-Attributable Total Healthcare Expenditures:
Intervention Scenario]]</calculatedColumnFormula>
    </tableColumn>
    <tableColumn id="44" name="Savings in Smoking-Attributable Total Healthcare Expenditures: Lower Bound_x000a_Intervention Scenario" dataDxfId="1616" dataCellStyle="Percent">
      <calculatedColumnFormula>Table1536434546[[#This Row],[Smoking-Attributable Total Healthcare Expenditures: Lower Bound
Base Scenario]]-Table1536434546[[#This Row],[Smoking-Attributable Total Healthcare Expenditures: Lower Bound
Intervention Scenario]]</calculatedColumnFormula>
    </tableColumn>
    <tableColumn id="43" name="Savings in Smoking-Attributable Total Healthcare Expenditures: Upper Bound_x000a_Intervention Scenario" dataDxfId="1615" dataCellStyle="Percent">
      <calculatedColumnFormula>Table1536434546[[#This Row],[Smoking-Attributable Total Healthcare Expenditures: Upper Bound
Base Scenario]]-Table1536434546[[#This Row],[Smoking-Attributable Total Healthcare Expenditures: Upper Bound
Intervention Scenario]]</calculatedColumnFormula>
    </tableColumn>
    <tableColumn id="19" name="Savings in Smoking-Attributable Government Healthcare Expenditures_x000a_(including national insurance):_x000a_Intervention Scenario" dataDxfId="1614" dataCellStyle="Percent">
      <calculatedColumnFormula>Table1536434546[[#This Row],[Smoking-Attributable Government Healthcare Expenditures
(including national insurance):
Base Scenario]]-Table1536434546[[#This Row],[Smoking-Attributable Government Healthcare Expenditures
(including national insurance):
Intervention Scenario]]</calculatedColumnFormula>
    </tableColumn>
    <tableColumn id="46" name="Savings in Smoking-Attributable Government Healthcare Expenditures_x000a_(including national insurance): Lower Bound_x000a_Intervention Scenario" dataDxfId="1613" dataCellStyle="Percent">
      <calculatedColumnFormula>Table1536434546[[#This Row],[Smoking-Attributable Government Healthcare Expenditures
(including national insurance): Lower Bound
Base Scenario]]-Table1536434546[[#This Row],[Smoking-Attributable Government Healthcare Expenditures
(including national insurance): Lower Bound
Intervention Scenario]]</calculatedColumnFormula>
    </tableColumn>
    <tableColumn id="45" name="Savings in Smoking-Attributable Government Healthcare Expenditures_x000a_(including national insurance): Upper Bound_x000a_Intervention Scenario" dataDxfId="1612" dataCellStyle="Percent">
      <calculatedColumnFormula>Table1536434546[[#This Row],[Smoking-Attributable Government Healthcare Expenditures
(including national insurance): Upper Bound
Base Scenario]]-Table1536434546[[#This Row],[Smoking-Attributable Government Healthcare Expenditures
(including national insurance): Upper Bound
Intervention Scenario]]</calculatedColumnFormula>
    </tableColumn>
    <tableColumn id="20" name="Savings in Smoking-Attributable Private Healthcare Expenditures:_x000a_Intervention Scenario" dataDxfId="1611" dataCellStyle="Percent">
      <calculatedColumnFormula>Table1536434546[[#This Row],[Smoking-Attributable Private Healthcare Expenditures:
Base Scenario]]-Table1536434546[[#This Row],[Smoking-Attributable Private Healthcare Expenditures:
Intervention Scenario]]</calculatedColumnFormula>
    </tableColumn>
    <tableColumn id="48" name="Savings in Smoking-Attributable Private Healthcare Expenditures: Lower Bound_x000a_Intervention Scenario" dataDxfId="1610" dataCellStyle="Percent">
      <calculatedColumnFormula>Table1536434546[[#This Row],[Smoking-Attributable Private Healthcare Expenditures: Lower Bound
Base Scenario]]-Table1536434546[[#This Row],[Smoking-Attributable Private Healthcare Expenditures: Lower Bound
Intervention Scenario]]</calculatedColumnFormula>
    </tableColumn>
    <tableColumn id="47" name="Savings in Smoking-Attributable Private Healthcare Expenditures: Upper Bound_x000a_Intervention Scenario" dataDxfId="1609" dataCellStyle="Percent">
      <calculatedColumnFormula>Table1536434546[[#This Row],[Smoking-Attributable Private Healthcare Expenditures: Upper Bound
Base Scenario]]-Table1536434546[[#This Row],[Smoking-Attributable Private Healthcare Expenditures: Upper Bound
Intervention Scenario]]</calculatedColumnFormula>
    </tableColumn>
    <tableColumn id="21" name="Savings in Smoking-Attributable Other Health Expenditures:_x000a_Intervention Scenario" dataDxfId="1608" dataCellStyle="Percent">
      <calculatedColumnFormula>Table1536434546[[#This Row],[Smoking-Attributable Other Health Expenditures:
Base Scenario]]-Table1536434546[[#This Row],[Smoking-Attributable Other Health Expenditures:
Intervention Scenario]]</calculatedColumnFormula>
    </tableColumn>
    <tableColumn id="49" name="Savings in Smoking-Attributable Other Health Expenditures: Lower Bound_x000a_Intervention Scenario" dataDxfId="1607" dataCellStyle="Percent">
      <calculatedColumnFormula>Table1536434546[[#This Row],[Smoking-Attributable Other Health Expenditures: Lower Bound
Base Scenario]]-Table1536434546[[#This Row],[Smoking-Attributable Other Health Expenditures: Lower Bound
Intervention Scenario]]</calculatedColumnFormula>
    </tableColumn>
    <tableColumn id="50" name="Savings in Smoking-Attributable Other Health Expenditures: Upper Bound_x000a_Intervention Scenario" dataDxfId="1606" dataCellStyle="Percent">
      <calculatedColumnFormula>Table1536434546[[#This Row],[Smoking-Attributable Other Health Expenditures: Upper Bound
Base Scenario]]-Table1536434546[[#This Row],[Smoking-Attributable Other Health Expenditures: Upper Bound
Intervention Scenario]]</calculatedColumnFormula>
    </tableColumn>
  </tableColumns>
  <tableStyleInfo name="TableStyleMedium9" showFirstColumn="0" showLastColumn="0" showRowStripes="1" showColumnStripes="0"/>
</table>
</file>

<file path=xl/tables/table70.xml><?xml version="1.0" encoding="utf-8"?>
<table xmlns="http://schemas.openxmlformats.org/spreadsheetml/2006/main" id="6" name="Table65707" displayName="Table65707" ref="B168:V184" totalsRowShown="0" headerRowDxfId="533" headerRowBorderDxfId="532" headerRowCellStyle="Normal 5">
  <autoFilter ref="B168:V184"/>
  <tableColumns count="21">
    <tableColumn id="1" name="Year_x000a_Number" dataDxfId="531" dataCellStyle="Normal 5"/>
    <tableColumn id="11" name="Employed Persons:_x000a_Males" dataDxfId="530" dataCellStyle="Normal 5">
      <calculatedColumnFormula>$D$24</calculatedColumnFormula>
    </tableColumn>
    <tableColumn id="10" name="Employed Persons:_x000a_Females" dataDxfId="529" dataCellStyle="Normal 5">
      <calculatedColumnFormula>$E$24</calculatedColumnFormula>
    </tableColumn>
    <tableColumn id="6" name="Smoking Prevalence:_x000a_Males" dataDxfId="528" dataCellStyle="Normal 5">
      <calculatedColumnFormula>$D$25</calculatedColumnFormula>
    </tableColumn>
    <tableColumn id="5" name="Smoking Prevalence:_x000a_Females" dataDxfId="527" dataCellStyle="Normal 5">
      <calculatedColumnFormula>$E$25</calculatedColumnFormula>
    </tableColumn>
    <tableColumn id="9" name="Employed Smokers:_x000a_Males" dataDxfId="526" dataCellStyle="Normal 5">
      <calculatedColumnFormula>Table65707[[#This Row],[Employed Persons:
Males]]*Table65707[[#This Row],[Smoking Prevalence:
Males]]</calculatedColumnFormula>
    </tableColumn>
    <tableColumn id="8" name="Employed Smokers:_x000a_Females" dataDxfId="525" dataCellStyle="Normal 5">
      <calculatedColumnFormula>Table65707[[#This Row],[Employed Persons:
Females]]*Table65707[[#This Row],[Smoking Prevalence:
Females]]</calculatedColumnFormula>
    </tableColumn>
    <tableColumn id="2" name="Excess Presenteeism (Costs):_x000a_Males" dataDxfId="524" dataCellStyle="Normal 5">
      <calculatedColumnFormula>$C$10*Table65707[[#This Row],[Employed Smokers:
Males]]*D$27</calculatedColumnFormula>
    </tableColumn>
    <tableColumn id="3" name="Excess Presenteeism (Costs):_x000a_Females" dataDxfId="523">
      <calculatedColumnFormula>$C$10*Table65707[[#This Row],[Employed Smokers:
Females]]*E$27</calculatedColumnFormula>
    </tableColumn>
    <tableColumn id="4" name="Excess Presenteeism (Costs):_x000a_Total" dataDxfId="522">
      <calculatedColumnFormula>Table65707[[#This Row],[Excess Presenteeism (Costs):
Males]]+Table65707[[#This Row],[Excess Presenteeism (Costs):
Females]]</calculatedColumnFormula>
    </tableColumn>
    <tableColumn id="12" name="Relative Change in Smoking Prevalence:_x000a_Increase Cigarette Taxes"/>
    <tableColumn id="13" name="Smoking Prevalence Associated with Intervention: Males" dataDxfId="521">
      <calculatedColumnFormula>Table65707[[#This Row],[Smoking Prevalence:
Males]]</calculatedColumnFormula>
    </tableColumn>
    <tableColumn id="14" name="Smoking Prevalence Associated with Intervention: Females" dataDxfId="520">
      <calculatedColumnFormula>Table65707[[#This Row],[Smoking Prevalence:
Females]]</calculatedColumnFormula>
    </tableColumn>
    <tableColumn id="15" name="Employed Smokers (Intervention Scenario):_x000a_Males" dataDxfId="519">
      <calculatedColumnFormula>Table65707[[#This Row],[Employed Persons:
Males]]*Table65707[[#This Row],[Smoking Prevalence Associated with Intervention: Males]]</calculatedColumnFormula>
    </tableColumn>
    <tableColumn id="16" name="Employed Smokers (Intervention Scenario):_x000a_Females" dataDxfId="518">
      <calculatedColumnFormula>Table65707[[#This Row],[Employed Persons:
Females]]*Table65707[[#This Row],[Smoking Prevalence Associated with Intervention: Females]]</calculatedColumnFormula>
    </tableColumn>
    <tableColumn id="17" name="Excess Presenteeism (Costs) - Intervention Scenario:_x000a_Males" dataDxfId="517">
      <calculatedColumnFormula>$C$10*O169*D$27</calculatedColumnFormula>
    </tableColumn>
    <tableColumn id="18" name="Excess Presenteeism (Costs) - Intervention Scenario:_x000a_Females" dataDxfId="516">
      <calculatedColumnFormula>$C$10*P169*E$27</calculatedColumnFormula>
    </tableColumn>
    <tableColumn id="19" name="Excess Presenteeism (Costs) - Intervention Scenario:_x000a_Total" dataDxfId="515">
      <calculatedColumnFormula>Table65707[[#This Row],[Excess Presenteeism (Costs) - Intervention Scenario:
Males]]+Table65707[[#This Row],[Excess Presenteeism (Costs) - Intervention Scenario:
Females]]</calculatedColumnFormula>
    </tableColumn>
    <tableColumn id="20" name="Cost Savings:_x000a_Males" dataDxfId="514">
      <calculatedColumnFormula>Table65707[[#This Row],[Excess Presenteeism (Costs):
Males]]-Table65707[[#This Row],[Excess Presenteeism (Costs) - Intervention Scenario:
Males]]</calculatedColumnFormula>
    </tableColumn>
    <tableColumn id="21" name="Cost Savings:_x000a_Females" dataDxfId="513">
      <calculatedColumnFormula>Table65707[[#This Row],[Excess Presenteeism (Costs):
Females]]-Table65707[[#This Row],[Excess Presenteeism (Costs) - Intervention Scenario:
Females]]</calculatedColumnFormula>
    </tableColumn>
    <tableColumn id="22" name="Cost Savings:_x000a_Total" dataDxfId="512">
      <calculatedColumnFormula>Table65707[[#This Row],[Excess Presenteeism (Costs):
Total]]-Table65707[[#This Row],[Excess Presenteeism (Costs) - Intervention Scenario:
Total]]</calculatedColumnFormula>
    </tableColumn>
  </tableColumns>
  <tableStyleInfo name="TableStyleMedium9" showFirstColumn="0" showLastColumn="0" showRowStripes="1" showColumnStripes="0"/>
</table>
</file>

<file path=xl/tables/table71.xml><?xml version="1.0" encoding="utf-8"?>
<table xmlns="http://schemas.openxmlformats.org/spreadsheetml/2006/main" id="7" name="Table6570748" displayName="Table6570748" ref="B287:V303" totalsRowShown="0" headerRowDxfId="511" headerRowBorderDxfId="510" headerRowCellStyle="Normal 5">
  <autoFilter ref="B287:V303"/>
  <tableColumns count="21">
    <tableColumn id="1" name="Year_x000a_Number" dataDxfId="509" dataCellStyle="Normal 5"/>
    <tableColumn id="11" name="Employed Persons:_x000a_Males" dataDxfId="508" dataCellStyle="Normal 5">
      <calculatedColumnFormula>$D$24</calculatedColumnFormula>
    </tableColumn>
    <tableColumn id="10" name="Employed Persons:_x000a_Females" dataDxfId="507" dataCellStyle="Normal 5">
      <calculatedColumnFormula>$E$24</calculatedColumnFormula>
    </tableColumn>
    <tableColumn id="6" name="Smoking Prevalence:_x000a_Males" dataDxfId="506" dataCellStyle="Normal 5">
      <calculatedColumnFormula>$D$25</calculatedColumnFormula>
    </tableColumn>
    <tableColumn id="5" name="Smoking Prevalence:_x000a_Females" dataDxfId="505" dataCellStyle="Normal 5">
      <calculatedColumnFormula>$E$25</calculatedColumnFormula>
    </tableColumn>
    <tableColumn id="9" name="Employed Smokers:_x000a_Males" dataDxfId="504" dataCellStyle="Normal 5">
      <calculatedColumnFormula>Table6570748[[#This Row],[Employed Persons:
Males]]*Table6570748[[#This Row],[Smoking Prevalence:
Males]]</calculatedColumnFormula>
    </tableColumn>
    <tableColumn id="8" name="Employed Smokers:_x000a_Females" dataDxfId="503" dataCellStyle="Normal 5">
      <calculatedColumnFormula>Table6570748[[#This Row],[Employed Persons:
Females]]*Table6570748[[#This Row],[Smoking Prevalence:
Females]]</calculatedColumnFormula>
    </tableColumn>
    <tableColumn id="2" name="Smoking Breaks (Costs):_x000a_Males" dataDxfId="502" dataCellStyle="Normal 5">
      <calculatedColumnFormula>$C$16*Table6570748[[#This Row],[Employed Smokers:
Males]]*D$29</calculatedColumnFormula>
    </tableColumn>
    <tableColumn id="3" name="Smoking Breaks (Costs):_x000a_Females" dataDxfId="501">
      <calculatedColumnFormula>$C$16*Table6570748[[#This Row],[Employed Smokers:
Females]]*E$29</calculatedColumnFormula>
    </tableColumn>
    <tableColumn id="4" name="Smoking Breaks (Costs):_x000a_Total" dataDxfId="500">
      <calculatedColumnFormula>Table6570748[[#This Row],[Smoking Breaks (Costs):
Males]]+Table6570748[[#This Row],[Smoking Breaks (Costs):
Females]]</calculatedColumnFormula>
    </tableColumn>
    <tableColumn id="12" name="Relative Change in Smoking Prevalence:_x000a_All Interventions Combined"/>
    <tableColumn id="13" name="Smoking Prevalence Associated with Intervention: Males" dataDxfId="499">
      <calculatedColumnFormula>Table6570748[[#This Row],[Smoking Prevalence:
Males]]</calculatedColumnFormula>
    </tableColumn>
    <tableColumn id="14" name="Smoking Prevalence Associated with Intervention: Females" dataDxfId="498">
      <calculatedColumnFormula>Table6570748[[#This Row],[Smoking Prevalence:
Females]]</calculatedColumnFormula>
    </tableColumn>
    <tableColumn id="15" name="Employed Smokers (Intervention Scenario):_x000a_Males" dataDxfId="497">
      <calculatedColumnFormula>Table6570748[[#This Row],[Employed Persons:
Males]]*Table6570748[[#This Row],[Smoking Prevalence Associated with Intervention: Males]]</calculatedColumnFormula>
    </tableColumn>
    <tableColumn id="16" name="Employed Smokers (Intervention Scenario):_x000a_Females" dataDxfId="496">
      <calculatedColumnFormula>Table6570748[[#This Row],[Employed Persons:
Females]]*Table6570748[[#This Row],[Smoking Prevalence Associated with Intervention: Females]]</calculatedColumnFormula>
    </tableColumn>
    <tableColumn id="17" name="Smoking Breaks (Costs) - Intervention Scenario:_x000a_Males" dataDxfId="495">
      <calculatedColumnFormula>$C$16*O288*D$29</calculatedColumnFormula>
    </tableColumn>
    <tableColumn id="18" name="Smoking Breaks (Costs) - Intervention Scenario:_x000a_Females" dataDxfId="494">
      <calculatedColumnFormula>$C$16*P288*E$29</calculatedColumnFormula>
    </tableColumn>
    <tableColumn id="19" name="Smoking Breaks (Costs) - Intervention Scenario:_x000a_Total" dataDxfId="493">
      <calculatedColumnFormula>Table6570748[[#This Row],[Smoking Breaks (Costs) - Intervention Scenario:
Males]]+Table6570748[[#This Row],[Smoking Breaks (Costs) - Intervention Scenario:
Females]]</calculatedColumnFormula>
    </tableColumn>
    <tableColumn id="20" name="Cost Savings:_x000a_Males" dataDxfId="492">
      <calculatedColumnFormula>Table6570748[[#This Row],[Smoking Breaks (Costs):
Males]]-Table6570748[[#This Row],[Smoking Breaks (Costs) - Intervention Scenario:
Males]]</calculatedColumnFormula>
    </tableColumn>
    <tableColumn id="21" name="Cost Savings:_x000a_Females" dataDxfId="491">
      <calculatedColumnFormula>Table6570748[[#This Row],[Smoking Breaks (Costs):
Females]]-Table6570748[[#This Row],[Smoking Breaks (Costs) - Intervention Scenario:
Females]]</calculatedColumnFormula>
    </tableColumn>
    <tableColumn id="22" name="Cost Savings:_x000a_Total" dataDxfId="490">
      <calculatedColumnFormula>Table6570748[[#This Row],[Smoking Breaks (Costs):
Total]]-Table6570748[[#This Row],[Smoking Breaks (Costs) - Intervention Scenario:
Total]]</calculatedColumnFormula>
    </tableColumn>
  </tableColumns>
  <tableStyleInfo name="TableStyleMedium9" showFirstColumn="0" showLastColumn="0" showRowStripes="1" showColumnStripes="0"/>
</table>
</file>

<file path=xl/tables/table72.xml><?xml version="1.0" encoding="utf-8"?>
<table xmlns="http://schemas.openxmlformats.org/spreadsheetml/2006/main" id="41" name="Table41" displayName="Table41" ref="B35:AE107" totalsRowShown="0" headerRowDxfId="489" dataDxfId="488" tableBorderDxfId="487">
  <autoFilter ref="B35:AE107"/>
  <tableColumns count="30">
    <tableColumn id="1" name="Diseases" dataDxfId="486"/>
    <tableColumn id="2" name="ICD-10 Codes" dataDxfId="485"/>
    <tableColumn id="3" name="Disease ID" dataDxfId="484"/>
    <tableColumn id="10" name="Risk Factor" dataDxfId="483"/>
    <tableColumn id="30" name="Data Year" dataDxfId="482"/>
    <tableColumn id="29" name="Data Source" dataDxfId="481"/>
    <tableColumn id="4" name="Risk Factor Attributable Deaths:_x000a_Number" dataDxfId="480"/>
    <tableColumn id="5" name="Risk Factor Attributable Deaths:_x000a_Number_x000a_(Lower Bound)" dataDxfId="479"/>
    <tableColumn id="6" name="Risk Factor Attributable Deaths:_x000a_Number_x000a_(Upper Bound)" dataDxfId="478"/>
    <tableColumn id="7" name="Risk Factor Attributable Deaths:_x000a_Percent" dataDxfId="477">
      <calculatedColumnFormula>Table41[[#This Row],[Risk Factor Attributable Deaths:
Number]]/H$99</calculatedColumnFormula>
    </tableColumn>
    <tableColumn id="8" name="Risk Factor Attributable Deaths:_x000a_Percent_x000a_(Lower Bound)" dataDxfId="476">
      <calculatedColumnFormula>Table41[[#This Row],[Risk Factor Attributable Deaths:
Number]]/I$67</calculatedColumnFormula>
    </tableColumn>
    <tableColumn id="9" name="Risk Factor Attributable Deaths:_x000a_Percent_x000a_(Upper Bound)" dataDxfId="475">
      <calculatedColumnFormula>Table41[[#This Row],[Risk Factor Attributable Deaths:
Number]]/J$67</calculatedColumnFormula>
    </tableColumn>
    <tableColumn id="17" name="Risk Factor Attributable Years of Life Lost Due to Premature Mortality (YLL):_x000a_Number" dataDxfId="474"/>
    <tableColumn id="18" name="Risk Factor Attributable Years of Life Lost Due to Premature Mortality (YLL):_x000a_Number_x000a_(Lower Bound)" dataDxfId="473"/>
    <tableColumn id="19" name="Risk Factor Attributable Years of Life Lost Due to Premature Mortality (YLL):_x000a_Number_x000a_(Upper Bound)" dataDxfId="472"/>
    <tableColumn id="20" name="Risk Factor Attributable Years of Life Lost Due to Premature Mortality (YLL):_x000a_Percent" dataDxfId="471"/>
    <tableColumn id="21" name="Risk Factor Attributable Years of Life Lost Due to Premature Mortality (YLL):_x000a_Percent_x000a_(Lower Bound)" dataDxfId="470"/>
    <tableColumn id="22" name="Risk Factor Attributable Years of Life Lost Due to Premature Mortality (YLL):_x000a_Percent_x000a_(Upper Bound)" dataDxfId="469"/>
    <tableColumn id="11" name="Risk Factor Attributable Years Lived with Disability (YLD):_x000a_Number" dataDxfId="468"/>
    <tableColumn id="12" name="Risk Factor Attributable Years Lived with Disability (YLD):_x000a_Number_x000a_(Lower Bound)" dataDxfId="467"/>
    <tableColumn id="13" name="Risk Factor Attributable Years Lived with Disability (YLD):_x000a_Number_x000a_(Upper Bound)" dataDxfId="466"/>
    <tableColumn id="14" name="Risk Factor Attributable Years Lived with Disability (YLD):_x000a_Percent" dataDxfId="465"/>
    <tableColumn id="15" name="Risk Factor Attributable Years Lived with Disability (YLD):_x000a_Percent_x000a_(Lower Bound)" dataDxfId="464"/>
    <tableColumn id="16" name="Risk Factor Attributable Years Lived with Disability (YLD):_x000a_Percent_x000a_(Upper Bound)" dataDxfId="463"/>
    <tableColumn id="23" name="Risk Factor Attributable Disability-Adjusted Life Years (DALY):_x000a_Number" dataDxfId="462"/>
    <tableColumn id="24" name="Risk Factor Attributable Disability-Adjusted Life Years (DALY):_x000a_Number_x000a_(Lower Bound)" dataDxfId="461"/>
    <tableColumn id="25" name="Risk Factor Attributable Disability-Adjusted Life Years (DALY):_x000a_Number_x000a_(Upper Bound)" dataDxfId="460"/>
    <tableColumn id="26" name="Risk Factor Attributable Disability-Adjusted Life Years (DALY):_x000a_Percent" dataDxfId="459"/>
    <tableColumn id="27" name="Risk Factor Attributable Disability-Adjusted Life Years (DALY):_x000a_Percent_x000a_(Lower Bound)" dataDxfId="458"/>
    <tableColumn id="28" name="Risk Factor Attributable Disability-Adjusted Life Years (DALY):_x000a_Percent_x000a_(Upper Bound)" dataDxfId="457"/>
  </tableColumns>
  <tableStyleInfo name="TableStyleDark2" showFirstColumn="0" showLastColumn="0" showRowStripes="1" showColumnStripes="0"/>
</table>
</file>

<file path=xl/tables/table73.xml><?xml version="1.0" encoding="utf-8"?>
<table xmlns="http://schemas.openxmlformats.org/spreadsheetml/2006/main" id="46" name="Table4147" displayName="Table4147" ref="B118:AE127" totalsRowShown="0" headerRowDxfId="456" dataDxfId="455" tableBorderDxfId="454">
  <autoFilter ref="B118:AE127"/>
  <tableColumns count="30">
    <tableColumn id="1" name="Sex" dataDxfId="453"/>
    <tableColumn id="2" name="Comments" dataDxfId="452"/>
    <tableColumn id="3" name="Sex ID" dataDxfId="451"/>
    <tableColumn id="10" name="Risk Factor" dataDxfId="450"/>
    <tableColumn id="30" name="Data Year" dataDxfId="449"/>
    <tableColumn id="29" name="Data Source" dataDxfId="448"/>
    <tableColumn id="4" name="Risk Factor Attributable Deaths:_x000a_Number" dataDxfId="447"/>
    <tableColumn id="5" name="Risk Factor Attributable Deaths:_x000a_Number_x000a_(Lower Bound)" dataDxfId="446"/>
    <tableColumn id="6" name="Risk Factor Attributable Deaths:_x000a_Number_x000a_(Upper Bound)" dataDxfId="445"/>
    <tableColumn id="7" name="Risk Factor Attributable Deaths:_x000a_Percent" dataDxfId="444">
      <calculatedColumnFormula>Table4147[[#This Row],[Risk Factor Attributable Deaths:
Number]]/H$124</calculatedColumnFormula>
    </tableColumn>
    <tableColumn id="8" name="Risk Factor Attributable Deaths:_x000a_Percent_x000a_(Lower Bound)" dataDxfId="443"/>
    <tableColumn id="9" name="Risk Factor Attributable Deaths:_x000a_Percent_x000a_(Upper Bound)" dataDxfId="442"/>
    <tableColumn id="11" name="Risk Factor Attributable Years of Life Lost Due to Premature Mortality (YLL):_x000a_Number" dataDxfId="441"/>
    <tableColumn id="12" name="Risk Factor Attributable Years of Life Lost Due to Premature Mortality (YLL):_x000a_Number_x000a_(Lower Bound)" dataDxfId="440"/>
    <tableColumn id="13" name="Risk Factor Attributable Years of Life Lost Due to Premature Mortality (YLL):_x000a_Number_x000a_(Upper Bound)" dataDxfId="439"/>
    <tableColumn id="14" name="Risk Factor Attributable Years of Life Lost Due to Premature Mortality (YLL):_x000a_Percent" dataDxfId="438"/>
    <tableColumn id="15" name="Risk Factor Attributable Years of Life Lost Due to Premature Mortality (YLL):_x000a_Percent_x000a_(Lower Bound)" dataDxfId="437"/>
    <tableColumn id="16" name="Risk Factor Attributable Years of Life Lost Due to Premature Mortality (YLL):_x000a_Percent_x000a_(Upper Bound)" dataDxfId="436"/>
    <tableColumn id="17" name="Risk Factor Attributable Years Lived with Disability (YLD):_x000a_Number" dataDxfId="435"/>
    <tableColumn id="18" name="Risk Factor Attributable Years Lived with Disability (YLD):_x000a_Number_x000a_(Lower Bound)" dataDxfId="434"/>
    <tableColumn id="19" name="Risk Factor Attributable Years Lived with Disability (YLD):_x000a_Number_x000a_(Upper Bound)" dataDxfId="433"/>
    <tableColumn id="20" name="Risk Factor Attributable Years Lived with Disability (YLD):_x000a_Percent" dataDxfId="432"/>
    <tableColumn id="21" name="Risk Factor Attributable Years Lived with Disability (YLD):_x000a_Percent_x000a_(Lower Bound)" dataDxfId="431"/>
    <tableColumn id="22" name="Risk Factor Attributable Years Lived with Disability (YLD):_x000a_Percent_x000a_(Upper Bound)" dataDxfId="430"/>
    <tableColumn id="23" name="Risk Factor Attributable Disability-Adjusted Life Years (DALY):_x000a_Number" dataDxfId="429"/>
    <tableColumn id="24" name="Risk Factor Attributable Disability-Adjusted Life Years (DALY):_x000a_Number_x000a_(Lower Bound)" dataDxfId="428"/>
    <tableColumn id="25" name="Risk Factor Attributable Disability-Adjusted Life Years (DALY):_x000a_Number_x000a_(Upper Bound)" dataDxfId="427"/>
    <tableColumn id="26" name="Risk Factor Attributable Disability-Adjusted Life Years (DALY):_x000a_Percent" dataDxfId="426"/>
    <tableColumn id="27" name="Risk Factor Attributable Disability-Adjusted Life Years (DALY):_x000a_Percent_x000a_(Lower Bound)" dataDxfId="425"/>
    <tableColumn id="28" name="Risk Factor Attributable Disability-Adjusted Life Years (DALY):_x000a_Percent_x000a_(Upper Bound)" dataDxfId="424"/>
  </tableColumns>
  <tableStyleInfo name="TableStyleDark2" showFirstColumn="0" showLastColumn="0" showRowStripes="1" showColumnStripes="0"/>
</table>
</file>

<file path=xl/tables/table74.xml><?xml version="1.0" encoding="utf-8"?>
<table xmlns="http://schemas.openxmlformats.org/spreadsheetml/2006/main" id="47" name="Table414748" displayName="Table414748" ref="B134:AE179" totalsRowShown="0" headerRowDxfId="423" dataDxfId="422" tableBorderDxfId="421">
  <autoFilter ref="B134:AE179"/>
  <tableColumns count="30">
    <tableColumn id="1" name="Age Group" dataDxfId="420"/>
    <tableColumn id="2" name="Comments" dataDxfId="419"/>
    <tableColumn id="3" name="Age Group ID" dataDxfId="418"/>
    <tableColumn id="10" name="Risk Factor" dataDxfId="417"/>
    <tableColumn id="30" name="Data Year" dataDxfId="416"/>
    <tableColumn id="29" name="Data Source" dataDxfId="415"/>
    <tableColumn id="4" name="Risk Factor Attributable Deaths:_x000a_Number" dataDxfId="414"/>
    <tableColumn id="5" name="Risk Factor Attributable Deaths:_x000a_Number_x000a_(Lower Bound)" dataDxfId="413"/>
    <tableColumn id="6" name="Risk Factor Attributable Deaths:_x000a_Number_x000a_(Upper Bound)" dataDxfId="412"/>
    <tableColumn id="7" name="Risk Factor Attributable Deaths:_x000a_Percent" dataDxfId="411">
      <calculatedColumnFormula>Table414748[[#This Row],[Risk Factor Attributable Deaths:
Number]]/H$124</calculatedColumnFormula>
    </tableColumn>
    <tableColumn id="8" name="Risk Factor Attributable Deaths:_x000a_Percent_x000a_(Lower Bound)" dataDxfId="410">
      <calculatedColumnFormula>Table414748[[#This Row],[Risk Factor Attributable Deaths:
Number
(Lower Bound)]]/I$124</calculatedColumnFormula>
    </tableColumn>
    <tableColumn id="9" name="Risk Factor Attributable Deaths:_x000a_Percent_x000a_(Upper Bound)" dataDxfId="409">
      <calculatedColumnFormula>Table414748[[#This Row],[Risk Factor Attributable Deaths:
Number
(Upper Bound)]]/J$124</calculatedColumnFormula>
    </tableColumn>
    <tableColumn id="11" name="Risk Factor Attributable Years of Life Lost Due to Premature Mortality (YLL):_x000a_Number" dataDxfId="408"/>
    <tableColumn id="12" name="Risk Factor Attributable Years of Life Lost Due to Premature Mortality (YLL):_x000a_Number_x000a_(Lower Bound)" dataDxfId="407"/>
    <tableColumn id="13" name="Risk Factor Attributable Years of Life Lost Due to Premature Mortality (YLL):_x000a_Number_x000a_(Upper Bound)" dataDxfId="406"/>
    <tableColumn id="14" name="Risk Factor Attributable Years of Life Lost Due to Premature Mortality (YLL):_x000a_Percent" dataDxfId="405"/>
    <tableColumn id="15" name="Risk Factor Attributable Years of Life Lost Due to Premature Mortality (YLL):_x000a_Percent_x000a_(Lower Bound)" dataDxfId="404"/>
    <tableColumn id="16" name="Risk Factor Attributable Years of Life Lost Due to Premature Mortality (YLL):_x000a_Percent_x000a_(Upper Bound)" dataDxfId="403"/>
    <tableColumn id="17" name="Risk Factor Attributable Years Lived with Disability (YLD):_x000a_Number" dataDxfId="402"/>
    <tableColumn id="18" name="Risk Factor Attributable Years Lived with Disability (YLD):_x000a_Number_x000a_(Lower Bound)" dataDxfId="401"/>
    <tableColumn id="19" name="Risk Factor Attributable Years Lived with Disability (YLD):_x000a_Number_x000a_(Upper Bound)" dataDxfId="400"/>
    <tableColumn id="20" name="Risk Factor Attributable Years Lived with Disability (YLD):_x000a_Percent" dataDxfId="399"/>
    <tableColumn id="21" name="Risk Factor Attributable Years Lived with Disability (YLD):_x000a_Percent_x000a_(Lower Bound)" dataDxfId="398"/>
    <tableColumn id="22" name="Risk Factor Attributable Years Lived with Disability (YLD):_x000a_Percent_x000a_(Upper Bound)" dataDxfId="397"/>
    <tableColumn id="23" name="Risk Factor Attributable Disability-Adjusted Life Years (DALY):_x000a_Number" dataDxfId="396"/>
    <tableColumn id="24" name="Risk Factor Attributable Disability-Adjusted Life Years (DALY):_x000a_Number_x000a_(Lower Bound)" dataDxfId="395"/>
    <tableColumn id="25" name="Risk Factor Attributable Disability-Adjusted Life Years (DALY):_x000a_Number_x000a_(Upper Bound)" dataDxfId="394"/>
    <tableColumn id="26" name="Risk Factor Attributable Disability-Adjusted Life Years (DALY):_x000a_Percent" dataDxfId="393"/>
    <tableColumn id="27" name="Risk Factor Attributable Disability-Adjusted Life Years (DALY):_x000a_Percent_x000a_(Lower Bound)" dataDxfId="392"/>
    <tableColumn id="28" name="Risk Factor Attributable Disability-Adjusted Life Years (DALY):_x000a_Percent_x000a_(Upper Bound)" dataDxfId="391"/>
  </tableColumns>
  <tableStyleInfo name="TableStyleDark2" showFirstColumn="0" showLastColumn="0" showRowStripes="1" showColumnStripes="0"/>
</table>
</file>

<file path=xl/tables/table75.xml><?xml version="1.0" encoding="utf-8"?>
<table xmlns="http://schemas.openxmlformats.org/spreadsheetml/2006/main" id="8" name="tblTotalCosts_Base" displayName="tblTotalCosts_Base" ref="B30:AA31" totalsRowShown="0" headerRowDxfId="390" dataDxfId="389">
  <autoFilter ref="B30:AA31"/>
  <tableColumns count="26">
    <tableColumn id="1" name="Year" dataDxfId="388"/>
    <tableColumn id="2" name="Intervention/Policy" dataDxfId="387"/>
    <tableColumn id="13" name="Relative Reduction in Smoking Prevalence" dataDxfId="386"/>
    <tableColumn id="3" name="Smoking-Attributable Healthcare Cost:_x000a_Total" dataDxfId="385">
      <calculatedColumnFormula>'Healthcare Expenditures'!$H$22</calculatedColumnFormula>
    </tableColumn>
    <tableColumn id="14" name="Smoking-Attributable Healthcare Cost:_x000a_Total (Lower Bound)" dataDxfId="384">
      <calculatedColumnFormula>'Healthcare Expenditures'!$I$22</calculatedColumnFormula>
    </tableColumn>
    <tableColumn id="12" name="Smoking-Attributable Healthcare Cost:_x000a_Total (Upper Bound)" dataDxfId="383">
      <calculatedColumnFormula>'Healthcare Expenditures'!$J$22</calculatedColumnFormula>
    </tableColumn>
    <tableColumn id="16" name="Smoking-Attributable Healthcare Cost:_x000a_Government" dataDxfId="382">
      <calculatedColumnFormula>'Healthcare Expenditures'!$H$23</calculatedColumnFormula>
    </tableColumn>
    <tableColumn id="18" name="Smoking-Attributable Healthcare Cost:_x000a_Government (Lower Bound)" dataDxfId="381">
      <calculatedColumnFormula>'Healthcare Expenditures'!$I$23</calculatedColumnFormula>
    </tableColumn>
    <tableColumn id="17" name="Smoking-Attributable Healthcare Cost:_x000a_Government (Upper Bound)" dataDxfId="380">
      <calculatedColumnFormula>'Healthcare Expenditures'!$J$23</calculatedColumnFormula>
    </tableColumn>
    <tableColumn id="15" name="Smoking-Attributable Healthcare Cost:_x000a_Private (Out-of-Pocket)" dataDxfId="379">
      <calculatedColumnFormula>'Healthcare Expenditures'!$H$24</calculatedColumnFormula>
    </tableColumn>
    <tableColumn id="26" name="Smoking-Attributable Healthcare Cost:_x000a_Private (Out-of-Pocket) - Lower Bound" dataDxfId="378">
      <calculatedColumnFormula>'Healthcare Expenditures'!$I$24</calculatedColumnFormula>
    </tableColumn>
    <tableColumn id="25" name="Smoking-Attributable Healthcare Cost:_x000a_Private (Out-of-Pocket) - Upper Bound" dataDxfId="377">
      <calculatedColumnFormula>'Healthcare Expenditures'!$J$24</calculatedColumnFormula>
    </tableColumn>
    <tableColumn id="4" name="Cost of Premature Mortality Associated with Tobacco Use" dataDxfId="376">
      <calculatedColumnFormula>'Mortality Costs'!$E$83</calculatedColumnFormula>
    </tableColumn>
    <tableColumn id="20" name="Cost of Premature Mortality Associated with Tobacco Use: Lower Bound" dataDxfId="375">
      <calculatedColumnFormula>'Mortality Costs'!$E$84</calculatedColumnFormula>
    </tableColumn>
    <tableColumn id="19" name="Cost of Premature Mortality Associated with Tobacco Use: Upper Bound" dataDxfId="374">
      <calculatedColumnFormula>'Mortality Costs'!$E$85</calculatedColumnFormula>
    </tableColumn>
    <tableColumn id="5" name="Cost of Excess Absenteeism" dataDxfId="373">
      <calculatedColumnFormula>'Workplace Smoking Costs'!$E$35</calculatedColumnFormula>
    </tableColumn>
    <tableColumn id="6" name="Cost of Presenteeism" dataDxfId="372">
      <calculatedColumnFormula>'Workplace Smoking Costs'!$E$36</calculatedColumnFormula>
    </tableColumn>
    <tableColumn id="7" name="Cost of Smoking Breaks" dataDxfId="371">
      <calculatedColumnFormula>'Workplace Smoking Costs'!$E$37</calculatedColumnFormula>
    </tableColumn>
    <tableColumn id="8" name="Workplace Costs" dataDxfId="370">
      <calculatedColumnFormula>SUM($Q$31:$S$31)</calculatedColumnFormula>
    </tableColumn>
    <tableColumn id="9" name="Total Economic Cost" dataDxfId="369">
      <calculatedColumnFormula>$E$31+$N$31+$T$31</calculatedColumnFormula>
    </tableColumn>
    <tableColumn id="22" name="Total Economic Cost: Lower Bound" dataDxfId="368">
      <calculatedColumnFormula>$F$31+$O$31+$T$31</calculatedColumnFormula>
    </tableColumn>
    <tableColumn id="21" name="Total Economic Cost: Upper Bound" dataDxfId="367">
      <calculatedColumnFormula>$G$31+$P$31+$T$31</calculatedColumnFormula>
    </tableColumn>
    <tableColumn id="10" name="Gross Domestic Product (GDP)" dataDxfId="366"/>
    <tableColumn id="11" name="Total Economic Cost as a Percentage of GDP" dataDxfId="365">
      <calculatedColumnFormula>$U$31/$X$31</calculatedColumnFormula>
    </tableColumn>
    <tableColumn id="23" name="Total Economic Cost as a Percentage of GDP (Lower Bound)" dataDxfId="364">
      <calculatedColumnFormula>$V$31/$X$31</calculatedColumnFormula>
    </tableColumn>
    <tableColumn id="24" name="Total Economic Cost as a Percentage of GDP (Upper Bound)" dataDxfId="363">
      <calculatedColumnFormula>$W$31/$X$31</calculatedColumnFormula>
    </tableColumn>
  </tableColumns>
  <tableStyleInfo name="TableStyleMedium9" showFirstColumn="0" showLastColumn="0" showRowStripes="1" showColumnStripes="0"/>
</table>
</file>

<file path=xl/tables/table76.xml><?xml version="1.0" encoding="utf-8"?>
<table xmlns="http://schemas.openxmlformats.org/spreadsheetml/2006/main" id="9" name="tblTotalCosts_All" displayName="tblTotalCosts_All" ref="B38:BQ56" totalsRowShown="0" headerRowDxfId="362" dataDxfId="361">
  <autoFilter ref="B38:BQ56"/>
  <tableColumns count="68">
    <tableColumn id="1" name="Year" dataDxfId="360"/>
    <tableColumn id="2" name="Intervention/Policy" dataDxfId="359"/>
    <tableColumn id="50" name="Smoking-Attributable Healthcare Cost:_x000a_Base Scenario_x000a_Total" dataDxfId="358"/>
    <tableColumn id="51" name="Smoking-Attributable Healthcare Cost:_x000a_Base Scenario_x000a_Total (Lower Bound)" dataDxfId="357"/>
    <tableColumn id="52" name="Smoking-Attributable Healthcare Cost:_x000a_Base Scenario_x000a_Total (Upper Bound)" dataDxfId="356"/>
    <tableColumn id="58" name="Smoking-Attributable Healthcare Cost:_x000a_(Base Scenario)_x000a_Government" dataDxfId="355">
      <calculatedColumnFormula>'Healthcare Expenditures'!$AC35</calculatedColumnFormula>
    </tableColumn>
    <tableColumn id="57" name="Smoking-Attributable Healthcare Cost:_x000a_(Base Scenario)_x000a_Government (Lower Bound)" dataDxfId="354">
      <calculatedColumnFormula>'Healthcare Expenditures'!$AD35</calculatedColumnFormula>
    </tableColumn>
    <tableColumn id="56" name="Smoking-Attributable Healthcare Cost:_x000a_(Base Scenario)_x000a_Government (Upper Bound)" dataDxfId="353">
      <calculatedColumnFormula>'Healthcare Expenditures'!$AE35</calculatedColumnFormula>
    </tableColumn>
    <tableColumn id="55" name="Smoking-Attributable Healthcare Cost:_x000a_(Base Scenario)_x000a_Private (Out-of-Pocket)" dataDxfId="352">
      <calculatedColumnFormula>'Healthcare Expenditures'!$AF35</calculatedColumnFormula>
    </tableColumn>
    <tableColumn id="54" name="Smoking-Attributable Healthcare Cost:_x000a_(Base Scenario)_x000a_Private (Out-of-Pocket) - Lower Bound" dataDxfId="351">
      <calculatedColumnFormula>'Healthcare Expenditures'!$AG35</calculatedColumnFormula>
    </tableColumn>
    <tableColumn id="53" name="Smoking-Attributable Healthcare Cost:_x000a_(Base Scenario)_x000a_Private (Out-of-Pocket) - Upper Bound" dataDxfId="350">
      <calculatedColumnFormula>'Healthcare Expenditures'!$AH35</calculatedColumnFormula>
    </tableColumn>
    <tableColumn id="61" name="Cost of Premature Mortality Associated with Tobacco Use_x000a_Base Scenario" dataDxfId="349"/>
    <tableColumn id="60" name="Cost of Premature Mortality Associated with Tobacco Use_x000a_Base Scenario (Lower Bound)" dataDxfId="348"/>
    <tableColumn id="59" name="Cost of Premature Mortality Associated with Tobacco Use_x000a_Base Scenario (Upper Bound)" dataDxfId="347"/>
    <tableColumn id="65" name="Cost of Excess Absenteeism_x000a_Base Scenario" dataDxfId="346">
      <calculatedColumnFormula>'Workplace Smoking Costs'!$S51</calculatedColumnFormula>
    </tableColumn>
    <tableColumn id="64" name="Cost of Presenteeism_x000a_Base Scenario" dataDxfId="345">
      <calculatedColumnFormula>'Workplace Smoking Costs'!$K170</calculatedColumnFormula>
    </tableColumn>
    <tableColumn id="63" name="Cost of Smoking Breaks_x000a_Base Scenario" dataDxfId="344">
      <calculatedColumnFormula>'Workplace Smoking Costs'!$K289</calculatedColumnFormula>
    </tableColumn>
    <tableColumn id="62" name="Workplace Costs_x000a_Base Scenario" dataDxfId="343">
      <calculatedColumnFormula>tblTotalCosts_All[[#This Row],[Cost of Excess Absenteeism
Base Scenario]]+tblTotalCosts_All[[#This Row],[Cost of Presenteeism
Base Scenario]]+tblTotalCosts_All[[#This Row],[Cost of Smoking Breaks
Base Scenario]]</calculatedColumnFormula>
    </tableColumn>
    <tableColumn id="68" name="Total Economic Cost_x000a_(Base Scenario)" dataDxfId="342"/>
    <tableColumn id="67" name="Total Economic Cost_x000a_(Base Scenario) - Lower Bound" dataDxfId="341"/>
    <tableColumn id="66" name="Total Economic Cost_x000a_(Base Scenario) - Upper Bound" dataDxfId="340"/>
    <tableColumn id="12" name="Relative Reduction in Smoking Prevalence" dataDxfId="339"/>
    <tableColumn id="3" name="Smoking-Attributable Healthcare Cost:_x000a_Intervention Scenario_x000a_Total" dataDxfId="338"/>
    <tableColumn id="27" name="Smoking-Attributable Healthcare Cost:_x000a_Intervention Scenario_x000a_Total (Lower Bound)" dataDxfId="337"/>
    <tableColumn id="19" name="Smoking-Attributable Healthcare Cost:_x000a_Intervention Scenario_x000a_Total (Upper Bound)" dataDxfId="336"/>
    <tableColumn id="14" name="Smoking-Attributable Healthcare Cost:_x000a_(Intervention Scenario)_x000a_Government" dataDxfId="335"/>
    <tableColumn id="29" name="Smoking-Attributable Healthcare Cost:_x000a_(Intervention Scenario)_x000a_Government (Lower Bound)" dataDxfId="334"/>
    <tableColumn id="28" name="Smoking-Attributable Healthcare Cost:_x000a_(Intervention Scenario)_x000a_Government (Upper Bound)" dataDxfId="333"/>
    <tableColumn id="13" name="Smoking-Attributable Healthcare Cost:_x000a_(Intervention Scenario)_x000a_Private (Out-of-Pocket)" dataDxfId="332"/>
    <tableColumn id="31" name="Smoking-Attributable Healthcare Cost:_x000a_(Intervention Scenario)_x000a_Private (Out-of-Pocket) - Lower Bound6" dataDxfId="331"/>
    <tableColumn id="30" name="Smoking-Attributable Healthcare Cost:_x000a_(Intervention Scenario)_x000a_Private (Out-of-Pocket) - Upper Bound7" dataDxfId="330"/>
    <tableColumn id="4" name="Cost of Premature Mortality Associated with Tobacco Use_x000a_Intervention Scenario" dataDxfId="329"/>
    <tableColumn id="33" name="Cost of Premature Mortality Associated with Tobacco Use_x000a_Intervention Scenario (Lower Bound)" dataDxfId="328"/>
    <tableColumn id="32" name="Cost of Premature Mortality Associated with Tobacco Use_x000a_Intervention Scenario (Upper Bound)" dataDxfId="327"/>
    <tableColumn id="5" name="Cost of Excess Absenteeism_x000a_Intervention Scenario" dataDxfId="326"/>
    <tableColumn id="6" name="Cost of Presenteeism_x000a_Intervention Scenario" dataDxfId="325"/>
    <tableColumn id="7" name="Cost of Smoking Breaks_x000a_Intervention Scenario" dataDxfId="324"/>
    <tableColumn id="8" name="Workplace Costs_x000a_Intervention Scenario" dataDxfId="323">
      <calculatedColumnFormula>SUM(tblTotalCosts_All[[#This Row],[Cost of Excess Absenteeism
Intervention Scenario]:[Cost of Smoking Breaks
Intervention Scenario]])</calculatedColumnFormula>
    </tableColumn>
    <tableColumn id="9" name="Total Economic Cost_x000a_(Intervention Scenario)" dataDxfId="322">
      <calculatedColumnFormula>tblTotalCosts_All[[#This Row],[Smoking-Attributable Healthcare Cost:
Intervention Scenario
Total]]+tblTotalCosts_All[[#This Row],[Cost of Premature Mortality Associated with Tobacco Use
Intervention Scenario]]+tblTotalCosts_All[[#This Row],[Workplace Costs
Intervention Scenario]]</calculatedColumnFormula>
    </tableColumn>
    <tableColumn id="35" name="Total Economic Cost_x000a_(Intervention Scenario) - Lower Bound" dataDxfId="321">
      <calculatedColumnFormula>tblTotalCosts_All[[#This Row],[Smoking-Attributable Healthcare Cost:
Intervention Scenario
Total (Lower Bound)]]+tblTotalCosts_All[[#This Row],[Cost of Premature Mortality Associated with Tobacco Use
Intervention Scenario (Lower Bound)]]+tblTotalCosts_All[[#This Row],[Workplace Costs
Intervention Scenario]]</calculatedColumnFormula>
    </tableColumn>
    <tableColumn id="34" name="Total Economic Cost_x000a_(Intervention Scenario) - Upper Bound" dataDxfId="320">
      <calculatedColumnFormula>tblTotalCosts_All[[#This Row],[Smoking-Attributable Healthcare Cost:
Intervention Scenario
Total (Upper Bound)]]+tblTotalCosts_All[[#This Row],[Cost of Premature Mortality Associated with Tobacco Use
Intervention Scenario (Upper Bound)]]+tblTotalCosts_All[[#This Row],[Workplace Costs
Intervention Scenario]]</calculatedColumnFormula>
    </tableColumn>
    <tableColumn id="10" name="Gross Domestic Product (GDP)" dataDxfId="319"/>
    <tableColumn id="11" name="Total Economic Cost as a Percentage of GDP_x000a_(Intervention Scenario)" dataDxfId="318">
      <calculatedColumnFormula>tblTotalCosts_All[[#This Row],[Total Economic Cost
(Intervention Scenario)]]/tblTotalCosts_All[[#This Row],[Gross Domestic Product (GDP)]]</calculatedColumnFormula>
    </tableColumn>
    <tableColumn id="37" name="Total Economic Cost as a Percentage of GDP_x000a_(Intervention Scenario) - Lower Bound" dataDxfId="317">
      <calculatedColumnFormula>tblTotalCosts_All[[#This Row],[Total Economic Cost
(Intervention Scenario) - Lower Bound]]/tblTotalCosts_All[[#This Row],[Gross Domestic Product (GDP)]]</calculatedColumnFormula>
    </tableColumn>
    <tableColumn id="36" name="Total Economic Cost as a Percentage of GDP_x000a_(Intervention Scenario) - Upper Bound" dataDxfId="316">
      <calculatedColumnFormula>tblTotalCosts_All[[#This Row],[Total Economic Cost
(Intervention Scenario) - Upper Bound]]/tblTotalCosts_All[[#This Row],[Gross Domestic Product (GDP)]]</calculatedColumnFormula>
    </tableColumn>
    <tableColumn id="15" name="Cost Savings:_x000a_Smoking-Attributable Total Healthcare Expenditures" dataDxfId="315">
      <calculatedColumnFormula>$E$31-tblTotalCosts_All[[#This Row],[Smoking-Attributable Healthcare Cost:
Intervention Scenario
Total]]</calculatedColumnFormula>
    </tableColumn>
    <tableColumn id="38" name="Cost Savings:_x000a_Smoking-Attributable Total Healthcare Expenditures (Lower Bound)" dataDxfId="314" dataCellStyle="Percent"/>
    <tableColumn id="39" name="Cost Savings:_x000a_Smoking-Attributable Total Healthcare Expenditures (Upper Bound)" dataDxfId="313" dataCellStyle="Percent">
      <calculatedColumnFormula>'Healthcare Expenditures'!$AN35</calculatedColumnFormula>
    </tableColumn>
    <tableColumn id="16" name="Cost Savings:_x000a_Smoking-Attributable Government Healthcare Expenditures_x000a_(including national insurance)" dataDxfId="312">
      <calculatedColumnFormula>Table1536434546[[#This Row],[Smoking-Attributable Government Healthcare Expenditures
(including national insurance):
Base Scenario]]-Table1536434546[[#This Row],[Smoking-Attributable Government Healthcare Expenditures
(including national insurance):
Intervention Scenario]]</calculatedColumnFormula>
    </tableColumn>
    <tableColumn id="40" name="Cost Savings:_x000a_Smoking-Attributable Government Healthcare Expenditures_x000a_(including national insurance) - Lower Bound" dataDxfId="311" dataCellStyle="Percent">
      <calculatedColumnFormula>'Healthcare Expenditures'!$AP35</calculatedColumnFormula>
    </tableColumn>
    <tableColumn id="41" name="Cost Savings:_x000a_Smoking-Attributable Government Healthcare Expenditures_x000a_(including national insurance) - Upper Bound" dataDxfId="310" dataCellStyle="Percent">
      <calculatedColumnFormula>'Healthcare Expenditures'!$AQ35</calculatedColumnFormula>
    </tableColumn>
    <tableColumn id="17" name="Cost Savings:_x000a_Smoking-Attributable Private Healthcare Expenditures" dataDxfId="309">
      <calculatedColumnFormula>Table1536434546[[#This Row],[Smoking-Attributable Private Healthcare Expenditures:
Base Scenario]]-Table1536434546[[#This Row],[Smoking-Attributable Private Healthcare Expenditures:
Intervention Scenario]]</calculatedColumnFormula>
    </tableColumn>
    <tableColumn id="42" name="Cost Savings:_x000a_Smoking-Attributable Private Healthcare Expenditures (Lower Bound)" dataDxfId="308" dataCellStyle="Percent">
      <calculatedColumnFormula>'Healthcare Expenditures'!$AS35</calculatedColumnFormula>
    </tableColumn>
    <tableColumn id="43" name="Cost Savings:_x000a_Smoking-Attributable Private Healthcare Expenditures (Upper Bound)" dataDxfId="307" dataCellStyle="Percent">
      <calculatedColumnFormula>'Healthcare Expenditures'!$AT35</calculatedColumnFormula>
    </tableColumn>
    <tableColumn id="18" name="Cost Savings: Cost of Premature Mortality Caused by Tobacco Smoke_x000a_(Per Capita GDP Approach)" dataDxfId="306"/>
    <tableColumn id="44" name="Cost Savings: Cost of Premature Mortality Caused by Tobacco Smoke_x000a_(Per Capita GDP Approach) - Lower Bound" dataDxfId="305">
      <calculatedColumnFormula>#REF!</calculatedColumnFormula>
    </tableColumn>
    <tableColumn id="45" name="Cost Savings: Cost of Premature Mortality Caused by Tobacco Smoke_x000a_(Per Capita GDP Approach) - Upper Bound" dataDxfId="304">
      <calculatedColumnFormula>#REF!</calculatedColumnFormula>
    </tableColumn>
    <tableColumn id="20" name="Cost Savings:_x000a_Absenteeism" dataDxfId="303"/>
    <tableColumn id="21" name="Cost Savings:_x000a_Presenteeism" dataDxfId="302"/>
    <tableColumn id="22" name="Cost Savings:_x000a_Smoking Breaks" dataDxfId="301"/>
    <tableColumn id="23" name="Cost Savings:_x000a_Workplace" dataDxfId="300">
      <calculatedColumnFormula>SUM(tblTotalCosts_All[[#This Row],[Cost Savings:
Absenteeism]:[Cost Savings:
Smoking Breaks]])</calculatedColumnFormula>
    </tableColumn>
    <tableColumn id="24" name="Cost Savings:_x000a_Total" dataDxfId="299">
      <calculatedColumnFormula>tblTotalCosts_All[[#This Row],[Cost Savings:
Smoking-Attributable Total Healthcare Expenditures]]+tblTotalCosts_All[[#This Row],[Cost Savings: Cost of Premature Mortality Caused by Tobacco Smoke
(Per Capita GDP Approach)]]+tblTotalCosts_All[[#This Row],[Cost Savings:
Workplace]]</calculatedColumnFormula>
    </tableColumn>
    <tableColumn id="47" name="Cost Savings:_x000a_Total (Lower Bound)" dataDxfId="298">
      <calculatedColumnFormula>AV39+BE39+BJ39</calculatedColumnFormula>
    </tableColumn>
    <tableColumn id="46" name="Cost Savings:_x000a_Total (Upper Bound)" dataDxfId="297">
      <calculatedColumnFormula>AW39+BF39+BJ39</calculatedColumnFormula>
    </tableColumn>
    <tableColumn id="26" name="Intervention/Policy Costs (Financial)" dataDxfId="296"/>
    <tableColumn id="25" name="Return on Investment (ROI)" dataDxfId="295">
      <calculatedColumnFormula>BK39/$BN39</calculatedColumnFormula>
    </tableColumn>
    <tableColumn id="48" name="Return on Investment (ROI): Lower Bound" dataDxfId="294">
      <calculatedColumnFormula>BL39/$BN39</calculatedColumnFormula>
    </tableColumn>
    <tableColumn id="49" name="Return on Investment (ROI): Upper Bound" dataDxfId="293">
      <calculatedColumnFormula>BM39/$BN39</calculatedColumnFormula>
    </tableColumn>
  </tableColumns>
  <tableStyleInfo name="TableStyleMedium9" showFirstColumn="0" showLastColumn="0" showRowStripes="1" showColumnStripes="0"/>
</table>
</file>

<file path=xl/tables/table77.xml><?xml version="1.0" encoding="utf-8"?>
<table xmlns="http://schemas.openxmlformats.org/spreadsheetml/2006/main" id="18" name="tblTotalCosts_Tax" displayName="tblTotalCosts_Tax" ref="B62:BQ80" totalsRowShown="0" headerRowDxfId="292" dataDxfId="291">
  <autoFilter ref="B62:BQ80"/>
  <tableColumns count="68">
    <tableColumn id="1" name="Year" dataDxfId="290"/>
    <tableColumn id="2" name="Intervention" dataDxfId="289"/>
    <tableColumn id="50" name="Smoking-Attributable Healthcare Cost:_x000a_Base Scenario_x000a_Total" dataDxfId="288">
      <calculatedColumnFormula>'Healthcare Expenditures'!$J59</calculatedColumnFormula>
    </tableColumn>
    <tableColumn id="51" name="Smoking-Attributable Healthcare Cost:_x000a_Base Scenario_x000a_Total (Lower Bound)" dataDxfId="287">
      <calculatedColumnFormula>'Healthcare Expenditures'!$K59</calculatedColumnFormula>
    </tableColumn>
    <tableColumn id="52" name="Smoking-Attributable Healthcare Cost:_x000a_Base Scenario_x000a_Total (Upper Bound)" dataDxfId="286">
      <calculatedColumnFormula>'Healthcare Expenditures'!$L59</calculatedColumnFormula>
    </tableColumn>
    <tableColumn id="53" name="Smoking-Attributable Healthcare Cost:_x000a_(Base Scenario)_x000a_Government" dataDxfId="285">
      <calculatedColumnFormula>'Healthcare Expenditures'!$M59</calculatedColumnFormula>
    </tableColumn>
    <tableColumn id="54" name="Smoking-Attributable Healthcare Cost:_x000a_(Base Scenario)_x000a_Government (Lower Bound)" dataDxfId="284">
      <calculatedColumnFormula>'Healthcare Expenditures'!$N59</calculatedColumnFormula>
    </tableColumn>
    <tableColumn id="55" name="Smoking-Attributable Healthcare Cost:_x000a_(Base Scenario)_x000a_Government (Upper Bound)" dataDxfId="283">
      <calculatedColumnFormula>'Healthcare Expenditures'!$O59</calculatedColumnFormula>
    </tableColumn>
    <tableColumn id="56" name="Smoking-Attributable Healthcare Cost:_x000a_(Base Scenario)_x000a_Private (Out-of-Pocket)" dataDxfId="282">
      <calculatedColumnFormula>'Healthcare Expenditures'!$P59</calculatedColumnFormula>
    </tableColumn>
    <tableColumn id="57" name="Smoking-Attributable Healthcare Cost:_x000a_(Base Scenario)_x000a_Private (Out-of-Pocket) - Lower Bound" dataDxfId="281">
      <calculatedColumnFormula>'Healthcare Expenditures'!$Q59</calculatedColumnFormula>
    </tableColumn>
    <tableColumn id="58" name="Smoking-Attributable Healthcare Cost:_x000a_(Base Scenario)_x000a_Private (Out-of-Pocket) - Upper Bound" dataDxfId="280">
      <calculatedColumnFormula>'Healthcare Expenditures'!$R59</calculatedColumnFormula>
    </tableColumn>
    <tableColumn id="59" name="Cost of Premature Mortality Associated with Tobacco Use_x000a_Base Scenario" dataDxfId="279">
      <calculatedColumnFormula>'Mortality Costs'!$G145</calculatedColumnFormula>
    </tableColumn>
    <tableColumn id="60" name="Cost of Premature Mortality Associated with Tobacco Use_x000a_Base Scenario (Lower Bound)" dataDxfId="278">
      <calculatedColumnFormula>'Mortality Costs'!$H145</calculatedColumnFormula>
    </tableColumn>
    <tableColumn id="61" name="Cost of Premature Mortality Associated with Tobacco Use_x000a_Base Scenario (Upper Bound)" dataDxfId="277">
      <calculatedColumnFormula>'Mortality Costs'!$I145</calculatedColumnFormula>
    </tableColumn>
    <tableColumn id="62" name="Cost of Excess Absenteeism_x000a_Base Scenario" dataDxfId="276">
      <calculatedColumnFormula>'Workplace Smoking Costs'!$K74</calculatedColumnFormula>
    </tableColumn>
    <tableColumn id="63" name="Cost of Presenteeism_x000a_Base Scenario" dataDxfId="275">
      <calculatedColumnFormula>'Workplace Smoking Costs'!$K193</calculatedColumnFormula>
    </tableColumn>
    <tableColumn id="64" name="Cost of Smoking Breaks_x000a_Base Scenario" dataDxfId="274">
      <calculatedColumnFormula>'Workplace Smoking Costs'!$K312</calculatedColumnFormula>
    </tableColumn>
    <tableColumn id="65" name="Workplace Costs_x000a_Base Scenario" dataDxfId="273">
      <calculatedColumnFormula>P63+Q63+R63</calculatedColumnFormula>
    </tableColumn>
    <tableColumn id="66" name="Total Economic Cost_x000a_(Base Scenario)" dataDxfId="272">
      <calculatedColumnFormula>D63+M63+S63</calculatedColumnFormula>
    </tableColumn>
    <tableColumn id="67" name="Total Economic Cost_x000a_(Base Scenario) - Lower Bound" dataDxfId="271">
      <calculatedColumnFormula>E63+N63+S63</calculatedColumnFormula>
    </tableColumn>
    <tableColumn id="68" name="Total Economic Cost_x000a_(Base Scenario) - Upper Bound" dataDxfId="270">
      <calculatedColumnFormula>F63+O63+S63</calculatedColumnFormula>
    </tableColumn>
    <tableColumn id="12" name="Relative Reduction in Smoking Prevalence" dataDxfId="269"/>
    <tableColumn id="3" name="Smoking-Attributable Healthcare Cost:_x000a_Intervention Scenario_x000a_Total" dataDxfId="268"/>
    <tableColumn id="14" name="Smoking-Attributable Healthcare Cost:_x000a_Intervention Scenario_x000a_Total (Lower Bound)" dataDxfId="267"/>
    <tableColumn id="13" name="Smoking-Attributable Healthcare Cost:_x000a_Intervention Scenario_x000a_Total (Upper Bound)" dataDxfId="266"/>
    <tableColumn id="4" name="Smoking-Attributable Healthcare Cost:_x000a_(Intervention Scenario)_x000a_Government" dataDxfId="265"/>
    <tableColumn id="5" name="Smoking-Attributable Healthcare Cost:_x000a_(Intervention Scenario)_x000a_Government (Lower Bound)" dataDxfId="264"/>
    <tableColumn id="6" name="Smoking-Attributable Healthcare Cost:_x000a_(Intervention Scenario)_x000a_Government (Upper Bound)" dataDxfId="263"/>
    <tableColumn id="7" name="Smoking-Attributable Healthcare Cost:_x000a_(Intervention Scenario)_x000a_Private (Out-of-Pocket)" dataDxfId="262"/>
    <tableColumn id="8" name="Smoking-Attributable Healthcare Cost:_x000a_(Intervention Scenario)_x000a_Private (Out-of-Pocket) - Lower Bound" dataDxfId="261"/>
    <tableColumn id="9" name="Smoking-Attributable Healthcare Cost:_x000a_(Intervention Scenario)_x000a_Private (Out-of-Pocket) - Upper Bound" dataDxfId="260"/>
    <tableColumn id="10" name="Cost of Premature Mortality Associated with Tobacco Use" dataDxfId="259"/>
    <tableColumn id="11" name="Cost of Premature Mortality Associated with Tobacco Use (Lower Bound)" dataDxfId="258"/>
    <tableColumn id="15" name="Cost of Premature Mortality Associated with Tobacco Use (Upper Bound)" dataDxfId="257"/>
    <tableColumn id="16" name="Cost of Excess Absenteeism" dataDxfId="256"/>
    <tableColumn id="17" name="Cost of Presenteeism" dataDxfId="255"/>
    <tableColumn id="18" name="Cost of Smoking Breaks" dataDxfId="254"/>
    <tableColumn id="19" name="Workplace Costs" dataDxfId="253"/>
    <tableColumn id="20" name="Total Economic Cost_x000a_(Intervention Scenario)" dataDxfId="252"/>
    <tableColumn id="21" name="Total Economic Cost_x000a_(Intervention Scenario) - Lower Bound" dataDxfId="251"/>
    <tableColumn id="22" name="Total Economic Cost_x000a_(Intervention Scenario) - Upper Bound" dataDxfId="250"/>
    <tableColumn id="23" name="Gross Domestic Product (GDP)" dataDxfId="249"/>
    <tableColumn id="24" name="Total Economic Cost as a Percentage of GDP_x000a_(Intervention Scenario)" dataDxfId="248">
      <calculatedColumnFormula>AN63/$AQ63</calculatedColumnFormula>
    </tableColumn>
    <tableColumn id="25" name="Total Economic Cost as a Percentage of GDP_x000a_(Intervention Scenario) - Lower Bound" dataDxfId="247">
      <calculatedColumnFormula>tblTotalCosts_All[[#This Row],[Total Economic Cost
(Intervention Scenario) - Lower Bound]]/tblTotalCosts_All[[#This Row],[Gross Domestic Product (GDP)]]</calculatedColumnFormula>
    </tableColumn>
    <tableColumn id="26" name="Total Economic Cost as a Percentage of GDP_x000a_(Intervention Scenario) - Upper Bound" dataDxfId="246">
      <calculatedColumnFormula>tblTotalCosts_All[[#This Row],[Total Economic Cost
(Intervention Scenario) - Upper Bound]]/tblTotalCosts_All[[#This Row],[Gross Domestic Product (GDP)]]</calculatedColumnFormula>
    </tableColumn>
    <tableColumn id="27" name="Cost Savings:_x000a_Smoking-Attributable Total Healthcare Expenditures" dataDxfId="245"/>
    <tableColumn id="28" name="Cost Savings:_x000a_Smoking-Attributable Total Healthcare Expenditures (Lower Bound)" dataDxfId="244"/>
    <tableColumn id="29" name="Cost Savings:_x000a_Smoking-Attributable Total Healthcare Expenditures (Upper Bound)" dataDxfId="243"/>
    <tableColumn id="30" name="Cost Savings:_x000a_Smoking-Attributable Government Healthcare Expenditures_x000a_(including national insurance)" dataDxfId="242"/>
    <tableColumn id="31" name="Cost Savings:_x000a_Smoking-Attributable Government Healthcare Expenditures_x000a_(including national insurance) - Lower Bound" dataDxfId="241"/>
    <tableColumn id="32" name="Cost Savings:_x000a_Smoking-Attributable Government Healthcare Expenditures_x000a_(including national insurance) - Upper Bound" dataDxfId="240"/>
    <tableColumn id="33" name="Cost Savings:_x000a_Smoking-Attributable Private Healthcare Expenditures" dataDxfId="239"/>
    <tableColumn id="34" name="Cost Savings:_x000a_Smoking-Attributable Private Healthcare Expenditures (Lower Bound)" dataDxfId="238"/>
    <tableColumn id="35" name="Cost Savings:_x000a_Smoking-Attributable Private Healthcare Expenditures (Upper Bound)" dataDxfId="237"/>
    <tableColumn id="36" name="Cost Savings: Cost of Premature Mortality Caused by Tobacco Smoke_x000a_(Per Capita GDP Approach)" dataDxfId="236"/>
    <tableColumn id="37" name="Cost Savings: Cost of Premature Mortality Caused by Tobacco Smoke_x000a_(Per Capita GDP Approach) - Lower Bound" dataDxfId="235"/>
    <tableColumn id="38" name="Cost Savings: Cost of Premature Mortality Caused by Tobacco Smoke_x000a_(Per Capita GDP Approach) - Upper Bound" dataDxfId="234"/>
    <tableColumn id="39" name="Cost Savings:_x000a_Absenteeism" dataDxfId="233"/>
    <tableColumn id="40" name="Cost Savings:_x000a_Presenteeism" dataDxfId="232"/>
    <tableColumn id="41" name="Cost Savings:_x000a_Smoking Breaks" dataDxfId="231"/>
    <tableColumn id="42" name="Cost Savings:_x000a_Workplace" dataDxfId="230"/>
    <tableColumn id="43" name="Cost Savings:_x000a_Total" dataDxfId="229"/>
    <tableColumn id="44" name="Cost Savings:_x000a_Total (Lower Bound)" dataDxfId="228">
      <calculatedColumnFormula>AV63+BE63+BJ63</calculatedColumnFormula>
    </tableColumn>
    <tableColumn id="45" name="Cost Savings:_x000a_Total (Upper Bound)" dataDxfId="227">
      <calculatedColumnFormula>AW63+BF63+BJ63</calculatedColumnFormula>
    </tableColumn>
    <tableColumn id="46" name="Intervention/Policy Costs (Financial)" dataDxfId="226"/>
    <tableColumn id="47" name="Return on Investment (ROI)" dataDxfId="225">
      <calculatedColumnFormula>BK63/$BN63</calculatedColumnFormula>
    </tableColumn>
    <tableColumn id="48" name="Return on Investment (ROI): Lower Bound" dataDxfId="224">
      <calculatedColumnFormula>BL63/$BN63</calculatedColumnFormula>
    </tableColumn>
    <tableColumn id="49" name="Return on Investment (ROI): Upper Bound" dataDxfId="223">
      <calculatedColumnFormula>BM63/$BN63</calculatedColumnFormula>
    </tableColumn>
  </tableColumns>
  <tableStyleInfo name="TableStyleMedium9" showFirstColumn="0" showLastColumn="0" showRowStripes="1" showColumnStripes="0"/>
</table>
</file>

<file path=xl/tables/table78.xml><?xml version="1.0" encoding="utf-8"?>
<table xmlns="http://schemas.openxmlformats.org/spreadsheetml/2006/main" id="19" name="tblTotalCosts_SFAL" displayName="tblTotalCosts_SFAL" ref="B86:BQ104" totalsRowShown="0" headerRowDxfId="222" dataDxfId="221">
  <autoFilter ref="B86:BQ104"/>
  <tableColumns count="68">
    <tableColumn id="1" name="Year" dataDxfId="220"/>
    <tableColumn id="2" name="Intervention" dataDxfId="219"/>
    <tableColumn id="50" name="Smoking-Attributable Healthcare Cost:_x000a_Base Scenario_x000a_Total" dataDxfId="218">
      <calculatedColumnFormula>'Healthcare Expenditures'!$J83</calculatedColumnFormula>
    </tableColumn>
    <tableColumn id="51" name="Smoking-Attributable Healthcare Cost:_x000a_Base Scenario_x000a_Total (Lower Bound)" dataDxfId="217">
      <calculatedColumnFormula>'Healthcare Expenditures'!$K83</calculatedColumnFormula>
    </tableColumn>
    <tableColumn id="52" name="Smoking-Attributable Healthcare Cost:_x000a_Base Scenario_x000a_Total (Upper Bound)" dataDxfId="216">
      <calculatedColumnFormula>'Healthcare Expenditures'!$L83</calculatedColumnFormula>
    </tableColumn>
    <tableColumn id="53" name="Smoking-Attributable Healthcare Cost:_x000a_(Base Scenario)_x000a_Government" dataDxfId="215">
      <calculatedColumnFormula>'Healthcare Expenditures'!$M83</calculatedColumnFormula>
    </tableColumn>
    <tableColumn id="54" name="Smoking-Attributable Healthcare Cost:_x000a_(Base Scenario)_x000a_Government (Lower Bound)" dataDxfId="214">
      <calculatedColumnFormula>'Healthcare Expenditures'!$N83</calculatedColumnFormula>
    </tableColumn>
    <tableColumn id="55" name="Smoking-Attributable Healthcare Cost:_x000a_(Base Scenario)_x000a_Government (Upper Bound)" dataDxfId="213">
      <calculatedColumnFormula>'Healthcare Expenditures'!$O83</calculatedColumnFormula>
    </tableColumn>
    <tableColumn id="56" name="Smoking-Attributable Healthcare Cost:_x000a_(Base Scenario)_x000a_Private (Out-of-Pocket)" dataDxfId="212">
      <calculatedColumnFormula>'Healthcare Expenditures'!$P83</calculatedColumnFormula>
    </tableColumn>
    <tableColumn id="57" name="Smoking-Attributable Healthcare Cost:_x000a_(Base Scenario)_x000a_Private (Out-of-Pocket) - Lower Bound" dataDxfId="211">
      <calculatedColumnFormula>'Healthcare Expenditures'!$Q83</calculatedColumnFormula>
    </tableColumn>
    <tableColumn id="58" name="Smoking-Attributable Healthcare Cost:_x000a_(Base Scenario)_x000a_Private (Out-of-Pocket) - Upper Bound" dataDxfId="210">
      <calculatedColumnFormula>'Healthcare Expenditures'!$R83</calculatedColumnFormula>
    </tableColumn>
    <tableColumn id="59" name="Cost of Premature Mortality Associated with Tobacco Use_x000a_Base Scenario" dataDxfId="209">
      <calculatedColumnFormula>'Mortality Costs'!$G160</calculatedColumnFormula>
    </tableColumn>
    <tableColumn id="60" name="Cost of Premature Mortality Associated with Tobacco Use_x000a_Base Scenario (Lower Bound)" dataDxfId="208">
      <calculatedColumnFormula>'Mortality Costs'!$H160</calculatedColumnFormula>
    </tableColumn>
    <tableColumn id="61" name="Cost of Premature Mortality Associated with Tobacco Use_x000a_Base Scenario (Upper Bound)" dataDxfId="207">
      <calculatedColumnFormula>'Mortality Costs'!$I160</calculatedColumnFormula>
    </tableColumn>
    <tableColumn id="62" name="Cost of Excess Absenteeism_x000a_Base Scenario" dataDxfId="206">
      <calculatedColumnFormula>'Workplace Smoking Costs'!$K97</calculatedColumnFormula>
    </tableColumn>
    <tableColumn id="63" name="Cost of Presenteeism_x000a_Base Scenario" dataDxfId="205">
      <calculatedColumnFormula>'Workplace Smoking Costs'!$K216</calculatedColumnFormula>
    </tableColumn>
    <tableColumn id="64" name="Cost of Smoking Breaks_x000a_Base Scenario" dataDxfId="204">
      <calculatedColumnFormula>'Workplace Smoking Costs'!$K335</calculatedColumnFormula>
    </tableColumn>
    <tableColumn id="65" name="Workplace Costs_x000a_Base Scenario" dataDxfId="203">
      <calculatedColumnFormula>P87+Q87+R87</calculatedColumnFormula>
    </tableColumn>
    <tableColumn id="66" name="Total Economic Cost_x000a_(Base Scenario)" dataDxfId="202">
      <calculatedColumnFormula>D87+M87+S87</calculatedColumnFormula>
    </tableColumn>
    <tableColumn id="67" name="Total Economic Cost_x000a_(Base Scenario) - Lower Bound" dataDxfId="201">
      <calculatedColumnFormula>E87+N87+S87</calculatedColumnFormula>
    </tableColumn>
    <tableColumn id="68" name="Total Economic Cost_x000a_(Base Scenario) - Upper Bound" dataDxfId="200">
      <calculatedColumnFormula>F87+O87+S87</calculatedColumnFormula>
    </tableColumn>
    <tableColumn id="12" name="Relative Reduction in Smoking Prevalence" dataDxfId="199"/>
    <tableColumn id="3" name="Smoking-Attributable Healthcare Cost:_x000a_Intervention Scenario_x000a_Total" dataDxfId="198"/>
    <tableColumn id="14" name="Smoking-Attributable Healthcare Cost:_x000a_Intervention Scenario_x000a_Total (Lower Bound)" dataDxfId="197"/>
    <tableColumn id="13" name="Smoking-Attributable Healthcare Cost:_x000a_Intervention Scenario_x000a_Total (Upper Bound)" dataDxfId="196"/>
    <tableColumn id="4" name="Smoking-Attributable Healthcare Cost:_x000a_(Intervention Scenario)_x000a_Government" dataDxfId="195"/>
    <tableColumn id="5" name="Smoking-Attributable Healthcare Cost:_x000a_(Intervention Scenario)_x000a_Government (Lower Bound)" dataDxfId="194"/>
    <tableColumn id="6" name="Smoking-Attributable Healthcare Cost:_x000a_(Intervention Scenario)_x000a_Government (Upper Bound)" dataDxfId="193"/>
    <tableColumn id="7" name="Smoking-Attributable Healthcare Cost:_x000a_(Intervention Scenario)_x000a_Private (Out-of-Pocket)" dataDxfId="192"/>
    <tableColumn id="8" name="Smoking-Attributable Healthcare Cost:_x000a_(Intervention Scenario)_x000a_Private (Out-of-Pocket) - Lower Bound" dataDxfId="191"/>
    <tableColumn id="9" name="Smoking-Attributable Healthcare Cost:_x000a_(Intervention Scenario)_x000a_Private (Out-of-Pocket) - Upper Bound" dataDxfId="190"/>
    <tableColumn id="10" name="Cost of Premature Mortality Associated with Tobacco Use" dataDxfId="189"/>
    <tableColumn id="11" name="Cost of Premature Mortality Associated with Tobacco Use (Lower Bound)" dataDxfId="188"/>
    <tableColumn id="15" name="Cost of Premature Mortality Associated with Tobacco Use (Upper Bound)" dataDxfId="187"/>
    <tableColumn id="16" name="Cost of Excess Absenteeism" dataDxfId="186"/>
    <tableColumn id="17" name="Cost of Presenteeism" dataDxfId="185"/>
    <tableColumn id="18" name="Cost of Smoking Breaks" dataDxfId="184"/>
    <tableColumn id="19" name="Workplace Costs" dataDxfId="183"/>
    <tableColumn id="20" name="Total Economic Cost_x000a_(Intervention Scenario)" dataDxfId="182"/>
    <tableColumn id="21" name="Total Economic Cost_x000a_(Intervention Scenario) - Lower Bound" dataDxfId="181"/>
    <tableColumn id="22" name="Total Economic Cost_x000a_(Intervention Scenario) - Upper Bound" dataDxfId="180"/>
    <tableColumn id="23" name="Gross Domestic Product (GDP)" dataDxfId="179"/>
    <tableColumn id="24" name="Total Economic Cost as a Percentage of GDP_x000a_(Intervention Scenario)" dataDxfId="178">
      <calculatedColumnFormula>AN87/$AQ87</calculatedColumnFormula>
    </tableColumn>
    <tableColumn id="25" name="Total Economic Cost as a Percentage of GDP_x000a_(Intervention Scenario) - Lower Bound" dataDxfId="177">
      <calculatedColumnFormula>AO87/$AQ87</calculatedColumnFormula>
    </tableColumn>
    <tableColumn id="26" name="Total Economic Cost as a Percentage of GDP_x000a_(Intervention Scenario) - Upper Bound" dataDxfId="176">
      <calculatedColumnFormula>AP87/$AQ87</calculatedColumnFormula>
    </tableColumn>
    <tableColumn id="27" name="Cost Savings:_x000a_Smoking-Attributable Total Healthcare Expenditures" dataDxfId="175"/>
    <tableColumn id="28" name="Cost Savings:_x000a_Smoking-Attributable Total Healthcare Expenditures (Lower Bound)" dataDxfId="174"/>
    <tableColumn id="29" name="Cost Savings:_x000a_Smoking-Attributable Total Healthcare Expenditures (Upper Bound)" dataDxfId="173"/>
    <tableColumn id="30" name="Cost Savings:_x000a_Smoking-Attributable Government Healthcare Expenditures_x000a_(including national insurance)" dataDxfId="172"/>
    <tableColumn id="31" name="Cost Savings:_x000a_Smoking-Attributable Government Healthcare Expenditures_x000a_(including national insurance) - Lower Bound" dataDxfId="171"/>
    <tableColumn id="32" name="Cost Savings:_x000a_Smoking-Attributable Government Healthcare Expenditures_x000a_(including national insurance) - Upper Bound" dataDxfId="170"/>
    <tableColumn id="33" name="Cost Savings:_x000a_Smoking-Attributable Private Healthcare Expenditures" dataDxfId="169"/>
    <tableColumn id="34" name="Cost Savings:_x000a_Smoking-Attributable Private Healthcare Expenditures (Lower Bound)" dataDxfId="168"/>
    <tableColumn id="35" name="Cost Savings:_x000a_Smoking-Attributable Private Healthcare Expenditures (Upper Bound)" dataDxfId="167"/>
    <tableColumn id="36" name="Cost Savings: Cost of Premature Mortality Caused by Tobacco Smoke_x000a_(Per Capita GDP Approach)" dataDxfId="166"/>
    <tableColumn id="37" name="Cost Savings: Cost of Premature Mortality Caused by Tobacco Smoke_x000a_(Per Capita GDP Approach) - Lower Bound" dataDxfId="165"/>
    <tableColumn id="38" name="Cost Savings: Cost of Premature Mortality Caused by Tobacco Smoke_x000a_(Per Capita GDP Approach) - Upper Bound" dataDxfId="164"/>
    <tableColumn id="39" name="Cost Savings:_x000a_Absenteeism" dataDxfId="163"/>
    <tableColumn id="40" name="Cost Savings:_x000a_Presenteeism" dataDxfId="162"/>
    <tableColumn id="41" name="Cost Savings:_x000a_Smoking Breaks" dataDxfId="161"/>
    <tableColumn id="42" name="Cost Savings:_x000a_Workplace" dataDxfId="160"/>
    <tableColumn id="43" name="Cost Savings:_x000a_Total" dataDxfId="159"/>
    <tableColumn id="44" name="Cost Savings:_x000a_Total (Lower Bound)" dataDxfId="158">
      <calculatedColumnFormula>AV87+BE87+BJ87</calculatedColumnFormula>
    </tableColumn>
    <tableColumn id="45" name="Cost Savings:_x000a_Total (Upper Bound)" dataDxfId="157">
      <calculatedColumnFormula>AW87+BF87+BJ87</calculatedColumnFormula>
    </tableColumn>
    <tableColumn id="46" name="Intervention/Policy Costs (Financial)" dataDxfId="156"/>
    <tableColumn id="47" name="Return on Investment (ROI)" dataDxfId="155">
      <calculatedColumnFormula>BK87/$BN87</calculatedColumnFormula>
    </tableColumn>
    <tableColumn id="48" name="Return on Investment (ROI): Lower Bound" dataDxfId="154">
      <calculatedColumnFormula>BL87/$BN87</calculatedColumnFormula>
    </tableColumn>
    <tableColumn id="49" name="Return on Investment (ROI): Upper Bound" dataDxfId="153">
      <calculatedColumnFormula>BM87/$BN87</calculatedColumnFormula>
    </tableColumn>
  </tableColumns>
  <tableStyleInfo name="TableStyleMedium9" showFirstColumn="0" showLastColumn="0" showRowStripes="1" showColumnStripes="0"/>
</table>
</file>

<file path=xl/tables/table79.xml><?xml version="1.0" encoding="utf-8"?>
<table xmlns="http://schemas.openxmlformats.org/spreadsheetml/2006/main" id="20" name="tblTotalCosts_Marketing" displayName="tblTotalCosts_Marketing" ref="B110:BQ128" totalsRowShown="0" headerRowDxfId="152" dataDxfId="151">
  <autoFilter ref="B110:BQ128"/>
  <tableColumns count="68">
    <tableColumn id="1" name="Year" dataDxfId="150"/>
    <tableColumn id="2" name="Intervention" dataDxfId="149"/>
    <tableColumn id="50" name="Smoking-Attributable Healthcare Cost:_x000a_Base Scenario_x000a_Total" dataDxfId="148">
      <calculatedColumnFormula>'Healthcare Expenditures'!$J107</calculatedColumnFormula>
    </tableColumn>
    <tableColumn id="51" name="Smoking-Attributable Healthcare Cost:_x000a_Base Scenario_x000a_Total (Lower Bound)" dataDxfId="147">
      <calculatedColumnFormula>'Healthcare Expenditures'!$K107</calculatedColumnFormula>
    </tableColumn>
    <tableColumn id="52" name="Smoking-Attributable Healthcare Cost:_x000a_Base Scenario_x000a_Total (Upper Bound)" dataDxfId="146">
      <calculatedColumnFormula>'Healthcare Expenditures'!$L107</calculatedColumnFormula>
    </tableColumn>
    <tableColumn id="53" name="Smoking-Attributable Healthcare Cost:_x000a_(Base Scenario)_x000a_Government" dataDxfId="145">
      <calculatedColumnFormula>'Healthcare Expenditures'!$M107</calculatedColumnFormula>
    </tableColumn>
    <tableColumn id="54" name="Smoking-Attributable Healthcare Cost:_x000a_(Base Scenario)_x000a_Government (Lower Bound)" dataDxfId="144">
      <calculatedColumnFormula>'Healthcare Expenditures'!$N107</calculatedColumnFormula>
    </tableColumn>
    <tableColumn id="55" name="Smoking-Attributable Healthcare Cost:_x000a_(Base Scenario)_x000a_Government (Upper Bound)" dataDxfId="143">
      <calculatedColumnFormula>'Healthcare Expenditures'!$O107</calculatedColumnFormula>
    </tableColumn>
    <tableColumn id="56" name="Smoking-Attributable Healthcare Cost:_x000a_(Base Scenario)_x000a_Private (Out-of-Pocket)" dataDxfId="142">
      <calculatedColumnFormula>'Healthcare Expenditures'!$P107</calculatedColumnFormula>
    </tableColumn>
    <tableColumn id="57" name="Smoking-Attributable Healthcare Cost:_x000a_(Base Scenario)_x000a_Private (Out-of-Pocket) - Lower Bound" dataDxfId="141">
      <calculatedColumnFormula>'Healthcare Expenditures'!$Q107</calculatedColumnFormula>
    </tableColumn>
    <tableColumn id="58" name="Smoking-Attributable Healthcare Cost:_x000a_(Base Scenario)_x000a_Private (Out-of-Pocket) - Upper Bound" dataDxfId="140">
      <calculatedColumnFormula>'Healthcare Expenditures'!$R107</calculatedColumnFormula>
    </tableColumn>
    <tableColumn id="59" name="Cost of Premature Mortality Associated with Tobacco Use_x000a_Base Scenario" dataDxfId="139">
      <calculatedColumnFormula>'Mortality Costs'!$G175</calculatedColumnFormula>
    </tableColumn>
    <tableColumn id="60" name="Cost of Premature Mortality Associated with Tobacco Use_x000a_Base Scenario (Lower Bound)" dataDxfId="138">
      <calculatedColumnFormula>'Mortality Costs'!$H175</calculatedColumnFormula>
    </tableColumn>
    <tableColumn id="61" name="Cost of Premature Mortality Associated with Tobacco Use_x000a_Base Scenario (Upper Bound)" dataDxfId="137">
      <calculatedColumnFormula>'Mortality Costs'!$I175</calculatedColumnFormula>
    </tableColumn>
    <tableColumn id="62" name="Cost of Excess Absenteeism_x000a_Base Scenario" dataDxfId="136">
      <calculatedColumnFormula>'Workplace Smoking Costs'!$K120</calculatedColumnFormula>
    </tableColumn>
    <tableColumn id="63" name="Cost of Presenteeism_x000a_Base Scenario" dataDxfId="135">
      <calculatedColumnFormula>'Workplace Smoking Costs'!$K239</calculatedColumnFormula>
    </tableColumn>
    <tableColumn id="64" name="Cost of Smoking Breaks_x000a_Base Scenario" dataDxfId="134">
      <calculatedColumnFormula>'Workplace Smoking Costs'!$K358</calculatedColumnFormula>
    </tableColumn>
    <tableColumn id="65" name="Workplace Costs_x000a_Base Scenario" dataDxfId="133">
      <calculatedColumnFormula>P111+Q111+R111</calculatedColumnFormula>
    </tableColumn>
    <tableColumn id="66" name="Total Economic Cost_x000a_(Base Scenario)" dataDxfId="132">
      <calculatedColumnFormula>D111+M111+S111</calculatedColumnFormula>
    </tableColumn>
    <tableColumn id="67" name="Total Economic Cost_x000a_(Base Scenario) - Lower Bound" dataDxfId="131">
      <calculatedColumnFormula>E111+N111+S111</calculatedColumnFormula>
    </tableColumn>
    <tableColumn id="68" name="Total Economic Cost_x000a_(Base Scenario) - Upper Bound" dataDxfId="130">
      <calculatedColumnFormula>F111+O111+S111</calculatedColumnFormula>
    </tableColumn>
    <tableColumn id="12" name="Relative Reduction in Smoking Prevalence" dataDxfId="129"/>
    <tableColumn id="3" name="Smoking-Attributable Healthcare Cost:_x000a_Intervention Scenario_x000a_Total" dataDxfId="128"/>
    <tableColumn id="14" name="Smoking-Attributable Healthcare Cost:_x000a_Intervention Scenario_x000a_Total (Lower Bound)" dataDxfId="127"/>
    <tableColumn id="13" name="Smoking-Attributable Healthcare Cost:_x000a_Intervention Scenario_x000a_Total (Upper Bound)" dataDxfId="126"/>
    <tableColumn id="4" name="Smoking-Attributable Healthcare Cost:_x000a_(Intervention Scenario)_x000a_Government" dataDxfId="125"/>
    <tableColumn id="5" name="Smoking-Attributable Healthcare Cost:_x000a_(Intervention Scenario)_x000a_Government (Lower Bound)" dataDxfId="124"/>
    <tableColumn id="6" name="Smoking-Attributable Healthcare Cost:_x000a_(Intervention Scenario)_x000a_Government (Upper Bound)" dataDxfId="123"/>
    <tableColumn id="7" name="Smoking-Attributable Healthcare Cost:_x000a_(Intervention Scenario)_x000a_Private (Out-of-Pocket)" dataDxfId="122"/>
    <tableColumn id="8" name="Smoking-Attributable Healthcare Cost:_x000a_(Intervention Scenario)_x000a_Private (Out-of-Pocket) - Lower Bound" dataDxfId="121"/>
    <tableColumn id="9" name="Smoking-Attributable Healthcare Cost:_x000a_(Intervention Scenario)_x000a_Private (Out-of-Pocket) - Upper Bound" dataDxfId="120"/>
    <tableColumn id="10" name="Cost of Premature Mortality Associated with Tobacco Use" dataDxfId="119"/>
    <tableColumn id="11" name="Cost of Premature Mortality Associated with Tobacco Use (Lower Bound)" dataDxfId="118"/>
    <tableColumn id="15" name="Cost of Premature Mortality Associated with Tobacco Use (Upper Bound)" dataDxfId="117"/>
    <tableColumn id="16" name="Cost of Excess Absenteeism" dataDxfId="116"/>
    <tableColumn id="17" name="Cost of Presenteeism" dataDxfId="115"/>
    <tableColumn id="18" name="Cost of Smoking Breaks" dataDxfId="114"/>
    <tableColumn id="19" name="Workplace Costs" dataDxfId="113"/>
    <tableColumn id="20" name="Total Economic Cost_x000a_(Intervention Scenario)" dataDxfId="112"/>
    <tableColumn id="21" name="Total Economic Cost_x000a_(Intervention Scenario) - Lower Bound" dataDxfId="111"/>
    <tableColumn id="22" name="Total Economic Cost_x000a_(Intervention Scenario) - Upper Bound" dataDxfId="110"/>
    <tableColumn id="23" name="Gross Domestic Product (GDP)" dataDxfId="109"/>
    <tableColumn id="24" name="Total Economic Cost as a Percentage of GDP_x000a_(Intervention Scenario)" dataDxfId="108">
      <calculatedColumnFormula>AN111/$AQ111</calculatedColumnFormula>
    </tableColumn>
    <tableColumn id="25" name="Total Economic Cost as a Percentage of GDP_x000a_(Intervention Scenario) - Lower Bound" dataDxfId="107">
      <calculatedColumnFormula>AO111/$AQ111</calculatedColumnFormula>
    </tableColumn>
    <tableColumn id="26" name="Total Economic Cost as a Percentage of GDP_x000a_(Intervention Scenario) - Upper Bound" dataDxfId="106">
      <calculatedColumnFormula>AP111/$AQ111</calculatedColumnFormula>
    </tableColumn>
    <tableColumn id="27" name="Cost Savings:_x000a_Smoking-Attributable Total Healthcare Expenditures" dataDxfId="105"/>
    <tableColumn id="28" name="Cost Savings:_x000a_Smoking-Attributable Total Healthcare Expenditures (Lower Bound)" dataDxfId="104"/>
    <tableColumn id="29" name="Cost Savings:_x000a_Smoking-Attributable Total Healthcare Expenditures (Upper Bound)" dataDxfId="103"/>
    <tableColumn id="30" name="Cost Savings:_x000a_Smoking-Attributable Government Healthcare Expenditures_x000a_(including national insurance)" dataDxfId="102"/>
    <tableColumn id="31" name="Cost Savings:_x000a_Smoking-Attributable Government Healthcare Expenditures_x000a_(including national insurance) - Lower Bound" dataDxfId="101"/>
    <tableColumn id="32" name="Cost Savings:_x000a_Smoking-Attributable Government Healthcare Expenditures_x000a_(including national insurance) - Upper Bound" dataDxfId="100"/>
    <tableColumn id="33" name="Cost Savings:_x000a_Smoking-Attributable Private Healthcare Expenditures" dataDxfId="99"/>
    <tableColumn id="34" name="Cost Savings:_x000a_Smoking-Attributable Private Healthcare Expenditures (Lower Bound)" dataDxfId="98"/>
    <tableColumn id="35" name="Cost Savings:_x000a_Smoking-Attributable Private Healthcare Expenditures (Upper Bound)" dataDxfId="97"/>
    <tableColumn id="36" name="Cost Savings: Cost of Premature Mortality Caused by Tobacco Smoke_x000a_(Per Capita GDP Approach)" dataDxfId="96"/>
    <tableColumn id="37" name="Cost Savings: Cost of Premature Mortality Caused by Tobacco Smoke_x000a_(Per Capita GDP Approach) - Lower Bound" dataDxfId="95"/>
    <tableColumn id="38" name="Cost Savings: Cost of Premature Mortality Caused by Tobacco Smoke_x000a_(Per Capita GDP Approach) - Upper Bound" dataDxfId="94"/>
    <tableColumn id="39" name="Cost Savings:_x000a_Absenteeism" dataDxfId="93"/>
    <tableColumn id="40" name="Cost Savings:_x000a_Presenteeism" dataDxfId="92"/>
    <tableColumn id="41" name="Cost Savings:_x000a_Smoking Breaks" dataDxfId="91"/>
    <tableColumn id="42" name="Cost Savings:_x000a_Workplace" dataDxfId="90"/>
    <tableColumn id="43" name="Cost Savings:_x000a_Total" dataDxfId="89"/>
    <tableColumn id="44" name="Cost Savings:_x000a_Total (Lower Bound)" dataDxfId="88">
      <calculatedColumnFormula>AV111+BE111+BJ111</calculatedColumnFormula>
    </tableColumn>
    <tableColumn id="45" name="Cost Savings:_x000a_Total (Upper Bound)" dataDxfId="87">
      <calculatedColumnFormula>AW111+BF111+BJ111</calculatedColumnFormula>
    </tableColumn>
    <tableColumn id="46" name="Intervention/Policy Costs (Financial)" dataDxfId="86"/>
    <tableColumn id="47" name="Return on Investment (ROI)" dataDxfId="85">
      <calculatedColumnFormula>BK111/$BN111</calculatedColumnFormula>
    </tableColumn>
    <tableColumn id="48" name="Return on Investment (ROI): Lower Bound" dataDxfId="84">
      <calculatedColumnFormula>BL111/$BN111</calculatedColumnFormula>
    </tableColumn>
    <tableColumn id="49" name="Return on Investment (ROI): Upper Bound" dataDxfId="83">
      <calculatedColumnFormula>BM111/$BN111</calculatedColumnFormula>
    </tableColumn>
  </tableColumns>
  <tableStyleInfo name="TableStyleMedium9" showFirstColumn="0" showLastColumn="0" showRowStripes="1" showColumnStripes="0"/>
</table>
</file>

<file path=xl/tables/table8.xml><?xml version="1.0" encoding="utf-8"?>
<table xmlns="http://schemas.openxmlformats.org/spreadsheetml/2006/main" id="50" name="Table50" displayName="Table50" ref="B154:Q159" totalsRowShown="0" headerRowDxfId="1605" dataDxfId="1604" headerRowCellStyle="Normal 2" dataCellStyle="Normal 2">
  <autoFilter ref="B154:Q159"/>
  <tableColumns count="16">
    <tableColumn id="1" name="Intervention" dataCellStyle="Normal 2"/>
    <tableColumn id="3" name="Total Healthcare Costs:_x000a_Baseline Scenario_x000a_First 5 Years" dataDxfId="1603" dataCellStyle="Normal 2"/>
    <tableColumn id="4" name="Smoking-Attributable Total Healthcare Costs:_x000a_Baseline Scenario_x000a_First 5 Years" dataDxfId="1602" dataCellStyle="Normal 2"/>
    <tableColumn id="12" name="Smoking-Attributable Total Healthcare Costs: Lower Bound_x000a_Baseline Scenario_x000a_First 5 Years" dataDxfId="1601" dataCellStyle="Normal 2"/>
    <tableColumn id="11" name="Smoking-Attributable Total Healthcare Costs: Upper Bound_x000a_Baseline Scenario_x000a_First 5 Years" dataDxfId="1600" dataCellStyle="Normal 2"/>
    <tableColumn id="9" name="Relative Reduction in Smoking Prevalence:_x000a_First 5 Years" dataDxfId="1599" dataCellStyle="Normal 2"/>
    <tableColumn id="5" name="Smoking-Attributable Total Healthcare Costs:_x000a_Intervention Scenario_x000a_First 5 Years" dataDxfId="1598" dataCellStyle="Normal 2"/>
    <tableColumn id="14" name="Smoking-Attributable Total Healthcare Costs: Lower Bound_x000a_Intervention Scenario_x000a_First 5 Years" dataDxfId="1597" dataCellStyle="Normal 2"/>
    <tableColumn id="13" name="Smoking-Attributable Total Healthcare Costs: Upper Bound_x000a_Intervention Scenario_x000a_First 5 Years" dataDxfId="1596" dataCellStyle="Normal 2"/>
    <tableColumn id="6" name="Savings in Smoking-Attributable Total Healthcare Costs:_x000a_(Baseline Scenario - Intervention Scenario)_x000a_First 5 Years" dataDxfId="1595" dataCellStyle="Normal 2"/>
    <tableColumn id="16" name="Savings in Smoking-Attributable Total Healthcare Costs: Lower Bound_x000a_(Baseline Scenario - Intervention Scenario)_x000a_First 5 Years" dataDxfId="1594" dataCellStyle="Normal 2"/>
    <tableColumn id="15" name="Savings in Smoking-Attributable Total Healthcare Costs: Upper Bound_x000a_(Baseline Scenario - Intervention Scenario)_x000a_First 5 Years" dataDxfId="1593" dataCellStyle="Normal 2"/>
    <tableColumn id="7" name="Intervention/Policy Costs (Financial)" dataDxfId="1592" dataCellStyle="Normal 2"/>
    <tableColumn id="8" name="Return on Investment (ROI)" dataDxfId="1591" dataCellStyle="Normal 2">
      <calculatedColumnFormula>Table50[[#This Row],[Savings in Smoking-Attributable Total Healthcare Costs:
(Baseline Scenario - Intervention Scenario)
First 5 Years]]/Table50[[#This Row],[Intervention/Policy Costs (Financial)]]</calculatedColumnFormula>
    </tableColumn>
    <tableColumn id="17" name="Return on Investment (ROI): Lower Bound" dataDxfId="1590" dataCellStyle="Normal 2">
      <calculatedColumnFormula>Table50[[#This Row],[Savings in Smoking-Attributable Total Healthcare Costs: Lower Bound
(Baseline Scenario - Intervention Scenario)
First 5 Years]]/Table50[[#This Row],[Intervention/Policy Costs (Financial)]]</calculatedColumnFormula>
    </tableColumn>
    <tableColumn id="18" name="Return on Investment (ROI): Upper Bound" dataDxfId="1589" dataCellStyle="Normal 2">
      <calculatedColumnFormula>Table50[[#This Row],[Savings in Smoking-Attributable Total Healthcare Costs: Upper Bound
(Baseline Scenario - Intervention Scenario)
First 5 Years]]/Table50[[#This Row],[Intervention/Policy Costs (Financial)]]</calculatedColumnFormula>
    </tableColumn>
  </tableColumns>
  <tableStyleInfo name="TableStyleMedium16" showFirstColumn="0" showLastColumn="0" showRowStripes="1" showColumnStripes="0"/>
</table>
</file>

<file path=xl/tables/table80.xml><?xml version="1.0" encoding="utf-8"?>
<table xmlns="http://schemas.openxmlformats.org/spreadsheetml/2006/main" id="21" name="tblTotalCosts_Packs" displayName="tblTotalCosts_Packs" ref="B134:BQ152" totalsRowShown="0" headerRowDxfId="82" dataDxfId="81">
  <autoFilter ref="B134:BQ152"/>
  <tableColumns count="68">
    <tableColumn id="1" name="Year" dataDxfId="80"/>
    <tableColumn id="2" name="Intervention" dataDxfId="79"/>
    <tableColumn id="50" name="Smoking-Attributable Healthcare Cost:_x000a_Base Scenario_x000a_Total" dataDxfId="78">
      <calculatedColumnFormula>'Healthcare Expenditures'!$J131</calculatedColumnFormula>
    </tableColumn>
    <tableColumn id="51" name="Smoking-Attributable Healthcare Cost:_x000a_Base Scenario_x000a_Total (Lower Bound)" dataDxfId="77">
      <calculatedColumnFormula>'Healthcare Expenditures'!$K131</calculatedColumnFormula>
    </tableColumn>
    <tableColumn id="52" name="Smoking-Attributable Healthcare Cost:_x000a_Base Scenario_x000a_Total (Upper Bound)" dataDxfId="76">
      <calculatedColumnFormula>'Healthcare Expenditures'!$L131</calculatedColumnFormula>
    </tableColumn>
    <tableColumn id="53" name="Smoking-Attributable Healthcare Cost:_x000a_(Base Scenario)_x000a_Government" dataDxfId="75">
      <calculatedColumnFormula>'Healthcare Expenditures'!$M131</calculatedColumnFormula>
    </tableColumn>
    <tableColumn id="54" name="Smoking-Attributable Healthcare Cost:_x000a_(Base Scenario)_x000a_Government (Lower Bound)" dataDxfId="74">
      <calculatedColumnFormula>'Healthcare Expenditures'!$N131</calculatedColumnFormula>
    </tableColumn>
    <tableColumn id="55" name="Smoking-Attributable Healthcare Cost:_x000a_(Base Scenario)_x000a_Government (Upper Bound)" dataDxfId="73">
      <calculatedColumnFormula>'Healthcare Expenditures'!$O131</calculatedColumnFormula>
    </tableColumn>
    <tableColumn id="56" name="Smoking-Attributable Healthcare Cost:_x000a_(Base Scenario)_x000a_Private (Out-of-Pocket)" dataDxfId="72">
      <calculatedColumnFormula>'Healthcare Expenditures'!$P131</calculatedColumnFormula>
    </tableColumn>
    <tableColumn id="57" name="Smoking-Attributable Healthcare Cost:_x000a_(Base Scenario)_x000a_Private (Out-of-Pocket) - Lower Bound" dataDxfId="71">
      <calculatedColumnFormula>'Healthcare Expenditures'!$Q131</calculatedColumnFormula>
    </tableColumn>
    <tableColumn id="58" name="Smoking-Attributable Healthcare Cost:_x000a_(Base Scenario)_x000a_Private (Out-of-Pocket) - Upper Bound" dataDxfId="70">
      <calculatedColumnFormula>'Healthcare Expenditures'!$R131</calculatedColumnFormula>
    </tableColumn>
    <tableColumn id="59" name="Cost of Premature Mortality Associated with Tobacco Use_x000a_Base Scenario" dataDxfId="69">
      <calculatedColumnFormula>'Mortality Costs'!$G190</calculatedColumnFormula>
    </tableColumn>
    <tableColumn id="60" name="Cost of Premature Mortality Associated with Tobacco Use_x000a_Base Scenario (Lower Bound)" dataDxfId="68">
      <calculatedColumnFormula>'Mortality Costs'!$H190</calculatedColumnFormula>
    </tableColumn>
    <tableColumn id="61" name="Cost of Premature Mortality Associated with Tobacco Use_x000a_Base Scenario (Upper Bound)" dataDxfId="67">
      <calculatedColumnFormula>'Mortality Costs'!$I190</calculatedColumnFormula>
    </tableColumn>
    <tableColumn id="62" name="Cost of Excess Absenteeism_x000a_Base Scenario" dataDxfId="66">
      <calculatedColumnFormula>'Workplace Smoking Costs'!$K143</calculatedColumnFormula>
    </tableColumn>
    <tableColumn id="63" name="Cost of Presenteeism_x000a_Base Scenario" dataDxfId="65">
      <calculatedColumnFormula>'Workplace Smoking Costs'!$K262</calculatedColumnFormula>
    </tableColumn>
    <tableColumn id="64" name="Cost of Smoking Breaks_x000a_Base Scenario" dataDxfId="64">
      <calculatedColumnFormula>'Workplace Smoking Costs'!$K381</calculatedColumnFormula>
    </tableColumn>
    <tableColumn id="65" name="Workplace Costs_x000a_Base Scenario" dataDxfId="63">
      <calculatedColumnFormula>P135+Q135+R135</calculatedColumnFormula>
    </tableColumn>
    <tableColumn id="66" name="Total Economic Cost_x000a_(Base Scenario)" dataDxfId="62">
      <calculatedColumnFormula>D135+M135+S135</calculatedColumnFormula>
    </tableColumn>
    <tableColumn id="67" name="Total Economic Cost_x000a_(Base Scenario) - Lower Bound" dataDxfId="61">
      <calculatedColumnFormula>E135+N135+S135</calculatedColumnFormula>
    </tableColumn>
    <tableColumn id="68" name="Total Economic Cost_x000a_(Base Scenario) - Upper Bound" dataDxfId="60">
      <calculatedColumnFormula>F135+O135+S135</calculatedColumnFormula>
    </tableColumn>
    <tableColumn id="12" name="Relative Reduction in Smoking Prevalence" dataDxfId="59"/>
    <tableColumn id="3" name="Smoking-Attributable Healthcare Cost:_x000a_Intervention Scenario_x000a_Total" dataDxfId="58"/>
    <tableColumn id="14" name="Smoking-Attributable Healthcare Cost:_x000a_Intervention Scenario_x000a_Total (Lower Bound)" dataDxfId="57"/>
    <tableColumn id="13" name="Smoking-Attributable Healthcare Cost:_x000a_Intervention Scenario_x000a_Total (Upper Bound)" dataDxfId="56"/>
    <tableColumn id="4" name="Smoking-Attributable Healthcare Cost:_x000a_(Intervention Scenario)_x000a_Government" dataDxfId="55"/>
    <tableColumn id="5" name="Smoking-Attributable Healthcare Cost:_x000a_(Intervention Scenario)_x000a_Government (Lower Bound)" dataDxfId="54"/>
    <tableColumn id="6" name="Smoking-Attributable Healthcare Cost:_x000a_(Intervention Scenario)_x000a_Government (Upper Bound)" dataDxfId="53"/>
    <tableColumn id="7" name="Smoking-Attributable Healthcare Cost:_x000a_(Intervention Scenario)_x000a_Private (Out-of-Pocket)" dataDxfId="52"/>
    <tableColumn id="8" name="Smoking-Attributable Healthcare Cost:_x000a_(Intervention Scenario)_x000a_Private (Out-of-Pocket) - Lower Bound" dataDxfId="51"/>
    <tableColumn id="9" name="Smoking-Attributable Healthcare Cost:_x000a_(Intervention Scenario)_x000a_Private (Out-of-Pocket) - Upper Bound" dataDxfId="50"/>
    <tableColumn id="10" name="Cost of Premature Mortality Associated with Tobacco Use" dataDxfId="49"/>
    <tableColumn id="11" name="Cost of Premature Mortality Associated with Tobacco Use (Lower Bound)" dataDxfId="48"/>
    <tableColumn id="15" name="Cost of Premature Mortality Associated with Tobacco Use (Upper Bound)" dataDxfId="47"/>
    <tableColumn id="16" name="Cost of Excess Absenteeism" dataDxfId="46"/>
    <tableColumn id="17" name="Cost of Presenteeism" dataDxfId="45"/>
    <tableColumn id="18" name="Cost of Smoking Breaks" dataDxfId="44"/>
    <tableColumn id="19" name="Workplace Costs" dataDxfId="43"/>
    <tableColumn id="20" name="Total Economic Cost_x000a_(Intervention Scenario)" dataDxfId="42"/>
    <tableColumn id="21" name="Total Economic Cost_x000a_(Intervention Scenario) - Lower Bound" dataDxfId="41"/>
    <tableColumn id="22" name="Total Economic Cost_x000a_(Intervention Scenario) - Upper Bound" dataDxfId="40"/>
    <tableColumn id="23" name="Gross Domestic Product (GDP)" dataDxfId="39"/>
    <tableColumn id="24" name="Total Economic Cost as a Percentage of GDP_x000a_(Intervention Scenario)" dataDxfId="38">
      <calculatedColumnFormula>AN135/$AQ135</calculatedColumnFormula>
    </tableColumn>
    <tableColumn id="25" name="Total Economic Cost as a Percentage of GDP_x000a_(Intervention Scenario) - Lower Bound" dataDxfId="37">
      <calculatedColumnFormula>AO135/$AQ135</calculatedColumnFormula>
    </tableColumn>
    <tableColumn id="26" name="Total Economic Cost as a Percentage of GDP_x000a_(Intervention Scenario) - Upper Bound" dataDxfId="36">
      <calculatedColumnFormula>AP135/$AQ135</calculatedColumnFormula>
    </tableColumn>
    <tableColumn id="27" name="Cost Savings:_x000a_Smoking-Attributable Total Healthcare Expenditures" dataDxfId="35"/>
    <tableColumn id="28" name="Cost Savings:_x000a_Smoking-Attributable Total Healthcare Expenditures (Lower Bound)" dataDxfId="34"/>
    <tableColumn id="29" name="Cost Savings:_x000a_Smoking-Attributable Total Healthcare Expenditures (Upper Bound)" dataDxfId="33"/>
    <tableColumn id="30" name="Cost Savings:_x000a_Smoking-Attributable Government Healthcare Expenditures_x000a_(including national insurance)" dataDxfId="32"/>
    <tableColumn id="31" name="Cost Savings:_x000a_Smoking-Attributable Government Healthcare Expenditures_x000a_(including national insurance) - Lower Bound" dataDxfId="31"/>
    <tableColumn id="32" name="Cost Savings:_x000a_Smoking-Attributable Government Healthcare Expenditures_x000a_(including national insurance) - Upper Bound" dataDxfId="30"/>
    <tableColumn id="33" name="Cost Savings:_x000a_Smoking-Attributable Private Healthcare Expenditures" dataDxfId="29"/>
    <tableColumn id="34" name="Cost Savings:_x000a_Smoking-Attributable Private Healthcare Expenditures (Lower Bound)" dataDxfId="28"/>
    <tableColumn id="35" name="Cost Savings:_x000a_Smoking-Attributable Private Healthcare Expenditures (Upper Bound)" dataDxfId="27"/>
    <tableColumn id="36" name="Cost Savings: Cost of Premature Mortality Caused by Tobacco Smoke_x000a_(Per Capita GDP Approach)" dataDxfId="26"/>
    <tableColumn id="37" name="Cost Savings: Cost of Premature Mortality Caused by Tobacco Smoke_x000a_(Per Capita GDP Approach) - Lower Bound" dataDxfId="25"/>
    <tableColumn id="38" name="Cost Savings: Cost of Premature Mortality Caused by Tobacco Smoke_x000a_(Per Capita GDP Approach) - Upper Bound" dataDxfId="24"/>
    <tableColumn id="39" name="Cost Savings:_x000a_Absenteeism" dataDxfId="23"/>
    <tableColumn id="40" name="Cost Savings:_x000a_Presenteeism" dataDxfId="22"/>
    <tableColumn id="41" name="Cost Savings:_x000a_Smoking Breaks" dataDxfId="21"/>
    <tableColumn id="42" name="Cost Savings:_x000a_Workplace" dataDxfId="20"/>
    <tableColumn id="43" name="Cost Savings:_x000a_Total" dataDxfId="19"/>
    <tableColumn id="44" name="Cost Savings:_x000a_Total (Lower Bound)" dataDxfId="18">
      <calculatedColumnFormula>AV135+BE135+BJ135</calculatedColumnFormula>
    </tableColumn>
    <tableColumn id="45" name="Cost Savings:_x000a_Total (Upper Bound)" dataDxfId="17">
      <calculatedColumnFormula>AW135+BF135+BJ135</calculatedColumnFormula>
    </tableColumn>
    <tableColumn id="46" name="Intervention/Policy Costs (Financial)" dataDxfId="16"/>
    <tableColumn id="47" name="Return on Investment (ROI)" dataDxfId="15">
      <calculatedColumnFormula>BK135/$BN135</calculatedColumnFormula>
    </tableColumn>
    <tableColumn id="48" name="Return on Investment (ROI): Lower Bound" dataDxfId="14">
      <calculatedColumnFormula>BL135/$BN135</calculatedColumnFormula>
    </tableColumn>
    <tableColumn id="49" name="Return on Investment (ROI): Upper Bound" dataDxfId="13">
      <calculatedColumnFormula>BM135/$BN135</calculatedColumnFormula>
    </tableColumn>
  </tableColumns>
  <tableStyleInfo name="TableStyleMedium9" showFirstColumn="0" showLastColumn="0" showRowStripes="1" showColumnStripes="0"/>
</table>
</file>

<file path=xl/tables/table81.xml><?xml version="1.0" encoding="utf-8"?>
<table xmlns="http://schemas.openxmlformats.org/spreadsheetml/2006/main" id="27" name="Table27" displayName="Table27" ref="B4:L7" totalsRowShown="0">
  <autoFilter ref="B4:L7"/>
  <tableColumns count="11">
    <tableColumn id="1" name="Measure" dataDxfId="12"/>
    <tableColumn id="2" name="2005" dataDxfId="11"/>
    <tableColumn id="3" name="2006" dataDxfId="10"/>
    <tableColumn id="4" name="2007" dataDxfId="9"/>
    <tableColumn id="5" name="2008" dataDxfId="8"/>
    <tableColumn id="6" name="2009" dataDxfId="7"/>
    <tableColumn id="7" name="2010" dataDxfId="6"/>
    <tableColumn id="8" name="2011" dataDxfId="5"/>
    <tableColumn id="9" name="2012" dataDxfId="4"/>
    <tableColumn id="10" name="2013" dataDxfId="3"/>
    <tableColumn id="11" name="2014" dataDxfId="2"/>
  </tableColumns>
  <tableStyleInfo name="TableStyleMedium13" showFirstColumn="0" showLastColumn="0" showRowStripes="1" showColumnStripes="0"/>
</table>
</file>

<file path=xl/tables/table82.xml><?xml version="1.0" encoding="utf-8"?>
<table xmlns="http://schemas.openxmlformats.org/spreadsheetml/2006/main" id="32" name="Table32" displayName="Table32" ref="B19:C20" totalsRowShown="0">
  <autoFilter ref="B19:C20"/>
  <tableColumns count="2">
    <tableColumn id="1" name="Measure"/>
    <tableColumn id="2" name="2014" dataDxfId="1"/>
  </tableColumns>
  <tableStyleInfo name="TableStyleMedium13" showFirstColumn="0" showLastColumn="0" showRowStripes="1" showColumnStripes="0"/>
</table>
</file>

<file path=xl/tables/table83.xml><?xml version="1.0" encoding="utf-8"?>
<table xmlns="http://schemas.openxmlformats.org/spreadsheetml/2006/main" id="33" name="Table33" displayName="Table33" ref="B27:C30" totalsRowShown="0">
  <autoFilter ref="B27:C30"/>
  <tableColumns count="2">
    <tableColumn id="1" name="Measure"/>
    <tableColumn id="2" name="2014" dataDxfId="0">
      <calculatedColumnFormula>Table32[2014]*L6</calculatedColumnFormula>
    </tableColumn>
  </tableColumns>
  <tableStyleInfo name="TableStyleMedium13" showFirstColumn="0" showLastColumn="0" showRowStripes="1" showColumnStripes="0"/>
</table>
</file>

<file path=xl/tables/table9.xml><?xml version="1.0" encoding="utf-8"?>
<table xmlns="http://schemas.openxmlformats.org/spreadsheetml/2006/main" id="51" name="Table5052" displayName="Table5052" ref="B164:Q169" totalsRowShown="0" headerRowDxfId="1588" dataDxfId="1587" headerRowCellStyle="Normal 2" dataCellStyle="Normal 2">
  <autoFilter ref="B164:Q169"/>
  <tableColumns count="16">
    <tableColumn id="1" name="Intervention" dataCellStyle="Normal 2"/>
    <tableColumn id="3" name="Total Healthcare Costs:_x000a_Baseline Scenario_x000a_Years 6-15" dataDxfId="1586" dataCellStyle="Normal 2"/>
    <tableColumn id="4" name="Smoking-Attributable Total Healthcare Costs:_x000a_Baseline Scenario_x000a_Years 6-15" dataDxfId="1585" dataCellStyle="Normal 2"/>
    <tableColumn id="12" name="Smoking-Attributable Total Healthcare Costs: Lower Bound_x000a_Baseline Scenario_x000a_Years 6-15" dataDxfId="1584" dataCellStyle="Normal 2"/>
    <tableColumn id="11" name="Smoking-Attributable Total Healthcare Costs: Upper Bound_x000a_Baseline Scenario_x000a_Years 6-15" dataDxfId="1583" dataCellStyle="Normal 2"/>
    <tableColumn id="9" name="Relative Reduction in Smoking Prevalence:_x000a_Years 6-15" dataDxfId="1582" dataCellStyle="Normal 2"/>
    <tableColumn id="5" name="Smoking-Attributable Total Healthcare Costs:_x000a_Intervention Scenario_x000a_Years 6-15" dataDxfId="1581" dataCellStyle="Normal 2"/>
    <tableColumn id="14" name="Smoking-Attributable Total Healthcare Costs: Lower Bound_x000a_Intervention Scenario_x000a_Years 6-15" dataDxfId="1580" dataCellStyle="Normal 2"/>
    <tableColumn id="13" name="Smoking-Attributable Total Healthcare Costs: Upper Bound_x000a_Intervention Scenario_x000a_Years 6-15" dataDxfId="1579" dataCellStyle="Normal 2"/>
    <tableColumn id="6" name="Savings in Smoking-Attributable Total Healthcare Costs:_x000a_(Baseline Scenario - Intervention Scenario)_x000a_Years 6-15" dataDxfId="1578" dataCellStyle="Normal 2"/>
    <tableColumn id="16" name="Savings in Smoking-Attributable Total Healthcare Costs: Lower Bound_x000a_(Baseline Scenario - Intervention Scenario)_x000a_Years 6-15" dataDxfId="1577" dataCellStyle="Normal 2"/>
    <tableColumn id="15" name="Savings in Smoking-Attributable Total Healthcare Costs: Upper Bound_x000a_(Baseline Scenario - Intervention Scenario)_x000a_Years 6-15" dataDxfId="1576" dataCellStyle="Normal 2"/>
    <tableColumn id="7" name="Intervention/Policy Costs (Financial)" dataDxfId="1575" dataCellStyle="Normal 2"/>
    <tableColumn id="8" name="Return on Investment (ROI)" dataDxfId="1574" dataCellStyle="Normal 2">
      <calculatedColumnFormula>Table5052[[#This Row],[Savings in Smoking-Attributable Total Healthcare Costs:
(Baseline Scenario - Intervention Scenario)
Years 6-15]]/Table5052[[#This Row],[Intervention/Policy Costs (Financial)]]</calculatedColumnFormula>
    </tableColumn>
    <tableColumn id="17" name="Return on Investment (ROI): Lower Bound" dataDxfId="1573" dataCellStyle="Normal 2">
      <calculatedColumnFormula>Table5052[[#This Row],[Savings in Smoking-Attributable Total Healthcare Costs: Lower Bound
(Baseline Scenario - Intervention Scenario)
Years 6-15]]/Table5052[[#This Row],[Intervention/Policy Costs (Financial)]]</calculatedColumnFormula>
    </tableColumn>
    <tableColumn id="18" name="Return on Investment (ROI): Upper Bound" dataDxfId="1572" dataCellStyle="Normal 2">
      <calculatedColumnFormula>Table5052[[#This Row],[Savings in Smoking-Attributable Total Healthcare Costs: Upper Bound
(Baseline Scenario - Intervention Scenario)
Years 6-15]]/Table5052[[#This Row],[Intervention/Policy Costs (Financial)]]</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www.euro.who.int/__data/assets/pdf_file/0020/337430/Tobacco-Control-Fact-Sheet-Georgia.pdf"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3.xml"/><Relationship Id="rId2" Type="http://schemas.openxmlformats.org/officeDocument/2006/relationships/table" Target="../tables/table72.xml"/><Relationship Id="rId1" Type="http://schemas.openxmlformats.org/officeDocument/2006/relationships/drawing" Target="../drawings/drawing9.xml"/><Relationship Id="rId4" Type="http://schemas.openxmlformats.org/officeDocument/2006/relationships/table" Target="../tables/table7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76.xml"/><Relationship Id="rId7" Type="http://schemas.openxmlformats.org/officeDocument/2006/relationships/table" Target="../tables/table80.xml"/><Relationship Id="rId2" Type="http://schemas.openxmlformats.org/officeDocument/2006/relationships/table" Target="../tables/table75.xml"/><Relationship Id="rId1" Type="http://schemas.openxmlformats.org/officeDocument/2006/relationships/drawing" Target="../drawings/drawing10.xml"/><Relationship Id="rId6" Type="http://schemas.openxmlformats.org/officeDocument/2006/relationships/table" Target="../tables/table79.xml"/><Relationship Id="rId5" Type="http://schemas.openxmlformats.org/officeDocument/2006/relationships/table" Target="../tables/table78.xml"/><Relationship Id="rId4" Type="http://schemas.openxmlformats.org/officeDocument/2006/relationships/table" Target="../tables/table7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2.xml"/><Relationship Id="rId2" Type="http://schemas.openxmlformats.org/officeDocument/2006/relationships/table" Target="../tables/table81.xml"/><Relationship Id="rId1" Type="http://schemas.openxmlformats.org/officeDocument/2006/relationships/drawing" Target="../drawings/drawing11.xml"/><Relationship Id="rId4" Type="http://schemas.openxmlformats.org/officeDocument/2006/relationships/table" Target="../tables/table8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drawing" Target="../drawings/drawing3.xml"/><Relationship Id="rId16"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drawing" Target="../drawings/drawing4.xml"/><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drawing" Target="../drawings/drawing5.xml"/><Relationship Id="rId5" Type="http://schemas.openxmlformats.org/officeDocument/2006/relationships/table" Target="../tables/table29.xml"/><Relationship Id="rId4" Type="http://schemas.openxmlformats.org/officeDocument/2006/relationships/table" Target="../tables/table2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drawing" Target="../drawings/drawing6.xml"/><Relationship Id="rId6" Type="http://schemas.openxmlformats.org/officeDocument/2006/relationships/table" Target="../tables/table34.xml"/><Relationship Id="rId5" Type="http://schemas.openxmlformats.org/officeDocument/2006/relationships/table" Target="../tables/table33.xml"/><Relationship Id="rId4" Type="http://schemas.openxmlformats.org/officeDocument/2006/relationships/table" Target="../tables/table3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table" Target="../tables/table35.xml"/><Relationship Id="rId1" Type="http://schemas.openxmlformats.org/officeDocument/2006/relationships/drawing" Target="../drawings/drawing7.xml"/><Relationship Id="rId6" Type="http://schemas.openxmlformats.org/officeDocument/2006/relationships/table" Target="../tables/table39.xml"/><Relationship Id="rId5" Type="http://schemas.openxmlformats.org/officeDocument/2006/relationships/table" Target="../tables/table38.xml"/><Relationship Id="rId4" Type="http://schemas.openxmlformats.org/officeDocument/2006/relationships/table" Target="../tables/table3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drawing" Target="../drawings/drawing8.xml"/><Relationship Id="rId6" Type="http://schemas.openxmlformats.org/officeDocument/2006/relationships/table" Target="../tables/table44.xml"/><Relationship Id="rId5" Type="http://schemas.openxmlformats.org/officeDocument/2006/relationships/table" Target="../tables/table43.xml"/><Relationship Id="rId4" Type="http://schemas.openxmlformats.org/officeDocument/2006/relationships/table" Target="../tables/table42.xml"/></Relationships>
</file>

<file path=xl/worksheets/_rels/sheet9.xml.rels><?xml version="1.0" encoding="UTF-8" standalone="yes"?>
<Relationships xmlns="http://schemas.openxmlformats.org/package/2006/relationships"><Relationship Id="rId8" Type="http://schemas.openxmlformats.org/officeDocument/2006/relationships/table" Target="../tables/table51.xml"/><Relationship Id="rId13" Type="http://schemas.openxmlformats.org/officeDocument/2006/relationships/table" Target="../tables/table56.xml"/><Relationship Id="rId18" Type="http://schemas.openxmlformats.org/officeDocument/2006/relationships/table" Target="../tables/table61.xml"/><Relationship Id="rId26" Type="http://schemas.openxmlformats.org/officeDocument/2006/relationships/table" Target="../tables/table69.xml"/><Relationship Id="rId3" Type="http://schemas.openxmlformats.org/officeDocument/2006/relationships/table" Target="../tables/table46.xml"/><Relationship Id="rId21" Type="http://schemas.openxmlformats.org/officeDocument/2006/relationships/table" Target="../tables/table64.xml"/><Relationship Id="rId7" Type="http://schemas.openxmlformats.org/officeDocument/2006/relationships/table" Target="../tables/table50.xml"/><Relationship Id="rId12" Type="http://schemas.openxmlformats.org/officeDocument/2006/relationships/table" Target="../tables/table55.xml"/><Relationship Id="rId17" Type="http://schemas.openxmlformats.org/officeDocument/2006/relationships/table" Target="../tables/table60.xml"/><Relationship Id="rId25" Type="http://schemas.openxmlformats.org/officeDocument/2006/relationships/table" Target="../tables/table68.xml"/><Relationship Id="rId2" Type="http://schemas.openxmlformats.org/officeDocument/2006/relationships/table" Target="../tables/table45.xml"/><Relationship Id="rId16" Type="http://schemas.openxmlformats.org/officeDocument/2006/relationships/table" Target="../tables/table59.xml"/><Relationship Id="rId20" Type="http://schemas.openxmlformats.org/officeDocument/2006/relationships/table" Target="../tables/table63.xml"/><Relationship Id="rId1" Type="http://schemas.openxmlformats.org/officeDocument/2006/relationships/printerSettings" Target="../printerSettings/printerSettings2.bin"/><Relationship Id="rId6" Type="http://schemas.openxmlformats.org/officeDocument/2006/relationships/table" Target="../tables/table49.xml"/><Relationship Id="rId11" Type="http://schemas.openxmlformats.org/officeDocument/2006/relationships/table" Target="../tables/table54.xml"/><Relationship Id="rId24" Type="http://schemas.openxmlformats.org/officeDocument/2006/relationships/table" Target="../tables/table67.xml"/><Relationship Id="rId5" Type="http://schemas.openxmlformats.org/officeDocument/2006/relationships/table" Target="../tables/table48.xml"/><Relationship Id="rId15" Type="http://schemas.openxmlformats.org/officeDocument/2006/relationships/table" Target="../tables/table58.xml"/><Relationship Id="rId23" Type="http://schemas.openxmlformats.org/officeDocument/2006/relationships/table" Target="../tables/table66.xml"/><Relationship Id="rId28" Type="http://schemas.openxmlformats.org/officeDocument/2006/relationships/table" Target="../tables/table71.xml"/><Relationship Id="rId10" Type="http://schemas.openxmlformats.org/officeDocument/2006/relationships/table" Target="../tables/table53.xml"/><Relationship Id="rId19" Type="http://schemas.openxmlformats.org/officeDocument/2006/relationships/table" Target="../tables/table62.xml"/><Relationship Id="rId4" Type="http://schemas.openxmlformats.org/officeDocument/2006/relationships/table" Target="../tables/table47.xml"/><Relationship Id="rId9" Type="http://schemas.openxmlformats.org/officeDocument/2006/relationships/table" Target="../tables/table52.xml"/><Relationship Id="rId14" Type="http://schemas.openxmlformats.org/officeDocument/2006/relationships/table" Target="../tables/table57.xml"/><Relationship Id="rId22" Type="http://schemas.openxmlformats.org/officeDocument/2006/relationships/table" Target="../tables/table65.xml"/><Relationship Id="rId27" Type="http://schemas.openxmlformats.org/officeDocument/2006/relationships/table" Target="../tables/table7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82"/>
  <sheetViews>
    <sheetView workbookViewId="0"/>
  </sheetViews>
  <sheetFormatPr defaultColWidth="10.85546875" defaultRowHeight="15.75"/>
  <cols>
    <col min="1" max="1" width="7.85546875" style="29" customWidth="1"/>
    <col min="2" max="2" width="29.7109375" style="29" customWidth="1"/>
    <col min="3" max="3" width="32.42578125" style="29" customWidth="1"/>
    <col min="4" max="5" width="31.85546875" style="29" customWidth="1"/>
    <col min="6" max="6" width="34" style="29" customWidth="1"/>
    <col min="7" max="7" width="32.7109375" style="29" customWidth="1"/>
    <col min="8" max="8" width="27.7109375" customWidth="1"/>
    <col min="9" max="13" width="31.85546875" style="29" customWidth="1"/>
    <col min="14" max="18" width="10.85546875" style="29"/>
    <col min="19" max="19" width="25.140625" style="29" customWidth="1"/>
    <col min="20" max="16384" width="10.85546875" style="29"/>
  </cols>
  <sheetData>
    <row r="2" spans="2:9" ht="23.25">
      <c r="B2" s="158" t="s">
        <v>236</v>
      </c>
    </row>
    <row r="6" spans="2:9">
      <c r="I6"/>
    </row>
    <row r="7" spans="2:9">
      <c r="I7"/>
    </row>
    <row r="8" spans="2:9">
      <c r="I8"/>
    </row>
    <row r="9" spans="2:9">
      <c r="I9"/>
    </row>
    <row r="10" spans="2:9">
      <c r="I10"/>
    </row>
    <row r="23" spans="2:9">
      <c r="B23" s="28" t="s">
        <v>240</v>
      </c>
      <c r="C23" s="160">
        <f>0.399/0.479</f>
        <v>0.83298538622129448</v>
      </c>
    </row>
    <row r="25" spans="2:9" ht="18.75">
      <c r="B25" s="161" t="s">
        <v>239</v>
      </c>
    </row>
    <row r="26" spans="2:9">
      <c r="B26" s="157"/>
    </row>
    <row r="27" spans="2:9" ht="51.95" customHeight="1">
      <c r="B27" s="33" t="s">
        <v>80</v>
      </c>
      <c r="C27" s="33" t="s">
        <v>241</v>
      </c>
      <c r="D27" s="33" t="s">
        <v>71</v>
      </c>
      <c r="E27" s="33" t="s">
        <v>72</v>
      </c>
      <c r="F27" s="33" t="s">
        <v>73</v>
      </c>
      <c r="G27" s="33" t="s">
        <v>74</v>
      </c>
      <c r="H27" s="29"/>
      <c r="I27"/>
    </row>
    <row r="28" spans="2:9">
      <c r="B28" s="29">
        <v>5</v>
      </c>
      <c r="C28" s="31">
        <f t="shared" ref="C28:C29" si="0">SUM(D28:G28)*$C$23</f>
        <v>-0.3298622129436326</v>
      </c>
      <c r="D28" s="30">
        <v>-0.182</v>
      </c>
      <c r="E28" s="30">
        <v>-5.3999999999999999E-2</v>
      </c>
      <c r="F28" s="30">
        <v>-0.1</v>
      </c>
      <c r="G28" s="30">
        <v>-0.06</v>
      </c>
      <c r="H28" s="29"/>
      <c r="I28"/>
    </row>
    <row r="29" spans="2:9">
      <c r="B29" s="29">
        <v>15</v>
      </c>
      <c r="C29" s="31">
        <f t="shared" si="0"/>
        <v>-0.45397703549060553</v>
      </c>
      <c r="D29" s="30">
        <v>-0.27300000000000002</v>
      </c>
      <c r="E29" s="30">
        <v>-6.2E-2</v>
      </c>
      <c r="F29" s="30">
        <v>-0.12</v>
      </c>
      <c r="G29" s="30">
        <v>-0.09</v>
      </c>
      <c r="H29" s="29"/>
      <c r="I29"/>
    </row>
    <row r="30" spans="2:9">
      <c r="C30" s="30"/>
      <c r="D30" s="30"/>
      <c r="E30" s="30"/>
      <c r="F30" s="30"/>
    </row>
    <row r="31" spans="2:9">
      <c r="B31" s="157" t="s">
        <v>237</v>
      </c>
      <c r="C31" s="30"/>
      <c r="D31" s="30"/>
      <c r="E31" s="30"/>
      <c r="F31" s="30"/>
    </row>
    <row r="32" spans="2:9">
      <c r="B32" s="20" t="s">
        <v>238</v>
      </c>
      <c r="C32" s="30"/>
      <c r="D32" s="30"/>
      <c r="E32" s="30"/>
      <c r="F32" s="30"/>
    </row>
    <row r="33" spans="2:14">
      <c r="B33" s="159" t="s">
        <v>235</v>
      </c>
      <c r="C33" s="30"/>
      <c r="D33" s="30"/>
      <c r="E33" s="30"/>
      <c r="F33" s="30"/>
    </row>
    <row r="34" spans="2:14">
      <c r="B34" s="159"/>
      <c r="C34" s="30"/>
      <c r="D34" s="30"/>
      <c r="E34" s="30"/>
      <c r="F34" s="30"/>
    </row>
    <row r="35" spans="2:14">
      <c r="B35" s="159"/>
      <c r="C35" s="30"/>
      <c r="D35" s="30"/>
      <c r="E35" s="30"/>
      <c r="F35" s="30"/>
    </row>
    <row r="36" spans="2:14">
      <c r="B36" s="159"/>
      <c r="C36" s="30"/>
      <c r="D36" s="30"/>
      <c r="E36" s="30"/>
      <c r="F36" s="30"/>
    </row>
    <row r="37" spans="2:14">
      <c r="B37" s="159"/>
      <c r="C37" s="30"/>
      <c r="D37" s="30"/>
      <c r="E37" s="30"/>
      <c r="F37" s="30"/>
    </row>
    <row r="38" spans="2:14">
      <c r="B38" s="159"/>
      <c r="C38" s="30"/>
      <c r="D38" s="30"/>
      <c r="E38" s="30"/>
      <c r="F38" s="30"/>
    </row>
    <row r="39" spans="2:14">
      <c r="B39" s="159"/>
      <c r="C39" s="30"/>
      <c r="D39" s="30"/>
      <c r="E39" s="30"/>
      <c r="F39" s="30"/>
    </row>
    <row r="40" spans="2:14" ht="39.950000000000003" customHeight="1">
      <c r="B40" s="32" t="s">
        <v>75</v>
      </c>
      <c r="C40" s="33" t="s">
        <v>243</v>
      </c>
      <c r="D40" s="33" t="s">
        <v>244</v>
      </c>
      <c r="E40" s="33" t="s">
        <v>245</v>
      </c>
      <c r="I40"/>
      <c r="J40"/>
      <c r="K40"/>
      <c r="L40"/>
      <c r="M40"/>
      <c r="N40"/>
    </row>
    <row r="41" spans="2:14">
      <c r="B41" s="157" t="s">
        <v>242</v>
      </c>
      <c r="C41" s="162">
        <v>-0.3298622129436326</v>
      </c>
      <c r="D41" s="162">
        <v>-0.12411482254697299</v>
      </c>
      <c r="E41" s="162">
        <v>-0.45397703549060553</v>
      </c>
      <c r="I41"/>
      <c r="J41"/>
      <c r="K41"/>
      <c r="L41"/>
      <c r="M41"/>
      <c r="N41"/>
    </row>
    <row r="42" spans="2:14">
      <c r="B42" s="29" t="s">
        <v>76</v>
      </c>
      <c r="C42" s="31">
        <v>-0.182</v>
      </c>
      <c r="D42" s="162">
        <v>-9.0999999999999998E-2</v>
      </c>
      <c r="E42" s="31">
        <v>-0.27300000000000002</v>
      </c>
      <c r="I42"/>
      <c r="J42"/>
      <c r="K42"/>
      <c r="L42"/>
      <c r="M42"/>
      <c r="N42"/>
    </row>
    <row r="43" spans="2:14">
      <c r="B43" s="29" t="s">
        <v>77</v>
      </c>
      <c r="C43" s="31">
        <v>-5.3999999999999999E-2</v>
      </c>
      <c r="D43" s="162">
        <v>-8.0000000000000002E-3</v>
      </c>
      <c r="E43" s="31">
        <v>-6.2E-2</v>
      </c>
      <c r="I43"/>
      <c r="J43"/>
      <c r="K43"/>
      <c r="L43"/>
      <c r="M43"/>
      <c r="N43"/>
    </row>
    <row r="44" spans="2:14">
      <c r="B44" s="29" t="s">
        <v>78</v>
      </c>
      <c r="C44" s="31">
        <v>-0.1</v>
      </c>
      <c r="D44" s="162">
        <v>-0.02</v>
      </c>
      <c r="E44" s="31">
        <v>-0.12</v>
      </c>
      <c r="I44"/>
      <c r="J44"/>
      <c r="K44"/>
      <c r="L44"/>
      <c r="M44"/>
      <c r="N44"/>
    </row>
    <row r="45" spans="2:14">
      <c r="B45" s="29" t="s">
        <v>79</v>
      </c>
      <c r="C45" s="31">
        <v>-0.06</v>
      </c>
      <c r="D45" s="162">
        <v>-0.03</v>
      </c>
      <c r="E45" s="31">
        <v>-0.09</v>
      </c>
      <c r="I45"/>
      <c r="J45"/>
      <c r="K45"/>
      <c r="L45"/>
      <c r="M45"/>
      <c r="N45"/>
    </row>
    <row r="46" spans="2:14">
      <c r="B46" s="159"/>
      <c r="C46" s="30"/>
      <c r="D46" s="30"/>
      <c r="E46" s="30"/>
      <c r="F46" s="30"/>
    </row>
    <row r="47" spans="2:14">
      <c r="C47" s="30"/>
      <c r="D47" s="30"/>
      <c r="E47" s="30"/>
      <c r="F47" s="30"/>
    </row>
    <row r="48" spans="2:14">
      <c r="C48" s="30"/>
      <c r="D48" s="30"/>
      <c r="E48" s="30"/>
      <c r="F48" s="30"/>
    </row>
    <row r="49" spans="2:9">
      <c r="C49" s="30"/>
      <c r="D49" s="30"/>
      <c r="E49" s="30"/>
      <c r="F49" s="30"/>
    </row>
    <row r="50" spans="2:9">
      <c r="C50" s="30"/>
      <c r="D50" s="30"/>
      <c r="E50" s="30"/>
      <c r="F50" s="30"/>
    </row>
    <row r="51" spans="2:9">
      <c r="C51" s="30"/>
      <c r="D51" s="30"/>
      <c r="E51" s="30"/>
      <c r="F51" s="30"/>
    </row>
    <row r="52" spans="2:9">
      <c r="C52" s="30"/>
      <c r="D52" s="30"/>
      <c r="E52" s="30"/>
      <c r="F52" s="30"/>
    </row>
    <row r="53" spans="2:9">
      <c r="C53" s="30"/>
      <c r="D53" s="30"/>
      <c r="E53" s="30"/>
      <c r="F53" s="30"/>
    </row>
    <row r="54" spans="2:9">
      <c r="C54" s="30"/>
      <c r="D54" s="30"/>
      <c r="E54" s="30"/>
      <c r="F54" s="30"/>
    </row>
    <row r="55" spans="2:9">
      <c r="C55" s="30"/>
      <c r="D55" s="30"/>
      <c r="E55" s="30"/>
      <c r="F55" s="30"/>
    </row>
    <row r="56" spans="2:9">
      <c r="C56" s="30"/>
      <c r="D56" s="30"/>
      <c r="E56" s="30"/>
      <c r="F56" s="30"/>
    </row>
    <row r="57" spans="2:9">
      <c r="C57" s="30"/>
      <c r="D57" s="30"/>
      <c r="E57" s="30"/>
      <c r="F57" s="30"/>
    </row>
    <row r="58" spans="2:9">
      <c r="C58" s="30"/>
      <c r="D58" s="30"/>
      <c r="E58" s="30"/>
      <c r="F58" s="30"/>
    </row>
    <row r="59" spans="2:9">
      <c r="C59" s="30"/>
      <c r="D59" s="30"/>
      <c r="E59" s="30"/>
      <c r="F59" s="30"/>
    </row>
    <row r="60" spans="2:9">
      <c r="C60" s="30"/>
      <c r="D60" s="30"/>
      <c r="E60" s="30"/>
      <c r="F60" s="30"/>
    </row>
    <row r="61" spans="2:9">
      <c r="B61"/>
    </row>
    <row r="62" spans="2:9" ht="57.95" customHeight="1">
      <c r="B62" s="33" t="s">
        <v>81</v>
      </c>
      <c r="C62" s="33" t="s">
        <v>241</v>
      </c>
      <c r="D62" s="33" t="s">
        <v>246</v>
      </c>
      <c r="E62" s="33" t="s">
        <v>72</v>
      </c>
      <c r="F62" s="33" t="s">
        <v>73</v>
      </c>
      <c r="G62" s="33" t="s">
        <v>74</v>
      </c>
      <c r="H62" s="29"/>
      <c r="I62"/>
    </row>
    <row r="63" spans="2:9">
      <c r="B63" s="29">
        <v>1</v>
      </c>
      <c r="C63" s="221">
        <v>-6.5972442588726504E-2</v>
      </c>
      <c r="D63" s="222">
        <v>-3.6400000000000002E-2</v>
      </c>
      <c r="E63" s="222">
        <v>-1.0800000000000001E-2</v>
      </c>
      <c r="F63" s="222">
        <v>-0.02</v>
      </c>
      <c r="G63" s="222">
        <v>-1.2E-2</v>
      </c>
      <c r="H63" s="29"/>
      <c r="I63"/>
    </row>
    <row r="64" spans="2:9">
      <c r="B64" s="29">
        <v>2</v>
      </c>
      <c r="C64" s="221">
        <v>-6.5972442588726518E-2</v>
      </c>
      <c r="D64" s="222">
        <v>-3.6400000000000002E-2</v>
      </c>
      <c r="E64" s="222">
        <v>-1.0800000000000001E-2</v>
      </c>
      <c r="F64" s="222">
        <v>-0.02</v>
      </c>
      <c r="G64" s="222">
        <v>-1.2E-2</v>
      </c>
      <c r="H64" s="29"/>
      <c r="I64"/>
    </row>
    <row r="65" spans="2:15">
      <c r="B65" s="29">
        <v>3</v>
      </c>
      <c r="C65" s="221">
        <v>-6.5972442588726518E-2</v>
      </c>
      <c r="D65" s="222">
        <v>-3.6400000000000002E-2</v>
      </c>
      <c r="E65" s="222">
        <v>-1.0800000000000001E-2</v>
      </c>
      <c r="F65" s="222">
        <v>-0.02</v>
      </c>
      <c r="G65" s="222">
        <v>-1.2E-2</v>
      </c>
      <c r="H65" s="29"/>
      <c r="I65"/>
    </row>
    <row r="66" spans="2:15">
      <c r="B66" s="29">
        <v>4</v>
      </c>
      <c r="C66" s="221">
        <v>-6.5972442588726518E-2</v>
      </c>
      <c r="D66" s="222">
        <v>-3.6400000000000002E-2</v>
      </c>
      <c r="E66" s="222">
        <v>-1.0800000000000001E-2</v>
      </c>
      <c r="F66" s="222">
        <v>-0.02</v>
      </c>
      <c r="G66" s="222">
        <v>-1.2E-2</v>
      </c>
      <c r="H66" s="29"/>
      <c r="I66"/>
    </row>
    <row r="67" spans="2:15">
      <c r="B67" s="29">
        <v>5</v>
      </c>
      <c r="C67" s="221">
        <v>-6.5972442588726518E-2</v>
      </c>
      <c r="D67" s="222">
        <v>-3.6400000000000002E-2</v>
      </c>
      <c r="E67" s="222">
        <v>-1.0800000000000001E-2</v>
      </c>
      <c r="F67" s="222">
        <v>-0.02</v>
      </c>
      <c r="G67" s="222">
        <v>-1.2E-2</v>
      </c>
      <c r="H67" s="29"/>
      <c r="I67"/>
    </row>
    <row r="68" spans="2:15">
      <c r="B68" s="29">
        <v>6</v>
      </c>
      <c r="C68" s="221">
        <v>-1.2411482254697299E-2</v>
      </c>
      <c r="D68" s="222">
        <v>-9.1000000000000022E-3</v>
      </c>
      <c r="E68" s="222">
        <v>-8.0000000000000004E-4</v>
      </c>
      <c r="F68" s="222">
        <v>-1.9999999999999992E-3</v>
      </c>
      <c r="G68" s="222">
        <v>-3.0000000000000001E-3</v>
      </c>
      <c r="H68" s="29"/>
      <c r="I68"/>
    </row>
    <row r="69" spans="2:15">
      <c r="B69" s="29">
        <v>7</v>
      </c>
      <c r="C69" s="221">
        <v>-1.2411482254697299E-2</v>
      </c>
      <c r="D69" s="222">
        <v>-9.1000000000000022E-3</v>
      </c>
      <c r="E69" s="222">
        <v>-8.0000000000000004E-4</v>
      </c>
      <c r="F69" s="222">
        <v>-1.9999999999999992E-3</v>
      </c>
      <c r="G69" s="222">
        <v>-3.0000000000000001E-3</v>
      </c>
      <c r="H69" s="29"/>
      <c r="I69"/>
    </row>
    <row r="70" spans="2:15">
      <c r="B70" s="29">
        <v>8</v>
      </c>
      <c r="C70" s="221">
        <v>-1.2411482254697299E-2</v>
      </c>
      <c r="D70" s="222">
        <v>-9.1000000000000022E-3</v>
      </c>
      <c r="E70" s="222">
        <v>-8.0000000000000004E-4</v>
      </c>
      <c r="F70" s="222">
        <v>-1.9999999999999992E-3</v>
      </c>
      <c r="G70" s="222">
        <v>-3.0000000000000001E-3</v>
      </c>
      <c r="H70" s="29"/>
      <c r="I70"/>
    </row>
    <row r="71" spans="2:15">
      <c r="B71" s="29">
        <v>9</v>
      </c>
      <c r="C71" s="221">
        <v>-1.2411482254697299E-2</v>
      </c>
      <c r="D71" s="222">
        <v>-9.1000000000000022E-3</v>
      </c>
      <c r="E71" s="222">
        <v>-8.0000000000000004E-4</v>
      </c>
      <c r="F71" s="222">
        <v>-1.9999999999999992E-3</v>
      </c>
      <c r="G71" s="222">
        <v>-3.0000000000000001E-3</v>
      </c>
      <c r="H71" s="29"/>
      <c r="I71"/>
    </row>
    <row r="72" spans="2:15">
      <c r="B72" s="29">
        <v>10</v>
      </c>
      <c r="C72" s="221">
        <v>-1.2411482254697299E-2</v>
      </c>
      <c r="D72" s="222">
        <v>-9.1000000000000022E-3</v>
      </c>
      <c r="E72" s="222">
        <v>-8.0000000000000004E-4</v>
      </c>
      <c r="F72" s="222">
        <v>-1.9999999999999992E-3</v>
      </c>
      <c r="G72" s="222">
        <v>-3.0000000000000001E-3</v>
      </c>
      <c r="H72" s="29"/>
      <c r="I72"/>
    </row>
    <row r="73" spans="2:15">
      <c r="B73" s="29">
        <v>11</v>
      </c>
      <c r="C73" s="221">
        <v>-1.2411482254697299E-2</v>
      </c>
      <c r="D73" s="222">
        <v>-9.1000000000000022E-3</v>
      </c>
      <c r="E73" s="222">
        <v>-8.0000000000000004E-4</v>
      </c>
      <c r="F73" s="222">
        <v>-1.9999999999999992E-3</v>
      </c>
      <c r="G73" s="222">
        <v>-3.0000000000000001E-3</v>
      </c>
      <c r="H73" s="29"/>
      <c r="I73"/>
    </row>
    <row r="74" spans="2:15">
      <c r="B74" s="29">
        <v>12</v>
      </c>
      <c r="C74" s="221">
        <v>-1.2411482254697299E-2</v>
      </c>
      <c r="D74" s="222">
        <v>-9.1000000000000022E-3</v>
      </c>
      <c r="E74" s="222">
        <v>-8.0000000000000004E-4</v>
      </c>
      <c r="F74" s="222">
        <v>-1.9999999999999992E-3</v>
      </c>
      <c r="G74" s="222">
        <v>-3.0000000000000001E-3</v>
      </c>
      <c r="H74" s="29"/>
      <c r="I74"/>
    </row>
    <row r="75" spans="2:15">
      <c r="B75" s="29">
        <v>13</v>
      </c>
      <c r="C75" s="221">
        <v>-1.2411482254697299E-2</v>
      </c>
      <c r="D75" s="222">
        <v>-9.1000000000000022E-3</v>
      </c>
      <c r="E75" s="222">
        <v>-8.0000000000000004E-4</v>
      </c>
      <c r="F75" s="222">
        <v>-1.9999999999999992E-3</v>
      </c>
      <c r="G75" s="222">
        <v>-3.0000000000000001E-3</v>
      </c>
      <c r="H75" s="29"/>
      <c r="I75"/>
    </row>
    <row r="76" spans="2:15">
      <c r="B76" s="29">
        <v>14</v>
      </c>
      <c r="C76" s="221">
        <v>-1.2411482254697299E-2</v>
      </c>
      <c r="D76" s="222">
        <v>-9.1000000000000022E-3</v>
      </c>
      <c r="E76" s="222">
        <v>-8.0000000000000004E-4</v>
      </c>
      <c r="F76" s="222">
        <v>-1.9999999999999992E-3</v>
      </c>
      <c r="G76" s="222">
        <v>-3.0000000000000001E-3</v>
      </c>
      <c r="H76" s="29"/>
      <c r="I76"/>
      <c r="J76"/>
      <c r="K76"/>
      <c r="L76"/>
      <c r="M76"/>
      <c r="N76"/>
    </row>
    <row r="77" spans="2:15">
      <c r="B77" s="29">
        <v>15</v>
      </c>
      <c r="C77" s="221">
        <v>-1.2411482254697299E-2</v>
      </c>
      <c r="D77" s="222">
        <v>-9.1000000000000022E-3</v>
      </c>
      <c r="E77" s="222">
        <v>-8.0000000000000004E-4</v>
      </c>
      <c r="F77" s="222">
        <v>-1.9999999999999992E-3</v>
      </c>
      <c r="G77" s="222">
        <v>-3.0000000000000001E-3</v>
      </c>
      <c r="H77" s="29"/>
      <c r="I77"/>
      <c r="J77"/>
      <c r="K77"/>
      <c r="L77"/>
      <c r="M77"/>
      <c r="N77"/>
      <c r="O77"/>
    </row>
    <row r="78" spans="2:15">
      <c r="B78"/>
      <c r="I78"/>
      <c r="J78"/>
      <c r="K78"/>
      <c r="L78"/>
      <c r="M78"/>
      <c r="N78"/>
    </row>
    <row r="79" spans="2:15">
      <c r="I79"/>
      <c r="J79"/>
      <c r="K79"/>
      <c r="L79"/>
      <c r="M79"/>
      <c r="N79"/>
    </row>
    <row r="80" spans="2:15">
      <c r="I80"/>
      <c r="J80"/>
      <c r="K80"/>
      <c r="L80"/>
      <c r="M80"/>
      <c r="N80"/>
    </row>
    <row r="81" spans="9:14">
      <c r="I81"/>
      <c r="J81"/>
      <c r="K81"/>
      <c r="L81"/>
      <c r="M81"/>
      <c r="N81"/>
    </row>
    <row r="82" spans="9:14">
      <c r="I82"/>
      <c r="J82"/>
      <c r="K82"/>
      <c r="L82"/>
      <c r="M82"/>
      <c r="N82"/>
    </row>
  </sheetData>
  <hyperlinks>
    <hyperlink ref="B33" r:id="rId1"/>
  </hyperlinks>
  <pageMargins left="0.7" right="0.7" top="0.75" bottom="0.75" header="0.3" footer="0.3"/>
  <drawing r:id="rId2"/>
  <tableParts count="3">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198"/>
  <sheetViews>
    <sheetView workbookViewId="0"/>
  </sheetViews>
  <sheetFormatPr defaultColWidth="11.42578125" defaultRowHeight="15"/>
  <cols>
    <col min="1" max="1" width="6.28515625" customWidth="1"/>
    <col min="2" max="2" width="46.85546875" customWidth="1"/>
    <col min="3" max="3" width="48.85546875" customWidth="1"/>
    <col min="4" max="4" width="16.42578125" customWidth="1"/>
    <col min="5" max="5" width="22.42578125" customWidth="1"/>
    <col min="6" max="6" width="13" customWidth="1"/>
    <col min="7" max="7" width="35.28515625" customWidth="1"/>
    <col min="8" max="11" width="20.85546875" customWidth="1"/>
    <col min="12" max="12" width="25.7109375" customWidth="1"/>
    <col min="13" max="13" width="27.42578125" customWidth="1"/>
    <col min="14" max="14" width="27.7109375" customWidth="1"/>
    <col min="15" max="15" width="21.85546875" customWidth="1"/>
    <col min="16" max="16" width="24.28515625" customWidth="1"/>
    <col min="17" max="17" width="26.85546875" customWidth="1"/>
    <col min="18" max="18" width="20.28515625" customWidth="1"/>
    <col min="19" max="19" width="24.28515625" customWidth="1"/>
    <col min="20" max="20" width="24" customWidth="1"/>
    <col min="21" max="21" width="22.42578125" customWidth="1"/>
    <col min="22" max="22" width="24" customWidth="1"/>
    <col min="23" max="23" width="34.85546875" customWidth="1"/>
    <col min="24" max="24" width="20.28515625" customWidth="1"/>
    <col min="25" max="25" width="24.28515625" customWidth="1"/>
    <col min="26" max="26" width="24" customWidth="1"/>
    <col min="27" max="27" width="22.42578125" customWidth="1"/>
    <col min="28" max="28" width="24" customWidth="1"/>
    <col min="29" max="29" width="26" customWidth="1"/>
  </cols>
  <sheetData>
    <row r="2" spans="2:2" ht="21">
      <c r="B2" s="326" t="s">
        <v>664</v>
      </c>
    </row>
    <row r="31" spans="2:2" ht="21">
      <c r="B31" s="326" t="s">
        <v>689</v>
      </c>
    </row>
    <row r="32" spans="2:2">
      <c r="B32" s="17" t="s">
        <v>639</v>
      </c>
    </row>
    <row r="33" spans="2:31">
      <c r="B33" s="27" t="s">
        <v>647</v>
      </c>
    </row>
    <row r="35" spans="2:31" ht="87" customHeight="1" thickBot="1">
      <c r="B35" s="314" t="s">
        <v>250</v>
      </c>
      <c r="C35" s="314" t="s">
        <v>516</v>
      </c>
      <c r="D35" s="314" t="s">
        <v>526</v>
      </c>
      <c r="E35" s="314" t="s">
        <v>499</v>
      </c>
      <c r="F35" s="314" t="s">
        <v>690</v>
      </c>
      <c r="G35" s="314" t="s">
        <v>4</v>
      </c>
      <c r="H35" s="319" t="s">
        <v>665</v>
      </c>
      <c r="I35" s="319" t="s">
        <v>666</v>
      </c>
      <c r="J35" s="320" t="s">
        <v>667</v>
      </c>
      <c r="K35" s="319" t="s">
        <v>668</v>
      </c>
      <c r="L35" s="319" t="s">
        <v>669</v>
      </c>
      <c r="M35" s="321" t="s">
        <v>670</v>
      </c>
      <c r="N35" s="319" t="s">
        <v>671</v>
      </c>
      <c r="O35" s="319" t="s">
        <v>672</v>
      </c>
      <c r="P35" s="319" t="s">
        <v>673</v>
      </c>
      <c r="Q35" s="319" t="s">
        <v>674</v>
      </c>
      <c r="R35" s="319" t="s">
        <v>675</v>
      </c>
      <c r="S35" s="319" t="s">
        <v>676</v>
      </c>
      <c r="T35" s="319" t="s">
        <v>677</v>
      </c>
      <c r="U35" s="319" t="s">
        <v>678</v>
      </c>
      <c r="V35" s="321" t="s">
        <v>679</v>
      </c>
      <c r="W35" s="319" t="s">
        <v>680</v>
      </c>
      <c r="X35" s="319" t="s">
        <v>681</v>
      </c>
      <c r="Y35" s="319" t="s">
        <v>682</v>
      </c>
      <c r="Z35" s="319" t="s">
        <v>683</v>
      </c>
      <c r="AA35" s="319" t="s">
        <v>684</v>
      </c>
      <c r="AB35" s="319" t="s">
        <v>685</v>
      </c>
      <c r="AC35" s="319" t="s">
        <v>686</v>
      </c>
      <c r="AD35" s="319" t="s">
        <v>687</v>
      </c>
      <c r="AE35" s="319" t="s">
        <v>688</v>
      </c>
    </row>
    <row r="36" spans="2:31" ht="30">
      <c r="B36" s="315" t="s">
        <v>279</v>
      </c>
      <c r="C36" s="316" t="s">
        <v>559</v>
      </c>
      <c r="D36" s="313">
        <v>1</v>
      </c>
      <c r="E36" s="313" t="s">
        <v>501</v>
      </c>
      <c r="F36" s="313">
        <v>2016</v>
      </c>
      <c r="G36" s="313" t="s">
        <v>691</v>
      </c>
      <c r="H36" s="317">
        <v>23</v>
      </c>
      <c r="I36" s="317">
        <v>9</v>
      </c>
      <c r="J36" s="317">
        <v>49</v>
      </c>
      <c r="K36" s="324">
        <f>H36/H$67</f>
        <v>3.3208200981807681E-3</v>
      </c>
      <c r="L36" s="324">
        <f>I36/I$67</f>
        <v>2.407704654895666E-3</v>
      </c>
      <c r="M36" s="324">
        <f>J36/J$67</f>
        <v>4.2914696093886845E-3</v>
      </c>
      <c r="N36" s="311">
        <v>652</v>
      </c>
      <c r="O36" s="311">
        <v>234</v>
      </c>
      <c r="P36" s="311">
        <v>1464</v>
      </c>
      <c r="Q36" s="324">
        <f>N36/N$67</f>
        <v>6.1759969688358436E-3</v>
      </c>
      <c r="R36" s="324">
        <f>O36/O$67</f>
        <v>4.3107418528821181E-3</v>
      </c>
      <c r="S36" s="324">
        <f>P36/P$67</f>
        <v>7.7486556294194863E-3</v>
      </c>
      <c r="T36" s="311">
        <v>36</v>
      </c>
      <c r="U36" s="311">
        <v>9</v>
      </c>
      <c r="V36" s="311">
        <v>88</v>
      </c>
      <c r="W36" s="324">
        <f>T36/T$67</f>
        <v>3.1931878658861094E-3</v>
      </c>
      <c r="X36" s="324">
        <f>U36/U$67</f>
        <v>1.7462165308498253E-3</v>
      </c>
      <c r="Y36" s="324">
        <f>V36/V$67</f>
        <v>4.4904832372301886E-3</v>
      </c>
      <c r="Z36" s="311">
        <v>688</v>
      </c>
      <c r="AA36" s="311">
        <v>243</v>
      </c>
      <c r="AB36" s="311">
        <v>1552</v>
      </c>
      <c r="AC36" s="324">
        <f>Z36/Z$67</f>
        <v>5.8881928040806549E-3</v>
      </c>
      <c r="AD36" s="324">
        <f>AA36/AA$67</f>
        <v>4.0883624678230736E-3</v>
      </c>
      <c r="AE36" s="324">
        <f>AB36/AB$67</f>
        <v>7.4424671394935091E-3</v>
      </c>
    </row>
    <row r="37" spans="2:31" ht="30">
      <c r="B37" s="315" t="s">
        <v>270</v>
      </c>
      <c r="C37" s="316" t="s">
        <v>549</v>
      </c>
      <c r="D37" s="313">
        <v>2</v>
      </c>
      <c r="E37" s="313" t="s">
        <v>501</v>
      </c>
      <c r="F37" s="313">
        <v>2016</v>
      </c>
      <c r="G37" s="313" t="s">
        <v>691</v>
      </c>
      <c r="H37" s="317">
        <v>116</v>
      </c>
      <c r="I37" s="317">
        <v>55</v>
      </c>
      <c r="J37" s="317">
        <v>210</v>
      </c>
      <c r="K37" s="324">
        <f t="shared" ref="K37:K62" si="0">H37/H$67</f>
        <v>1.674848397343344E-2</v>
      </c>
      <c r="L37" s="324">
        <f t="shared" ref="L37:M62" si="1">I37/I$67</f>
        <v>1.4713750668806848E-2</v>
      </c>
      <c r="M37" s="324">
        <f t="shared" si="1"/>
        <v>1.839201261166579E-2</v>
      </c>
      <c r="N37" s="311">
        <v>1774</v>
      </c>
      <c r="O37" s="311">
        <v>788</v>
      </c>
      <c r="P37" s="311">
        <v>3448</v>
      </c>
      <c r="Q37" s="324">
        <f t="shared" ref="Q37:Q62" si="2">N37/N$67</f>
        <v>1.6804016292507343E-2</v>
      </c>
      <c r="R37" s="324">
        <f t="shared" ref="R37:R62" si="3">O37/O$67</f>
        <v>1.4516515299449183E-2</v>
      </c>
      <c r="S37" s="324">
        <f t="shared" ref="S37:S62" si="4">P37/P$67</f>
        <v>1.8249565990599993E-2</v>
      </c>
      <c r="T37" s="311">
        <v>38</v>
      </c>
      <c r="U37" s="311">
        <v>15</v>
      </c>
      <c r="V37" s="311">
        <v>80</v>
      </c>
      <c r="W37" s="324">
        <f t="shared" ref="W37:W66" si="5">T37/T$67</f>
        <v>3.3705871917686712E-3</v>
      </c>
      <c r="X37" s="324">
        <f t="shared" ref="X37:X66" si="6">U37/U$67</f>
        <v>2.9103608847497091E-3</v>
      </c>
      <c r="Y37" s="324">
        <f t="shared" ref="Y37:Y66" si="7">V37/V$67</f>
        <v>4.0822574883910799E-3</v>
      </c>
      <c r="Z37" s="311">
        <v>1812</v>
      </c>
      <c r="AA37" s="311">
        <v>803</v>
      </c>
      <c r="AB37" s="311">
        <v>3528</v>
      </c>
      <c r="AC37" s="324">
        <f t="shared" ref="AC37:AC66" si="8">Z37/Z$67</f>
        <v>1.5507856629351956E-2</v>
      </c>
      <c r="AD37" s="324">
        <f t="shared" ref="AD37:AD66" si="9">AA37/AA$67</f>
        <v>1.3510103134411226E-2</v>
      </c>
      <c r="AE37" s="324">
        <f t="shared" ref="AE37:AE66" si="10">AB37/AB$67</f>
        <v>1.6918185610910505E-2</v>
      </c>
    </row>
    <row r="38" spans="2:31">
      <c r="B38" s="315" t="s">
        <v>268</v>
      </c>
      <c r="C38" s="316" t="s">
        <v>547</v>
      </c>
      <c r="D38" s="313">
        <v>3</v>
      </c>
      <c r="E38" s="313" t="s">
        <v>501</v>
      </c>
      <c r="F38" s="313">
        <v>2016</v>
      </c>
      <c r="G38" s="313" t="s">
        <v>691</v>
      </c>
      <c r="H38" s="317">
        <v>52</v>
      </c>
      <c r="I38" s="317">
        <v>31</v>
      </c>
      <c r="J38" s="317">
        <v>88</v>
      </c>
      <c r="K38" s="324">
        <f t="shared" si="0"/>
        <v>7.5079410915391276E-3</v>
      </c>
      <c r="L38" s="324">
        <f t="shared" si="1"/>
        <v>8.2932049224184057E-3</v>
      </c>
      <c r="M38" s="324">
        <f t="shared" si="1"/>
        <v>7.7071290944123313E-3</v>
      </c>
      <c r="N38" s="311">
        <v>918</v>
      </c>
      <c r="O38" s="311">
        <v>495</v>
      </c>
      <c r="P38" s="311">
        <v>1787</v>
      </c>
      <c r="Q38" s="324">
        <f t="shared" si="2"/>
        <v>8.6956521739130436E-3</v>
      </c>
      <c r="R38" s="324">
        <f t="shared" si="3"/>
        <v>9.1188769964814023E-3</v>
      </c>
      <c r="S38" s="324">
        <f t="shared" si="4"/>
        <v>9.4582292416479658E-3</v>
      </c>
      <c r="T38" s="311">
        <v>31</v>
      </c>
      <c r="U38" s="311">
        <v>16</v>
      </c>
      <c r="V38" s="311">
        <v>58</v>
      </c>
      <c r="W38" s="324">
        <f t="shared" si="5"/>
        <v>2.7496895511797056E-3</v>
      </c>
      <c r="X38" s="324">
        <f t="shared" si="6"/>
        <v>3.1043849437330227E-3</v>
      </c>
      <c r="Y38" s="324">
        <f t="shared" si="7"/>
        <v>2.9596366790835332E-3</v>
      </c>
      <c r="Z38" s="311">
        <v>949</v>
      </c>
      <c r="AA38" s="311">
        <v>511</v>
      </c>
      <c r="AB38" s="311">
        <v>1845</v>
      </c>
      <c r="AC38" s="324">
        <f t="shared" si="8"/>
        <v>8.1219403649310188E-3</v>
      </c>
      <c r="AD38" s="324">
        <f t="shared" si="9"/>
        <v>8.5973383582616889E-3</v>
      </c>
      <c r="AE38" s="324">
        <f t="shared" si="10"/>
        <v>8.8475205363179928E-3</v>
      </c>
    </row>
    <row r="39" spans="2:31">
      <c r="B39" s="315" t="s">
        <v>271</v>
      </c>
      <c r="C39" s="316" t="s">
        <v>550</v>
      </c>
      <c r="D39" s="313">
        <v>4</v>
      </c>
      <c r="E39" s="313" t="s">
        <v>501</v>
      </c>
      <c r="F39" s="313">
        <v>2016</v>
      </c>
      <c r="G39" s="313" t="s">
        <v>691</v>
      </c>
      <c r="H39" s="317">
        <v>1</v>
      </c>
      <c r="I39" s="317">
        <v>0</v>
      </c>
      <c r="J39" s="317">
        <v>4</v>
      </c>
      <c r="K39" s="324">
        <f t="shared" si="0"/>
        <v>1.4438348252959862E-4</v>
      </c>
      <c r="L39" s="324">
        <f t="shared" si="1"/>
        <v>0</v>
      </c>
      <c r="M39" s="324">
        <f t="shared" si="1"/>
        <v>3.5032404974601509E-4</v>
      </c>
      <c r="N39" s="311">
        <v>17</v>
      </c>
      <c r="O39" s="311">
        <v>0</v>
      </c>
      <c r="P39" s="311">
        <v>98</v>
      </c>
      <c r="Q39" s="324">
        <f t="shared" si="2"/>
        <v>1.6103059581320451E-4</v>
      </c>
      <c r="R39" s="324">
        <f t="shared" si="3"/>
        <v>0</v>
      </c>
      <c r="S39" s="324">
        <f t="shared" si="4"/>
        <v>5.186941609857306E-4</v>
      </c>
      <c r="T39" s="311">
        <v>0</v>
      </c>
      <c r="U39" s="311">
        <v>0</v>
      </c>
      <c r="V39" s="311">
        <v>0</v>
      </c>
      <c r="W39" s="324">
        <f t="shared" si="5"/>
        <v>0</v>
      </c>
      <c r="X39" s="324">
        <f t="shared" si="6"/>
        <v>0</v>
      </c>
      <c r="Y39" s="324">
        <f t="shared" si="7"/>
        <v>0</v>
      </c>
      <c r="Z39" s="311">
        <v>17</v>
      </c>
      <c r="AA39" s="311">
        <v>0</v>
      </c>
      <c r="AB39" s="311">
        <v>98</v>
      </c>
      <c r="AC39" s="324">
        <f t="shared" si="8"/>
        <v>1.4549313614734176E-4</v>
      </c>
      <c r="AD39" s="324">
        <f t="shared" si="9"/>
        <v>0</v>
      </c>
      <c r="AE39" s="324">
        <f t="shared" si="10"/>
        <v>4.6994960030306956E-4</v>
      </c>
    </row>
    <row r="40" spans="2:31">
      <c r="B40" s="315" t="s">
        <v>260</v>
      </c>
      <c r="C40" s="316" t="s">
        <v>539</v>
      </c>
      <c r="D40" s="313">
        <v>5</v>
      </c>
      <c r="E40" s="313" t="s">
        <v>501</v>
      </c>
      <c r="F40" s="313">
        <v>2016</v>
      </c>
      <c r="G40" s="313" t="s">
        <v>691</v>
      </c>
      <c r="H40" s="317">
        <v>50</v>
      </c>
      <c r="I40" s="317">
        <v>26</v>
      </c>
      <c r="J40" s="317">
        <v>85</v>
      </c>
      <c r="K40" s="324">
        <f t="shared" si="0"/>
        <v>7.2191741264799308E-3</v>
      </c>
      <c r="L40" s="324">
        <f t="shared" si="1"/>
        <v>6.9555912252541466E-3</v>
      </c>
      <c r="M40" s="324">
        <f t="shared" si="1"/>
        <v>7.4443860571028198E-3</v>
      </c>
      <c r="N40" s="311">
        <v>841</v>
      </c>
      <c r="O40" s="311">
        <v>402</v>
      </c>
      <c r="P40" s="311">
        <v>1624</v>
      </c>
      <c r="Q40" s="324">
        <f t="shared" si="2"/>
        <v>7.9662782987591167E-3</v>
      </c>
      <c r="R40" s="324">
        <f t="shared" si="3"/>
        <v>7.4056334395667155E-3</v>
      </c>
      <c r="S40" s="324">
        <f t="shared" si="4"/>
        <v>8.595503239192108E-3</v>
      </c>
      <c r="T40" s="311">
        <v>9</v>
      </c>
      <c r="U40" s="311">
        <v>4</v>
      </c>
      <c r="V40" s="311">
        <v>17</v>
      </c>
      <c r="W40" s="324">
        <f t="shared" si="5"/>
        <v>7.9829696647152736E-4</v>
      </c>
      <c r="X40" s="324">
        <f t="shared" si="6"/>
        <v>7.7609623593325567E-4</v>
      </c>
      <c r="Y40" s="324">
        <f t="shared" si="7"/>
        <v>8.6747971628310455E-4</v>
      </c>
      <c r="Z40" s="311">
        <v>850</v>
      </c>
      <c r="AA40" s="311">
        <v>406</v>
      </c>
      <c r="AB40" s="311">
        <v>1641</v>
      </c>
      <c r="AC40" s="324">
        <f t="shared" si="8"/>
        <v>7.2746568073670881E-3</v>
      </c>
      <c r="AD40" s="324">
        <f t="shared" si="9"/>
        <v>6.8307619832764102E-3</v>
      </c>
      <c r="AE40" s="324">
        <f t="shared" si="10"/>
        <v>7.8692581030340523E-3</v>
      </c>
    </row>
    <row r="41" spans="2:31">
      <c r="B41" s="315" t="s">
        <v>266</v>
      </c>
      <c r="C41" s="316" t="s">
        <v>545</v>
      </c>
      <c r="D41" s="313">
        <v>6</v>
      </c>
      <c r="E41" s="313" t="s">
        <v>501</v>
      </c>
      <c r="F41" s="313">
        <v>2016</v>
      </c>
      <c r="G41" s="313" t="s">
        <v>691</v>
      </c>
      <c r="H41" s="317">
        <v>111</v>
      </c>
      <c r="I41" s="317">
        <v>68</v>
      </c>
      <c r="J41" s="317">
        <v>167</v>
      </c>
      <c r="K41" s="324">
        <f t="shared" si="0"/>
        <v>1.6026566560785445E-2</v>
      </c>
      <c r="L41" s="324">
        <f t="shared" si="1"/>
        <v>1.8191546281433921E-2</v>
      </c>
      <c r="M41" s="324">
        <f t="shared" si="1"/>
        <v>1.4626029076896129E-2</v>
      </c>
      <c r="N41" s="311">
        <v>1909</v>
      </c>
      <c r="O41" s="311">
        <v>1083</v>
      </c>
      <c r="P41" s="311">
        <v>3214</v>
      </c>
      <c r="Q41" s="324">
        <f t="shared" si="2"/>
        <v>1.8082788671023965E-2</v>
      </c>
      <c r="R41" s="324">
        <f t="shared" si="3"/>
        <v>1.9950997549877492E-2</v>
      </c>
      <c r="S41" s="324">
        <f t="shared" si="4"/>
        <v>1.7011051361307532E-2</v>
      </c>
      <c r="T41" s="311">
        <v>56</v>
      </c>
      <c r="U41" s="311">
        <v>25</v>
      </c>
      <c r="V41" s="311">
        <v>104</v>
      </c>
      <c r="W41" s="324">
        <f t="shared" si="5"/>
        <v>4.9671811247117264E-3</v>
      </c>
      <c r="X41" s="324">
        <f t="shared" si="6"/>
        <v>4.8506014745828482E-3</v>
      </c>
      <c r="Y41" s="324">
        <f t="shared" si="7"/>
        <v>5.3069347349084042E-3</v>
      </c>
      <c r="Z41" s="311">
        <v>1965</v>
      </c>
      <c r="AA41" s="311">
        <v>1108</v>
      </c>
      <c r="AB41" s="311">
        <v>3318</v>
      </c>
      <c r="AC41" s="324">
        <f t="shared" si="8"/>
        <v>1.6817294854678033E-2</v>
      </c>
      <c r="AD41" s="324">
        <f t="shared" si="9"/>
        <v>1.8641586890320843E-2</v>
      </c>
      <c r="AE41" s="324">
        <f t="shared" si="10"/>
        <v>1.5911150753118213E-2</v>
      </c>
    </row>
    <row r="42" spans="2:31">
      <c r="B42" s="315" t="s">
        <v>277</v>
      </c>
      <c r="C42" s="316" t="s">
        <v>557</v>
      </c>
      <c r="D42" s="313">
        <v>7</v>
      </c>
      <c r="E42" s="313" t="s">
        <v>501</v>
      </c>
      <c r="F42" s="313">
        <v>2016</v>
      </c>
      <c r="G42" s="313" t="s">
        <v>691</v>
      </c>
      <c r="H42" s="317">
        <v>108</v>
      </c>
      <c r="I42" s="317">
        <v>42</v>
      </c>
      <c r="J42" s="317">
        <v>203</v>
      </c>
      <c r="K42" s="324">
        <f t="shared" si="0"/>
        <v>1.5593416113196651E-2</v>
      </c>
      <c r="L42" s="324">
        <f t="shared" si="1"/>
        <v>1.1235955056179775E-2</v>
      </c>
      <c r="M42" s="324">
        <f t="shared" si="1"/>
        <v>1.7778945524610266E-2</v>
      </c>
      <c r="N42" s="311">
        <v>1833</v>
      </c>
      <c r="O42" s="311">
        <v>645</v>
      </c>
      <c r="P42" s="311">
        <v>3878</v>
      </c>
      <c r="Q42" s="324">
        <f t="shared" si="2"/>
        <v>1.736288718385905E-2</v>
      </c>
      <c r="R42" s="324">
        <f t="shared" si="3"/>
        <v>1.1882173056021222E-2</v>
      </c>
      <c r="S42" s="324">
        <f t="shared" si="4"/>
        <v>2.0525468941863911E-2</v>
      </c>
      <c r="T42" s="311">
        <v>24</v>
      </c>
      <c r="U42" s="311">
        <v>6</v>
      </c>
      <c r="V42" s="311">
        <v>48</v>
      </c>
      <c r="W42" s="324">
        <f t="shared" si="5"/>
        <v>2.1287919105907396E-3</v>
      </c>
      <c r="X42" s="324">
        <f t="shared" si="6"/>
        <v>1.1641443538998836E-3</v>
      </c>
      <c r="Y42" s="324">
        <f t="shared" si="7"/>
        <v>2.4493544930346482E-3</v>
      </c>
      <c r="Z42" s="311">
        <v>1857</v>
      </c>
      <c r="AA42" s="311">
        <v>651</v>
      </c>
      <c r="AB42" s="311">
        <v>3926</v>
      </c>
      <c r="AC42" s="324">
        <f t="shared" si="8"/>
        <v>1.5892985519153743E-2</v>
      </c>
      <c r="AD42" s="324">
        <f t="shared" si="9"/>
        <v>1.0952773524908727E-2</v>
      </c>
      <c r="AE42" s="324">
        <f t="shared" si="10"/>
        <v>1.8826756436631134E-2</v>
      </c>
    </row>
    <row r="43" spans="2:31">
      <c r="B43" s="315" t="s">
        <v>258</v>
      </c>
      <c r="C43" s="316" t="s">
        <v>537</v>
      </c>
      <c r="D43" s="313">
        <v>8</v>
      </c>
      <c r="E43" s="313" t="s">
        <v>501</v>
      </c>
      <c r="F43" s="313">
        <v>2016</v>
      </c>
      <c r="G43" s="313" t="s">
        <v>691</v>
      </c>
      <c r="H43" s="317">
        <v>20</v>
      </c>
      <c r="I43" s="317">
        <v>5</v>
      </c>
      <c r="J43" s="317">
        <v>46</v>
      </c>
      <c r="K43" s="324">
        <f t="shared" si="0"/>
        <v>2.8876696505919725E-3</v>
      </c>
      <c r="L43" s="324">
        <f t="shared" si="1"/>
        <v>1.3376136971642589E-3</v>
      </c>
      <c r="M43" s="324">
        <f t="shared" si="1"/>
        <v>4.0287265720791729E-3</v>
      </c>
      <c r="N43" s="311">
        <v>354</v>
      </c>
      <c r="O43" s="311">
        <v>74</v>
      </c>
      <c r="P43" s="311">
        <v>934</v>
      </c>
      <c r="Q43" s="324">
        <f t="shared" si="2"/>
        <v>3.3532253481102585E-3</v>
      </c>
      <c r="R43" s="324">
        <f t="shared" si="3"/>
        <v>1.363226056039644E-3</v>
      </c>
      <c r="S43" s="324">
        <f t="shared" si="4"/>
        <v>4.9434729220476778E-3</v>
      </c>
      <c r="T43" s="311">
        <v>10</v>
      </c>
      <c r="U43" s="311">
        <v>2</v>
      </c>
      <c r="V43" s="311">
        <v>22</v>
      </c>
      <c r="W43" s="324">
        <f t="shared" si="5"/>
        <v>8.8699662941280825E-4</v>
      </c>
      <c r="X43" s="324">
        <f t="shared" si="6"/>
        <v>3.8804811796662784E-4</v>
      </c>
      <c r="Y43" s="324">
        <f t="shared" si="7"/>
        <v>1.1226208093075471E-3</v>
      </c>
      <c r="Z43" s="311">
        <v>364</v>
      </c>
      <c r="AA43" s="311">
        <v>76</v>
      </c>
      <c r="AB43" s="311">
        <v>956</v>
      </c>
      <c r="AC43" s="324">
        <f t="shared" si="8"/>
        <v>3.1152647975077881E-3</v>
      </c>
      <c r="AD43" s="324">
        <f t="shared" si="9"/>
        <v>1.2786648047512492E-3</v>
      </c>
      <c r="AE43" s="324">
        <f t="shared" si="10"/>
        <v>4.5844063049972905E-3</v>
      </c>
    </row>
    <row r="44" spans="2:31">
      <c r="B44" s="315" t="s">
        <v>269</v>
      </c>
      <c r="C44" s="316" t="s">
        <v>548</v>
      </c>
      <c r="D44" s="313">
        <v>9</v>
      </c>
      <c r="E44" s="313" t="s">
        <v>501</v>
      </c>
      <c r="F44" s="313">
        <v>2016</v>
      </c>
      <c r="G44" s="313" t="s">
        <v>691</v>
      </c>
      <c r="H44" s="317">
        <v>70</v>
      </c>
      <c r="I44" s="317">
        <v>27</v>
      </c>
      <c r="J44" s="317">
        <v>132</v>
      </c>
      <c r="K44" s="324">
        <f t="shared" si="0"/>
        <v>1.0106843777071902E-2</v>
      </c>
      <c r="L44" s="324">
        <f t="shared" si="1"/>
        <v>7.2231139646869984E-3</v>
      </c>
      <c r="M44" s="324">
        <f t="shared" si="1"/>
        <v>1.1560693641618497E-2</v>
      </c>
      <c r="N44" s="311">
        <v>1268</v>
      </c>
      <c r="O44" s="311">
        <v>448</v>
      </c>
      <c r="P44" s="311">
        <v>2663</v>
      </c>
      <c r="Q44" s="324">
        <f t="shared" si="2"/>
        <v>1.2010987970067255E-2</v>
      </c>
      <c r="R44" s="324">
        <f t="shared" si="3"/>
        <v>8.2530442311589264E-3</v>
      </c>
      <c r="S44" s="324">
        <f t="shared" si="4"/>
        <v>1.4094719905153067E-2</v>
      </c>
      <c r="T44" s="311">
        <v>12</v>
      </c>
      <c r="U44" s="311">
        <v>3</v>
      </c>
      <c r="V44" s="311">
        <v>24</v>
      </c>
      <c r="W44" s="324">
        <f t="shared" si="5"/>
        <v>1.0643959552953698E-3</v>
      </c>
      <c r="X44" s="324">
        <f t="shared" si="6"/>
        <v>5.8207217694994178E-4</v>
      </c>
      <c r="Y44" s="324">
        <f t="shared" si="7"/>
        <v>1.2246772465173241E-3</v>
      </c>
      <c r="Z44" s="311">
        <v>1280</v>
      </c>
      <c r="AA44" s="311">
        <v>451</v>
      </c>
      <c r="AB44" s="311">
        <v>2687</v>
      </c>
      <c r="AC44" s="324">
        <f t="shared" si="8"/>
        <v>1.0954777309917497E-2</v>
      </c>
      <c r="AD44" s="324">
        <f t="shared" si="9"/>
        <v>7.5878661439843864E-3</v>
      </c>
      <c r="AE44" s="324">
        <f t="shared" si="10"/>
        <v>1.2885250775656611E-2</v>
      </c>
    </row>
    <row r="45" spans="2:31">
      <c r="B45" s="315" t="s">
        <v>273</v>
      </c>
      <c r="C45" s="316" t="s">
        <v>553</v>
      </c>
      <c r="D45" s="313">
        <v>10</v>
      </c>
      <c r="E45" s="313" t="s">
        <v>501</v>
      </c>
      <c r="F45" s="313">
        <v>2016</v>
      </c>
      <c r="G45" s="313" t="s">
        <v>691</v>
      </c>
      <c r="H45" s="317">
        <v>43</v>
      </c>
      <c r="I45" s="317">
        <v>20</v>
      </c>
      <c r="J45" s="317">
        <v>81</v>
      </c>
      <c r="K45" s="324">
        <f t="shared" si="0"/>
        <v>6.2084897487727402E-3</v>
      </c>
      <c r="L45" s="324">
        <f t="shared" si="1"/>
        <v>5.3504547886570357E-3</v>
      </c>
      <c r="M45" s="324">
        <f t="shared" si="1"/>
        <v>7.0940620073568052E-3</v>
      </c>
      <c r="N45" s="311">
        <v>727</v>
      </c>
      <c r="O45" s="311">
        <v>314</v>
      </c>
      <c r="P45" s="311">
        <v>1585</v>
      </c>
      <c r="Q45" s="324">
        <f t="shared" si="2"/>
        <v>6.8864260680117457E-3</v>
      </c>
      <c r="R45" s="324">
        <f t="shared" si="3"/>
        <v>5.7844997513033548E-3</v>
      </c>
      <c r="S45" s="324">
        <f t="shared" si="4"/>
        <v>8.3890841343100316E-3</v>
      </c>
      <c r="T45" s="311">
        <v>5</v>
      </c>
      <c r="U45" s="311">
        <v>2</v>
      </c>
      <c r="V45" s="311">
        <v>11</v>
      </c>
      <c r="W45" s="324">
        <f t="shared" si="5"/>
        <v>4.4349831470640413E-4</v>
      </c>
      <c r="X45" s="324">
        <f t="shared" si="6"/>
        <v>3.8804811796662784E-4</v>
      </c>
      <c r="Y45" s="324">
        <f t="shared" si="7"/>
        <v>5.6131040465377357E-4</v>
      </c>
      <c r="Z45" s="311">
        <v>732</v>
      </c>
      <c r="AA45" s="311">
        <v>316</v>
      </c>
      <c r="AB45" s="311">
        <v>1596</v>
      </c>
      <c r="AC45" s="324">
        <f t="shared" si="8"/>
        <v>6.2647632741090684E-3</v>
      </c>
      <c r="AD45" s="324">
        <f t="shared" si="9"/>
        <v>5.316553661860457E-3</v>
      </c>
      <c r="AE45" s="324">
        <f t="shared" si="10"/>
        <v>7.6534649192214182E-3</v>
      </c>
    </row>
    <row r="46" spans="2:31">
      <c r="B46" s="315" t="s">
        <v>278</v>
      </c>
      <c r="C46" s="316" t="s">
        <v>558</v>
      </c>
      <c r="D46" s="313">
        <v>11</v>
      </c>
      <c r="E46" s="313" t="s">
        <v>501</v>
      </c>
      <c r="F46" s="313">
        <v>2016</v>
      </c>
      <c r="G46" s="313" t="s">
        <v>691</v>
      </c>
      <c r="H46" s="317">
        <v>941</v>
      </c>
      <c r="I46" s="317">
        <v>582</v>
      </c>
      <c r="J46" s="317">
        <v>1387</v>
      </c>
      <c r="K46" s="324">
        <f t="shared" si="0"/>
        <v>0.13586485706035228</v>
      </c>
      <c r="L46" s="324">
        <f t="shared" si="1"/>
        <v>0.15569823434991975</v>
      </c>
      <c r="M46" s="324">
        <f t="shared" si="1"/>
        <v>0.12147486424943073</v>
      </c>
      <c r="N46" s="311">
        <v>15670</v>
      </c>
      <c r="O46" s="311">
        <v>8842</v>
      </c>
      <c r="P46" s="311">
        <v>25839</v>
      </c>
      <c r="Q46" s="324">
        <f t="shared" si="2"/>
        <v>0.14843231978781851</v>
      </c>
      <c r="R46" s="324">
        <f t="shared" si="3"/>
        <v>0.16288709172300719</v>
      </c>
      <c r="S46" s="324">
        <f t="shared" si="4"/>
        <v>0.13676059618071729</v>
      </c>
      <c r="T46" s="311">
        <v>196</v>
      </c>
      <c r="U46" s="311">
        <v>93</v>
      </c>
      <c r="V46" s="311">
        <v>338</v>
      </c>
      <c r="W46" s="324">
        <f t="shared" si="5"/>
        <v>1.7385133936491041E-2</v>
      </c>
      <c r="X46" s="324">
        <f t="shared" si="6"/>
        <v>1.8044237485448197E-2</v>
      </c>
      <c r="Y46" s="324">
        <f t="shared" si="7"/>
        <v>1.7247537888452315E-2</v>
      </c>
      <c r="Z46" s="311">
        <v>15866</v>
      </c>
      <c r="AA46" s="311">
        <v>8935</v>
      </c>
      <c r="AB46" s="311">
        <v>26177</v>
      </c>
      <c r="AC46" s="324">
        <f t="shared" si="8"/>
        <v>0.13578788812433673</v>
      </c>
      <c r="AD46" s="324">
        <f t="shared" si="9"/>
        <v>0.1503272372427949</v>
      </c>
      <c r="AE46" s="324">
        <f t="shared" si="10"/>
        <v>0.12552929272585153</v>
      </c>
    </row>
    <row r="47" spans="2:31">
      <c r="B47" s="315" t="s">
        <v>256</v>
      </c>
      <c r="C47" s="316" t="s">
        <v>535</v>
      </c>
      <c r="D47" s="313">
        <v>12</v>
      </c>
      <c r="E47" s="313" t="s">
        <v>501</v>
      </c>
      <c r="F47" s="313">
        <v>2016</v>
      </c>
      <c r="G47" s="313" t="s">
        <v>691</v>
      </c>
      <c r="H47" s="317">
        <v>1</v>
      </c>
      <c r="I47" s="317">
        <v>0</v>
      </c>
      <c r="J47" s="317">
        <v>12</v>
      </c>
      <c r="K47" s="324">
        <f t="shared" si="0"/>
        <v>1.4438348252959862E-4</v>
      </c>
      <c r="L47" s="324">
        <f t="shared" si="1"/>
        <v>0</v>
      </c>
      <c r="M47" s="324">
        <f t="shared" si="1"/>
        <v>1.0509721492380452E-3</v>
      </c>
      <c r="N47" s="311">
        <v>36</v>
      </c>
      <c r="O47" s="311">
        <v>0</v>
      </c>
      <c r="P47" s="311">
        <v>429</v>
      </c>
      <c r="Q47" s="324">
        <f t="shared" si="2"/>
        <v>3.4100596760443307E-4</v>
      </c>
      <c r="R47" s="324">
        <f t="shared" si="3"/>
        <v>0</v>
      </c>
      <c r="S47" s="324">
        <f t="shared" si="4"/>
        <v>2.270610153702841E-3</v>
      </c>
      <c r="T47" s="311">
        <v>1</v>
      </c>
      <c r="U47" s="311">
        <v>0</v>
      </c>
      <c r="V47" s="311">
        <v>12</v>
      </c>
      <c r="W47" s="324">
        <f t="shared" si="5"/>
        <v>8.8699662941280823E-5</v>
      </c>
      <c r="X47" s="324">
        <f t="shared" si="6"/>
        <v>0</v>
      </c>
      <c r="Y47" s="324">
        <f t="shared" si="7"/>
        <v>6.1233862325866205E-4</v>
      </c>
      <c r="Z47" s="311">
        <v>37</v>
      </c>
      <c r="AA47" s="311">
        <v>0</v>
      </c>
      <c r="AB47" s="311">
        <v>441</v>
      </c>
      <c r="AC47" s="324">
        <f t="shared" si="8"/>
        <v>3.1666153161480262E-4</v>
      </c>
      <c r="AD47" s="324">
        <f t="shared" si="9"/>
        <v>0</v>
      </c>
      <c r="AE47" s="324">
        <f t="shared" si="10"/>
        <v>2.1147732013638131E-3</v>
      </c>
    </row>
    <row r="48" spans="2:31">
      <c r="B48" s="315" t="s">
        <v>265</v>
      </c>
      <c r="C48" s="316" t="s">
        <v>544</v>
      </c>
      <c r="D48" s="313">
        <v>13</v>
      </c>
      <c r="E48" s="313" t="s">
        <v>501</v>
      </c>
      <c r="F48" s="313">
        <v>2016</v>
      </c>
      <c r="G48" s="313" t="s">
        <v>691</v>
      </c>
      <c r="H48" s="317">
        <v>24</v>
      </c>
      <c r="I48" s="317">
        <v>9</v>
      </c>
      <c r="J48" s="317">
        <v>45</v>
      </c>
      <c r="K48" s="324">
        <f t="shared" si="0"/>
        <v>3.4652035807103665E-3</v>
      </c>
      <c r="L48" s="324">
        <f t="shared" si="1"/>
        <v>2.407704654895666E-3</v>
      </c>
      <c r="M48" s="324">
        <f t="shared" si="1"/>
        <v>3.9411455596426691E-3</v>
      </c>
      <c r="N48" s="311">
        <v>462</v>
      </c>
      <c r="O48" s="311">
        <v>160</v>
      </c>
      <c r="P48" s="311">
        <v>934</v>
      </c>
      <c r="Q48" s="324">
        <f t="shared" si="2"/>
        <v>4.3762432509235581E-3</v>
      </c>
      <c r="R48" s="324">
        <f t="shared" si="3"/>
        <v>2.9475157968424739E-3</v>
      </c>
      <c r="S48" s="324">
        <f t="shared" si="4"/>
        <v>4.9434729220476778E-3</v>
      </c>
      <c r="T48" s="311">
        <v>20</v>
      </c>
      <c r="U48" s="311">
        <v>6</v>
      </c>
      <c r="V48" s="311">
        <v>38</v>
      </c>
      <c r="W48" s="324">
        <f t="shared" si="5"/>
        <v>1.7739932588256165E-3</v>
      </c>
      <c r="X48" s="324">
        <f t="shared" si="6"/>
        <v>1.1641443538998836E-3</v>
      </c>
      <c r="Y48" s="324">
        <f t="shared" si="7"/>
        <v>1.9390723069857632E-3</v>
      </c>
      <c r="Z48" s="311">
        <v>482</v>
      </c>
      <c r="AA48" s="311">
        <v>166</v>
      </c>
      <c r="AB48" s="311">
        <v>972</v>
      </c>
      <c r="AC48" s="324">
        <f t="shared" si="8"/>
        <v>4.1251583307658074E-3</v>
      </c>
      <c r="AD48" s="324">
        <f t="shared" si="9"/>
        <v>2.7928731261672021E-3</v>
      </c>
      <c r="AE48" s="324">
        <f t="shared" si="10"/>
        <v>4.6611327703528936E-3</v>
      </c>
    </row>
    <row r="49" spans="2:31">
      <c r="B49" s="315" t="s">
        <v>255</v>
      </c>
      <c r="C49" s="316" t="s">
        <v>534</v>
      </c>
      <c r="D49" s="313">
        <v>14</v>
      </c>
      <c r="E49" s="313" t="s">
        <v>501</v>
      </c>
      <c r="F49" s="313">
        <v>2016</v>
      </c>
      <c r="G49" s="313" t="s">
        <v>691</v>
      </c>
      <c r="H49" s="317">
        <v>59</v>
      </c>
      <c r="I49" s="317">
        <v>30</v>
      </c>
      <c r="J49" s="317">
        <v>98</v>
      </c>
      <c r="K49" s="324">
        <f t="shared" si="0"/>
        <v>8.518625469246319E-3</v>
      </c>
      <c r="L49" s="324">
        <f t="shared" si="1"/>
        <v>8.0256821829855531E-3</v>
      </c>
      <c r="M49" s="324">
        <f t="shared" si="1"/>
        <v>8.582939218777369E-3</v>
      </c>
      <c r="N49" s="311">
        <v>871</v>
      </c>
      <c r="O49" s="311">
        <v>419</v>
      </c>
      <c r="P49" s="311">
        <v>1581</v>
      </c>
      <c r="Q49" s="324">
        <f t="shared" si="2"/>
        <v>8.2504499384294782E-3</v>
      </c>
      <c r="R49" s="324">
        <f t="shared" si="3"/>
        <v>7.7188069929812284E-3</v>
      </c>
      <c r="S49" s="324">
        <f t="shared" si="4"/>
        <v>8.3679129440657161E-3</v>
      </c>
      <c r="T49" s="311">
        <v>49</v>
      </c>
      <c r="U49" s="311">
        <v>22</v>
      </c>
      <c r="V49" s="311">
        <v>87</v>
      </c>
      <c r="W49" s="324">
        <f t="shared" si="5"/>
        <v>4.3462834841227604E-3</v>
      </c>
      <c r="X49" s="324">
        <f t="shared" si="6"/>
        <v>4.2685292976329062E-3</v>
      </c>
      <c r="Y49" s="324">
        <f t="shared" si="7"/>
        <v>4.4394550186253002E-3</v>
      </c>
      <c r="Z49" s="311">
        <v>920</v>
      </c>
      <c r="AA49" s="311">
        <v>441</v>
      </c>
      <c r="AB49" s="311">
        <v>1668</v>
      </c>
      <c r="AC49" s="324">
        <f t="shared" si="8"/>
        <v>7.8737461915032014E-3</v>
      </c>
      <c r="AD49" s="324">
        <f t="shared" si="9"/>
        <v>7.4196207749381701E-3</v>
      </c>
      <c r="AE49" s="324">
        <f t="shared" si="10"/>
        <v>7.9987340133216324E-3</v>
      </c>
    </row>
    <row r="50" spans="2:31">
      <c r="B50" s="315" t="s">
        <v>267</v>
      </c>
      <c r="C50" s="316" t="s">
        <v>546</v>
      </c>
      <c r="D50" s="313">
        <v>15</v>
      </c>
      <c r="E50" s="313" t="s">
        <v>501</v>
      </c>
      <c r="F50" s="313">
        <v>2016</v>
      </c>
      <c r="G50" s="313" t="s">
        <v>691</v>
      </c>
      <c r="H50" s="317">
        <v>29</v>
      </c>
      <c r="I50" s="317">
        <v>8</v>
      </c>
      <c r="J50" s="317">
        <v>60</v>
      </c>
      <c r="K50" s="324">
        <f t="shared" si="0"/>
        <v>4.1871209933583599E-3</v>
      </c>
      <c r="L50" s="324">
        <f t="shared" si="1"/>
        <v>2.1401819154628142E-3</v>
      </c>
      <c r="M50" s="324">
        <f t="shared" si="1"/>
        <v>5.254860746190226E-3</v>
      </c>
      <c r="N50" s="311">
        <v>569</v>
      </c>
      <c r="O50" s="311">
        <v>141</v>
      </c>
      <c r="P50" s="311">
        <v>1349</v>
      </c>
      <c r="Q50" s="324">
        <f t="shared" si="2"/>
        <v>5.3897887657478449E-3</v>
      </c>
      <c r="R50" s="324">
        <f t="shared" si="3"/>
        <v>2.59749829596743E-3</v>
      </c>
      <c r="S50" s="324">
        <f t="shared" si="4"/>
        <v>7.1399839098954141E-3</v>
      </c>
      <c r="T50" s="311">
        <v>12</v>
      </c>
      <c r="U50" s="311">
        <v>2</v>
      </c>
      <c r="V50" s="311">
        <v>26</v>
      </c>
      <c r="W50" s="324">
        <f t="shared" si="5"/>
        <v>1.0643959552953698E-3</v>
      </c>
      <c r="X50" s="324">
        <f t="shared" si="6"/>
        <v>3.8804811796662784E-4</v>
      </c>
      <c r="Y50" s="324">
        <f t="shared" si="7"/>
        <v>1.3267336837271011E-3</v>
      </c>
      <c r="Z50" s="311">
        <v>581</v>
      </c>
      <c r="AA50" s="311">
        <v>143</v>
      </c>
      <c r="AB50" s="311">
        <v>1375</v>
      </c>
      <c r="AC50" s="324">
        <f t="shared" si="8"/>
        <v>4.9724418883297389E-3</v>
      </c>
      <c r="AD50" s="324">
        <f t="shared" si="9"/>
        <v>2.4059087773609031E-3</v>
      </c>
      <c r="AE50" s="324">
        <f t="shared" si="10"/>
        <v>6.5936806164971495E-3</v>
      </c>
    </row>
    <row r="51" spans="2:31">
      <c r="B51" s="315" t="s">
        <v>263</v>
      </c>
      <c r="C51" s="316" t="s">
        <v>542</v>
      </c>
      <c r="D51" s="313">
        <v>16</v>
      </c>
      <c r="E51" s="313" t="s">
        <v>501</v>
      </c>
      <c r="F51" s="313">
        <v>2016</v>
      </c>
      <c r="G51" s="313" t="s">
        <v>691</v>
      </c>
      <c r="H51" s="317">
        <v>2834</v>
      </c>
      <c r="I51" s="317">
        <v>1617</v>
      </c>
      <c r="J51" s="317">
        <v>4518</v>
      </c>
      <c r="K51" s="324">
        <f t="shared" si="0"/>
        <v>0.40918278948888248</v>
      </c>
      <c r="L51" s="324">
        <f t="shared" si="1"/>
        <v>0.43258426966292135</v>
      </c>
      <c r="M51" s="324">
        <f t="shared" si="1"/>
        <v>0.39569101418812402</v>
      </c>
      <c r="N51" s="311">
        <v>42551</v>
      </c>
      <c r="O51" s="311">
        <v>23684</v>
      </c>
      <c r="P51" s="311">
        <v>72059</v>
      </c>
      <c r="Q51" s="324">
        <f t="shared" si="2"/>
        <v>0.40305958132045089</v>
      </c>
      <c r="R51" s="324">
        <f t="shared" si="3"/>
        <v>0.43630602582760719</v>
      </c>
      <c r="S51" s="324">
        <f t="shared" si="4"/>
        <v>0.38139369945378332</v>
      </c>
      <c r="T51" s="311">
        <v>1596</v>
      </c>
      <c r="U51" s="311">
        <v>921</v>
      </c>
      <c r="V51" s="311">
        <v>2548</v>
      </c>
      <c r="W51" s="324">
        <f t="shared" si="5"/>
        <v>0.1415646620542842</v>
      </c>
      <c r="X51" s="324">
        <f t="shared" si="6"/>
        <v>0.17869615832363214</v>
      </c>
      <c r="Y51" s="324">
        <f t="shared" si="7"/>
        <v>0.1300199010052559</v>
      </c>
      <c r="Z51" s="311">
        <v>44147</v>
      </c>
      <c r="AA51" s="311">
        <v>24605</v>
      </c>
      <c r="AB51" s="311">
        <v>74607</v>
      </c>
      <c r="AC51" s="324">
        <f t="shared" si="8"/>
        <v>0.37782855773509977</v>
      </c>
      <c r="AD51" s="324">
        <f t="shared" si="9"/>
        <v>0.41396773053821695</v>
      </c>
      <c r="AE51" s="324">
        <f t="shared" si="10"/>
        <v>0.35777071254909293</v>
      </c>
    </row>
    <row r="52" spans="2:31">
      <c r="B52" s="315" t="s">
        <v>264</v>
      </c>
      <c r="C52" s="316" t="s">
        <v>543</v>
      </c>
      <c r="D52" s="313">
        <v>17</v>
      </c>
      <c r="E52" s="313" t="s">
        <v>501</v>
      </c>
      <c r="F52" s="313">
        <v>2016</v>
      </c>
      <c r="G52" s="313" t="s">
        <v>691</v>
      </c>
      <c r="H52" s="317">
        <v>494</v>
      </c>
      <c r="I52" s="317">
        <v>254</v>
      </c>
      <c r="J52" s="317">
        <v>867</v>
      </c>
      <c r="K52" s="324">
        <f t="shared" si="0"/>
        <v>7.1325440369621712E-2</v>
      </c>
      <c r="L52" s="324">
        <f t="shared" si="1"/>
        <v>6.7950775815944359E-2</v>
      </c>
      <c r="M52" s="324">
        <f t="shared" si="1"/>
        <v>7.5932737782448759E-2</v>
      </c>
      <c r="N52" s="311">
        <v>6232</v>
      </c>
      <c r="O52" s="311">
        <v>3097</v>
      </c>
      <c r="P52" s="311">
        <v>11781</v>
      </c>
      <c r="Q52" s="324">
        <f t="shared" si="2"/>
        <v>5.9031921947522971E-2</v>
      </c>
      <c r="R52" s="324">
        <f t="shared" si="3"/>
        <v>5.7052852642632129E-2</v>
      </c>
      <c r="S52" s="324">
        <f t="shared" si="4"/>
        <v>6.2354448067070328E-2</v>
      </c>
      <c r="T52" s="311">
        <v>1970</v>
      </c>
      <c r="U52" s="311">
        <v>1044</v>
      </c>
      <c r="V52" s="311">
        <v>3288</v>
      </c>
      <c r="W52" s="324">
        <f t="shared" si="5"/>
        <v>0.17473833599432323</v>
      </c>
      <c r="X52" s="324">
        <f t="shared" si="6"/>
        <v>0.20256111757857975</v>
      </c>
      <c r="Y52" s="324">
        <f t="shared" si="7"/>
        <v>0.16778078277287339</v>
      </c>
      <c r="Z52" s="311">
        <v>8202</v>
      </c>
      <c r="AA52" s="311">
        <v>4141</v>
      </c>
      <c r="AB52" s="311">
        <v>15069</v>
      </c>
      <c r="AC52" s="324">
        <f t="shared" si="8"/>
        <v>7.0196158981205709E-2</v>
      </c>
      <c r="AD52" s="324">
        <f t="shared" si="9"/>
        <v>6.9670407322038455E-2</v>
      </c>
      <c r="AE52" s="324">
        <f t="shared" si="10"/>
        <v>7.2261944152724022E-2</v>
      </c>
    </row>
    <row r="53" spans="2:31">
      <c r="B53" s="315" t="s">
        <v>261</v>
      </c>
      <c r="C53" s="316" t="s">
        <v>540</v>
      </c>
      <c r="D53" s="313">
        <v>18</v>
      </c>
      <c r="E53" s="313" t="s">
        <v>501</v>
      </c>
      <c r="F53" s="313">
        <v>2016</v>
      </c>
      <c r="G53" s="313" t="s">
        <v>691</v>
      </c>
      <c r="H53" s="317">
        <v>866</v>
      </c>
      <c r="I53" s="317">
        <v>465</v>
      </c>
      <c r="J53" s="317">
        <v>1469</v>
      </c>
      <c r="K53" s="324">
        <f t="shared" si="0"/>
        <v>0.12503609587063241</v>
      </c>
      <c r="L53" s="324">
        <f t="shared" si="1"/>
        <v>0.12439807383627609</v>
      </c>
      <c r="M53" s="324">
        <f t="shared" si="1"/>
        <v>0.12865650726922404</v>
      </c>
      <c r="N53" s="311">
        <v>13985</v>
      </c>
      <c r="O53" s="311">
        <v>7291</v>
      </c>
      <c r="P53" s="311">
        <v>25206</v>
      </c>
      <c r="Q53" s="324">
        <f t="shared" si="2"/>
        <v>0.13247134602633323</v>
      </c>
      <c r="R53" s="324">
        <f t="shared" si="3"/>
        <v>0.13431461046736548</v>
      </c>
      <c r="S53" s="324">
        <f t="shared" si="4"/>
        <v>0.13341025532455433</v>
      </c>
      <c r="T53" s="311">
        <v>635</v>
      </c>
      <c r="U53" s="311">
        <v>303</v>
      </c>
      <c r="V53" s="311">
        <v>1122</v>
      </c>
      <c r="W53" s="324">
        <f t="shared" si="5"/>
        <v>5.6324285967713321E-2</v>
      </c>
      <c r="X53" s="324">
        <f t="shared" si="6"/>
        <v>5.8789289871944123E-2</v>
      </c>
      <c r="Y53" s="324">
        <f t="shared" si="7"/>
        <v>5.7253661274684904E-2</v>
      </c>
      <c r="Z53" s="311">
        <v>14620</v>
      </c>
      <c r="AA53" s="311">
        <v>7594</v>
      </c>
      <c r="AB53" s="311">
        <v>26328</v>
      </c>
      <c r="AC53" s="324">
        <f t="shared" si="8"/>
        <v>0.1251240970867139</v>
      </c>
      <c r="AD53" s="324">
        <f t="shared" si="9"/>
        <v>0.12776553325369719</v>
      </c>
      <c r="AE53" s="324">
        <f t="shared" si="10"/>
        <v>0.12625339874264505</v>
      </c>
    </row>
    <row r="54" spans="2:31">
      <c r="B54" s="315" t="s">
        <v>262</v>
      </c>
      <c r="C54" s="316" t="s">
        <v>541</v>
      </c>
      <c r="D54" s="313">
        <v>19</v>
      </c>
      <c r="E54" s="313" t="s">
        <v>501</v>
      </c>
      <c r="F54" s="313">
        <v>2016</v>
      </c>
      <c r="G54" s="313" t="s">
        <v>691</v>
      </c>
      <c r="H54" s="317">
        <v>173</v>
      </c>
      <c r="I54" s="317">
        <v>55</v>
      </c>
      <c r="J54" s="317">
        <v>334</v>
      </c>
      <c r="K54" s="324">
        <f t="shared" si="0"/>
        <v>2.4978342477620562E-2</v>
      </c>
      <c r="L54" s="324">
        <f t="shared" si="1"/>
        <v>1.4713750668806848E-2</v>
      </c>
      <c r="M54" s="324">
        <f t="shared" si="1"/>
        <v>2.9252058153792258E-2</v>
      </c>
      <c r="N54" s="311">
        <v>2329</v>
      </c>
      <c r="O54" s="311">
        <v>774</v>
      </c>
      <c r="P54" s="311">
        <v>4779</v>
      </c>
      <c r="Q54" s="324">
        <f t="shared" si="2"/>
        <v>2.2061191626409019E-2</v>
      </c>
      <c r="R54" s="324">
        <f t="shared" si="3"/>
        <v>1.4258607667225467E-2</v>
      </c>
      <c r="S54" s="324">
        <f t="shared" si="4"/>
        <v>2.5294279544395986E-2</v>
      </c>
      <c r="T54" s="311">
        <v>212</v>
      </c>
      <c r="U54" s="311">
        <v>94</v>
      </c>
      <c r="V54" s="311">
        <v>400</v>
      </c>
      <c r="W54" s="324">
        <f t="shared" si="5"/>
        <v>1.8804328543551536E-2</v>
      </c>
      <c r="X54" s="324">
        <f t="shared" si="6"/>
        <v>1.8238261544431509E-2</v>
      </c>
      <c r="Y54" s="324">
        <f t="shared" si="7"/>
        <v>2.0411287441955403E-2</v>
      </c>
      <c r="Z54" s="311">
        <v>2541</v>
      </c>
      <c r="AA54" s="311">
        <v>868</v>
      </c>
      <c r="AB54" s="311">
        <v>5179</v>
      </c>
      <c r="AC54" s="324">
        <f t="shared" si="8"/>
        <v>2.1746944644140905E-2</v>
      </c>
      <c r="AD54" s="324">
        <f t="shared" si="9"/>
        <v>1.4603698033211637E-2</v>
      </c>
      <c r="AE54" s="324">
        <f t="shared" si="10"/>
        <v>2.4835397754791808E-2</v>
      </c>
    </row>
    <row r="55" spans="2:31">
      <c r="B55" s="315" t="s">
        <v>254</v>
      </c>
      <c r="C55" s="316" t="s">
        <v>533</v>
      </c>
      <c r="D55" s="313">
        <v>20</v>
      </c>
      <c r="E55" s="313" t="s">
        <v>501</v>
      </c>
      <c r="F55" s="313">
        <v>2016</v>
      </c>
      <c r="G55" s="313" t="s">
        <v>691</v>
      </c>
      <c r="H55" s="317">
        <v>6</v>
      </c>
      <c r="I55" s="317">
        <v>1</v>
      </c>
      <c r="J55" s="317">
        <v>14</v>
      </c>
      <c r="K55" s="324">
        <f t="shared" si="0"/>
        <v>8.6630089517759164E-4</v>
      </c>
      <c r="L55" s="324">
        <f t="shared" si="1"/>
        <v>2.6752273943285177E-4</v>
      </c>
      <c r="M55" s="324">
        <f t="shared" si="1"/>
        <v>1.2261341741110527E-3</v>
      </c>
      <c r="N55" s="311">
        <v>42</v>
      </c>
      <c r="O55" s="311">
        <v>6</v>
      </c>
      <c r="P55" s="311">
        <v>110</v>
      </c>
      <c r="Q55" s="324">
        <f t="shared" si="2"/>
        <v>3.9784029553850523E-4</v>
      </c>
      <c r="R55" s="324">
        <f t="shared" si="3"/>
        <v>1.1053184238159276E-4</v>
      </c>
      <c r="S55" s="324">
        <f t="shared" si="4"/>
        <v>5.8220773171867724E-4</v>
      </c>
      <c r="T55" s="311">
        <v>369</v>
      </c>
      <c r="U55" s="311">
        <v>174</v>
      </c>
      <c r="V55" s="311">
        <v>663</v>
      </c>
      <c r="W55" s="324">
        <f t="shared" si="5"/>
        <v>3.2730175625332626E-2</v>
      </c>
      <c r="X55" s="324">
        <f t="shared" si="6"/>
        <v>3.3760186263096625E-2</v>
      </c>
      <c r="Y55" s="324">
        <f t="shared" si="7"/>
        <v>3.3831708935041074E-2</v>
      </c>
      <c r="Z55" s="311">
        <v>411</v>
      </c>
      <c r="AA55" s="311">
        <v>180</v>
      </c>
      <c r="AB55" s="311">
        <v>773</v>
      </c>
      <c r="AC55" s="324">
        <f t="shared" si="8"/>
        <v>3.5175105268563213E-3</v>
      </c>
      <c r="AD55" s="324">
        <f t="shared" si="9"/>
        <v>3.0284166428319061E-3</v>
      </c>
      <c r="AE55" s="324">
        <f t="shared" si="10"/>
        <v>3.706847357492579E-3</v>
      </c>
    </row>
    <row r="56" spans="2:31">
      <c r="B56" s="313" t="s">
        <v>252</v>
      </c>
      <c r="C56" s="318" t="s">
        <v>531</v>
      </c>
      <c r="D56" s="313">
        <v>21</v>
      </c>
      <c r="E56" s="313" t="s">
        <v>501</v>
      </c>
      <c r="F56" s="313">
        <v>2016</v>
      </c>
      <c r="G56" s="313" t="s">
        <v>691</v>
      </c>
      <c r="H56" s="311">
        <v>26</v>
      </c>
      <c r="I56" s="317">
        <v>12</v>
      </c>
      <c r="J56" s="317">
        <v>42</v>
      </c>
      <c r="K56" s="324">
        <f t="shared" si="0"/>
        <v>3.7539705457695638E-3</v>
      </c>
      <c r="L56" s="324">
        <f t="shared" si="1"/>
        <v>3.2102728731942215E-3</v>
      </c>
      <c r="M56" s="324">
        <f t="shared" si="1"/>
        <v>3.6784025223331584E-3</v>
      </c>
      <c r="N56" s="311">
        <v>450</v>
      </c>
      <c r="O56" s="311">
        <v>184</v>
      </c>
      <c r="P56" s="311">
        <v>778</v>
      </c>
      <c r="Q56" s="324">
        <f t="shared" si="2"/>
        <v>4.2625745950554137E-3</v>
      </c>
      <c r="R56" s="324">
        <f t="shared" si="3"/>
        <v>3.3896431663688448E-3</v>
      </c>
      <c r="S56" s="324">
        <f t="shared" si="4"/>
        <v>4.1177965025193716E-3</v>
      </c>
      <c r="T56" s="311">
        <v>0</v>
      </c>
      <c r="U56" s="311">
        <v>0</v>
      </c>
      <c r="V56" s="311">
        <v>0</v>
      </c>
      <c r="W56" s="324">
        <f t="shared" si="5"/>
        <v>0</v>
      </c>
      <c r="X56" s="324">
        <f t="shared" si="6"/>
        <v>0</v>
      </c>
      <c r="Y56" s="324">
        <f t="shared" si="7"/>
        <v>0</v>
      </c>
      <c r="Z56" s="311">
        <v>450</v>
      </c>
      <c r="AA56" s="311">
        <v>184</v>
      </c>
      <c r="AB56" s="311">
        <v>778</v>
      </c>
      <c r="AC56" s="324">
        <f t="shared" si="8"/>
        <v>3.8512888980178702E-3</v>
      </c>
      <c r="AD56" s="324">
        <f t="shared" si="9"/>
        <v>3.0957147904503929E-3</v>
      </c>
      <c r="AE56" s="324">
        <f t="shared" si="10"/>
        <v>3.730824377916205E-3</v>
      </c>
    </row>
    <row r="57" spans="2:31" ht="45">
      <c r="B57" s="315" t="s">
        <v>528</v>
      </c>
      <c r="C57" s="316" t="s">
        <v>551</v>
      </c>
      <c r="D57" s="313">
        <v>22</v>
      </c>
      <c r="E57" s="313" t="s">
        <v>501</v>
      </c>
      <c r="F57" s="313">
        <v>2016</v>
      </c>
      <c r="G57" s="313" t="s">
        <v>691</v>
      </c>
      <c r="H57" s="317">
        <v>67</v>
      </c>
      <c r="I57" s="317">
        <v>39</v>
      </c>
      <c r="J57" s="317">
        <v>118</v>
      </c>
      <c r="K57" s="324">
        <f t="shared" si="0"/>
        <v>9.6736933294831063E-3</v>
      </c>
      <c r="L57" s="324">
        <f t="shared" si="1"/>
        <v>1.043338683788122E-2</v>
      </c>
      <c r="M57" s="324">
        <f t="shared" si="1"/>
        <v>1.0334559467507444E-2</v>
      </c>
      <c r="N57" s="311">
        <v>1324</v>
      </c>
      <c r="O57" s="311">
        <v>724</v>
      </c>
      <c r="P57" s="311">
        <v>2509</v>
      </c>
      <c r="Q57" s="324">
        <f t="shared" si="2"/>
        <v>1.2541441697451928E-2</v>
      </c>
      <c r="R57" s="324">
        <f t="shared" si="3"/>
        <v>1.3337508980712193E-2</v>
      </c>
      <c r="S57" s="324">
        <f t="shared" si="4"/>
        <v>1.3279629080746919E-2</v>
      </c>
      <c r="T57" s="311">
        <v>419</v>
      </c>
      <c r="U57" s="311">
        <v>200</v>
      </c>
      <c r="V57" s="311">
        <v>750</v>
      </c>
      <c r="W57" s="324">
        <f t="shared" si="5"/>
        <v>3.7165158772396664E-2</v>
      </c>
      <c r="X57" s="324">
        <f t="shared" si="6"/>
        <v>3.8804811796662786E-2</v>
      </c>
      <c r="Y57" s="324">
        <f t="shared" si="7"/>
        <v>3.8271163953666379E-2</v>
      </c>
      <c r="Z57" s="311">
        <v>1743</v>
      </c>
      <c r="AA57" s="311">
        <v>924</v>
      </c>
      <c r="AB57" s="311">
        <v>3259</v>
      </c>
      <c r="AC57" s="324">
        <f t="shared" si="8"/>
        <v>1.4917325664989217E-2</v>
      </c>
      <c r="AD57" s="324">
        <f t="shared" si="9"/>
        <v>1.5545872099870451E-2</v>
      </c>
      <c r="AE57" s="324">
        <f t="shared" si="10"/>
        <v>1.5628221912119426E-2</v>
      </c>
    </row>
    <row r="58" spans="2:31">
      <c r="B58" s="315" t="s">
        <v>257</v>
      </c>
      <c r="C58" s="316" t="s">
        <v>536</v>
      </c>
      <c r="D58" s="313">
        <v>23</v>
      </c>
      <c r="E58" s="313" t="s">
        <v>501</v>
      </c>
      <c r="F58" s="313">
        <v>2016</v>
      </c>
      <c r="G58" s="313" t="s">
        <v>691</v>
      </c>
      <c r="H58" s="317">
        <v>633</v>
      </c>
      <c r="I58" s="317">
        <v>339</v>
      </c>
      <c r="J58" s="317">
        <v>1010</v>
      </c>
      <c r="K58" s="324">
        <f t="shared" si="0"/>
        <v>9.1394744441235923E-2</v>
      </c>
      <c r="L58" s="324">
        <f t="shared" si="1"/>
        <v>9.0690208667736763E-2</v>
      </c>
      <c r="M58" s="324">
        <f t="shared" si="1"/>
        <v>8.84568225608688E-2</v>
      </c>
      <c r="N58" s="311">
        <v>8001</v>
      </c>
      <c r="O58" s="311">
        <v>3870</v>
      </c>
      <c r="P58" s="311">
        <v>14460</v>
      </c>
      <c r="Q58" s="324">
        <f t="shared" si="2"/>
        <v>7.5788576300085245E-2</v>
      </c>
      <c r="R58" s="324">
        <f t="shared" si="3"/>
        <v>7.1293038336127337E-2</v>
      </c>
      <c r="S58" s="324">
        <f t="shared" si="4"/>
        <v>7.6533852733200666E-2</v>
      </c>
      <c r="T58" s="311">
        <v>2015</v>
      </c>
      <c r="U58" s="311">
        <v>928</v>
      </c>
      <c r="V58" s="311">
        <v>3270</v>
      </c>
      <c r="W58" s="324">
        <f t="shared" si="5"/>
        <v>0.17872982082668085</v>
      </c>
      <c r="X58" s="324">
        <f t="shared" si="6"/>
        <v>0.18005432673651534</v>
      </c>
      <c r="Y58" s="324">
        <f t="shared" si="7"/>
        <v>0.16686227483798541</v>
      </c>
      <c r="Z58" s="311">
        <v>10016</v>
      </c>
      <c r="AA58" s="311">
        <v>4798</v>
      </c>
      <c r="AB58" s="311">
        <v>17730</v>
      </c>
      <c r="AC58" s="324">
        <f t="shared" si="8"/>
        <v>8.5721132450104418E-2</v>
      </c>
      <c r="AD58" s="324">
        <f t="shared" si="9"/>
        <v>8.0724128068374923E-2</v>
      </c>
      <c r="AE58" s="324">
        <f t="shared" si="10"/>
        <v>8.5022514422177786E-2</v>
      </c>
    </row>
    <row r="59" spans="2:31">
      <c r="B59" s="315" t="s">
        <v>253</v>
      </c>
      <c r="C59" s="316" t="s">
        <v>532</v>
      </c>
      <c r="D59" s="313">
        <v>24</v>
      </c>
      <c r="E59" s="313" t="s">
        <v>501</v>
      </c>
      <c r="F59" s="313">
        <v>2016</v>
      </c>
      <c r="G59" s="313" t="s">
        <v>691</v>
      </c>
      <c r="H59" s="317">
        <v>8</v>
      </c>
      <c r="I59" s="317">
        <v>2</v>
      </c>
      <c r="J59" s="317">
        <v>32</v>
      </c>
      <c r="K59" s="324">
        <f t="shared" si="0"/>
        <v>1.155067860236789E-3</v>
      </c>
      <c r="L59" s="324">
        <f t="shared" si="1"/>
        <v>5.3504547886570354E-4</v>
      </c>
      <c r="M59" s="324">
        <f t="shared" si="1"/>
        <v>2.8025923979681207E-3</v>
      </c>
      <c r="N59" s="311">
        <v>101</v>
      </c>
      <c r="O59" s="311">
        <v>24</v>
      </c>
      <c r="P59" s="311">
        <v>471</v>
      </c>
      <c r="Q59" s="324">
        <f t="shared" si="2"/>
        <v>9.5671118689021506E-4</v>
      </c>
      <c r="R59" s="324">
        <f t="shared" si="3"/>
        <v>4.4212736952637104E-4</v>
      </c>
      <c r="S59" s="324">
        <f t="shared" si="4"/>
        <v>2.4929076512681544E-3</v>
      </c>
      <c r="T59" s="311">
        <v>682</v>
      </c>
      <c r="U59" s="311">
        <v>376</v>
      </c>
      <c r="V59" s="311">
        <v>1129</v>
      </c>
      <c r="W59" s="324">
        <f t="shared" si="5"/>
        <v>6.0493170125953524E-2</v>
      </c>
      <c r="X59" s="324">
        <f t="shared" si="6"/>
        <v>7.2953046177726036E-2</v>
      </c>
      <c r="Y59" s="324">
        <f t="shared" si="7"/>
        <v>5.7610858804919118E-2</v>
      </c>
      <c r="Z59" s="311">
        <v>783</v>
      </c>
      <c r="AA59" s="311">
        <v>400</v>
      </c>
      <c r="AB59" s="311">
        <v>1600</v>
      </c>
      <c r="AC59" s="324">
        <f t="shared" si="8"/>
        <v>6.7012426825510934E-3</v>
      </c>
      <c r="AD59" s="324">
        <f t="shared" si="9"/>
        <v>6.7298147618486803E-3</v>
      </c>
      <c r="AE59" s="324">
        <f t="shared" si="10"/>
        <v>7.6726465355603192E-3</v>
      </c>
    </row>
    <row r="60" spans="2:31" ht="30">
      <c r="B60" s="315" t="s">
        <v>272</v>
      </c>
      <c r="C60" s="316" t="s">
        <v>552</v>
      </c>
      <c r="D60" s="313">
        <v>25</v>
      </c>
      <c r="E60" s="313" t="s">
        <v>501</v>
      </c>
      <c r="F60" s="313">
        <v>2016</v>
      </c>
      <c r="G60" s="313" t="s">
        <v>691</v>
      </c>
      <c r="H60" s="317">
        <v>8</v>
      </c>
      <c r="I60" s="317">
        <v>0</v>
      </c>
      <c r="J60" s="317">
        <v>23</v>
      </c>
      <c r="K60" s="324">
        <f t="shared" si="0"/>
        <v>1.155067860236789E-3</v>
      </c>
      <c r="L60" s="324">
        <f t="shared" si="1"/>
        <v>0</v>
      </c>
      <c r="M60" s="324">
        <f t="shared" si="1"/>
        <v>2.0143632860395865E-3</v>
      </c>
      <c r="N60" s="311">
        <v>139</v>
      </c>
      <c r="O60" s="311">
        <v>0</v>
      </c>
      <c r="P60" s="311">
        <v>460</v>
      </c>
      <c r="Q60" s="324">
        <f t="shared" si="2"/>
        <v>1.3166619304726722E-3</v>
      </c>
      <c r="R60" s="324">
        <f t="shared" si="3"/>
        <v>0</v>
      </c>
      <c r="S60" s="324">
        <f t="shared" si="4"/>
        <v>2.4346868780962864E-3</v>
      </c>
      <c r="T60" s="311">
        <v>14</v>
      </c>
      <c r="U60" s="311">
        <v>4</v>
      </c>
      <c r="V60" s="311">
        <v>33</v>
      </c>
      <c r="W60" s="324">
        <f t="shared" si="5"/>
        <v>1.2417952811779316E-3</v>
      </c>
      <c r="X60" s="324">
        <f t="shared" si="6"/>
        <v>7.7609623593325567E-4</v>
      </c>
      <c r="Y60" s="324">
        <f t="shared" si="7"/>
        <v>1.6839312139613205E-3</v>
      </c>
      <c r="Z60" s="311">
        <v>153</v>
      </c>
      <c r="AA60" s="311">
        <v>4</v>
      </c>
      <c r="AB60" s="311">
        <v>493</v>
      </c>
      <c r="AC60" s="324">
        <f t="shared" si="8"/>
        <v>1.3094382253260757E-3</v>
      </c>
      <c r="AD60" s="324">
        <f t="shared" si="9"/>
        <v>6.7298147618486803E-5</v>
      </c>
      <c r="AE60" s="324">
        <f t="shared" si="10"/>
        <v>2.3641342137695233E-3</v>
      </c>
    </row>
    <row r="61" spans="2:31">
      <c r="B61" s="315" t="s">
        <v>274</v>
      </c>
      <c r="C61" s="316" t="s">
        <v>554</v>
      </c>
      <c r="D61" s="313">
        <v>26</v>
      </c>
      <c r="E61" s="313" t="s">
        <v>501</v>
      </c>
      <c r="F61" s="313">
        <v>2016</v>
      </c>
      <c r="G61" s="313" t="s">
        <v>691</v>
      </c>
      <c r="H61" s="317">
        <v>24</v>
      </c>
      <c r="I61" s="317">
        <v>11</v>
      </c>
      <c r="J61" s="317">
        <v>45</v>
      </c>
      <c r="K61" s="324">
        <f t="shared" si="0"/>
        <v>3.4652035807103665E-3</v>
      </c>
      <c r="L61" s="324">
        <f t="shared" si="1"/>
        <v>2.9427501337613697E-3</v>
      </c>
      <c r="M61" s="324">
        <f t="shared" si="1"/>
        <v>3.9411455596426691E-3</v>
      </c>
      <c r="N61" s="311">
        <v>420</v>
      </c>
      <c r="O61" s="311">
        <v>168</v>
      </c>
      <c r="P61" s="311">
        <v>904</v>
      </c>
      <c r="Q61" s="324">
        <f t="shared" si="2"/>
        <v>3.978402955385053E-3</v>
      </c>
      <c r="R61" s="324">
        <f t="shared" si="3"/>
        <v>3.0948915866845974E-3</v>
      </c>
      <c r="S61" s="324">
        <f t="shared" si="4"/>
        <v>4.7846889952153108E-3</v>
      </c>
      <c r="T61" s="311">
        <v>72</v>
      </c>
      <c r="U61" s="311">
        <v>27</v>
      </c>
      <c r="V61" s="311">
        <v>146</v>
      </c>
      <c r="W61" s="324">
        <f t="shared" si="5"/>
        <v>6.3863757317722189E-3</v>
      </c>
      <c r="X61" s="324">
        <f t="shared" si="6"/>
        <v>5.2386495925494762E-3</v>
      </c>
      <c r="Y61" s="324">
        <f t="shared" si="7"/>
        <v>7.4501199163137218E-3</v>
      </c>
      <c r="Z61" s="311">
        <v>492</v>
      </c>
      <c r="AA61" s="311">
        <v>195</v>
      </c>
      <c r="AB61" s="311">
        <v>1050</v>
      </c>
      <c r="AC61" s="324">
        <f t="shared" si="8"/>
        <v>4.2107425284995375E-3</v>
      </c>
      <c r="AD61" s="324">
        <f t="shared" si="9"/>
        <v>3.2807846964012315E-3</v>
      </c>
      <c r="AE61" s="324">
        <f t="shared" si="10"/>
        <v>5.0351742889614597E-3</v>
      </c>
    </row>
    <row r="62" spans="2:31">
      <c r="B62" s="315" t="s">
        <v>259</v>
      </c>
      <c r="C62" s="316" t="s">
        <v>538</v>
      </c>
      <c r="D62" s="313">
        <v>27</v>
      </c>
      <c r="E62" s="313" t="s">
        <v>501</v>
      </c>
      <c r="F62" s="313">
        <v>2016</v>
      </c>
      <c r="G62" s="313" t="s">
        <v>691</v>
      </c>
      <c r="H62" s="317">
        <v>139</v>
      </c>
      <c r="I62" s="317">
        <v>31</v>
      </c>
      <c r="J62" s="317">
        <v>279</v>
      </c>
      <c r="K62" s="324">
        <f t="shared" si="0"/>
        <v>2.0069304071614207E-2</v>
      </c>
      <c r="L62" s="324">
        <f t="shared" si="1"/>
        <v>8.2932049224184057E-3</v>
      </c>
      <c r="M62" s="324">
        <f t="shared" si="1"/>
        <v>2.4435102469784552E-2</v>
      </c>
      <c r="N62" s="311">
        <v>2095</v>
      </c>
      <c r="O62" s="311">
        <v>416</v>
      </c>
      <c r="P62" s="311">
        <v>4592</v>
      </c>
      <c r="Q62" s="324">
        <f t="shared" si="2"/>
        <v>1.9844652836980201E-2</v>
      </c>
      <c r="R62" s="324">
        <f t="shared" si="3"/>
        <v>7.6635410717904315E-3</v>
      </c>
      <c r="S62" s="324">
        <f t="shared" si="4"/>
        <v>2.4304526400474234E-2</v>
      </c>
      <c r="T62" s="311">
        <v>2254</v>
      </c>
      <c r="U62" s="311">
        <v>652</v>
      </c>
      <c r="V62" s="311">
        <v>4241</v>
      </c>
      <c r="W62" s="324">
        <f t="shared" si="5"/>
        <v>0.19992904026964697</v>
      </c>
      <c r="X62" s="324">
        <f t="shared" si="6"/>
        <v>0.12650368645712068</v>
      </c>
      <c r="Y62" s="324">
        <f t="shared" si="7"/>
        <v>0.21641067510333215</v>
      </c>
      <c r="Z62" s="311">
        <v>4349</v>
      </c>
      <c r="AA62" s="311">
        <v>1068</v>
      </c>
      <c r="AB62" s="311">
        <v>8833</v>
      </c>
      <c r="AC62" s="324">
        <f t="shared" si="8"/>
        <v>3.7220567594399373E-2</v>
      </c>
      <c r="AD62" s="324">
        <f t="shared" si="9"/>
        <v>1.7968605414135978E-2</v>
      </c>
      <c r="AE62" s="324">
        <f t="shared" si="10"/>
        <v>4.2357804280377685E-2</v>
      </c>
    </row>
    <row r="63" spans="2:31">
      <c r="B63" s="315" t="s">
        <v>275</v>
      </c>
      <c r="C63" s="316" t="s">
        <v>555</v>
      </c>
      <c r="D63" s="313">
        <v>28</v>
      </c>
      <c r="E63" s="313" t="s">
        <v>501</v>
      </c>
      <c r="F63" s="313">
        <v>2016</v>
      </c>
      <c r="G63" s="313" t="s">
        <v>691</v>
      </c>
      <c r="H63" s="336"/>
      <c r="I63" s="336"/>
      <c r="J63" s="336"/>
      <c r="K63" s="324"/>
      <c r="L63" s="324"/>
      <c r="M63" s="324"/>
      <c r="N63" s="311"/>
      <c r="O63" s="311"/>
      <c r="P63" s="311"/>
      <c r="Q63" s="324">
        <f t="shared" ref="Q63:Q66" si="11">N63/N$67</f>
        <v>0</v>
      </c>
      <c r="R63" s="324">
        <f t="shared" ref="R63:R66" si="12">O63/O$67</f>
        <v>0</v>
      </c>
      <c r="S63" s="324">
        <f t="shared" ref="S63:S66" si="13">P63/P$67</f>
        <v>0</v>
      </c>
      <c r="T63" s="311">
        <v>44</v>
      </c>
      <c r="U63" s="311">
        <v>14</v>
      </c>
      <c r="V63" s="311">
        <v>107</v>
      </c>
      <c r="W63" s="324">
        <f t="shared" si="5"/>
        <v>3.9027851694163561E-3</v>
      </c>
      <c r="X63" s="324">
        <f t="shared" si="6"/>
        <v>2.7163368257663951E-3</v>
      </c>
      <c r="Y63" s="324">
        <f t="shared" si="7"/>
        <v>5.4600193907230702E-3</v>
      </c>
      <c r="Z63" s="311">
        <v>44</v>
      </c>
      <c r="AA63" s="311">
        <v>14</v>
      </c>
      <c r="AB63" s="311">
        <v>107</v>
      </c>
      <c r="AC63" s="324">
        <f t="shared" si="8"/>
        <v>3.7657047002841393E-4</v>
      </c>
      <c r="AD63" s="324">
        <f t="shared" si="9"/>
        <v>2.3554351666470381E-4</v>
      </c>
      <c r="AE63" s="324">
        <f t="shared" si="10"/>
        <v>5.1310823706559629E-4</v>
      </c>
    </row>
    <row r="64" spans="2:31">
      <c r="B64" s="315" t="s">
        <v>276</v>
      </c>
      <c r="C64" s="316" t="s">
        <v>556</v>
      </c>
      <c r="D64" s="313">
        <v>29</v>
      </c>
      <c r="E64" s="313" t="s">
        <v>501</v>
      </c>
      <c r="F64" s="313">
        <v>2016</v>
      </c>
      <c r="G64" s="313" t="s">
        <v>691</v>
      </c>
      <c r="H64" s="336"/>
      <c r="I64" s="336"/>
      <c r="J64" s="336"/>
      <c r="K64" s="324"/>
      <c r="L64" s="324"/>
      <c r="M64" s="324"/>
      <c r="N64" s="311"/>
      <c r="O64" s="311"/>
      <c r="P64" s="311"/>
      <c r="Q64" s="324">
        <f t="shared" si="11"/>
        <v>0</v>
      </c>
      <c r="R64" s="324">
        <f t="shared" si="12"/>
        <v>0</v>
      </c>
      <c r="S64" s="324">
        <f t="shared" si="13"/>
        <v>0</v>
      </c>
      <c r="T64" s="311">
        <v>130</v>
      </c>
      <c r="U64" s="311">
        <v>37</v>
      </c>
      <c r="V64" s="311">
        <v>281</v>
      </c>
      <c r="W64" s="324">
        <f t="shared" si="5"/>
        <v>1.1530956182366508E-2</v>
      </c>
      <c r="X64" s="324">
        <f t="shared" si="6"/>
        <v>7.1788901823826154E-3</v>
      </c>
      <c r="Y64" s="324">
        <f t="shared" si="7"/>
        <v>1.4338929427973669E-2</v>
      </c>
      <c r="Z64" s="311">
        <v>130</v>
      </c>
      <c r="AA64" s="311">
        <v>37</v>
      </c>
      <c r="AB64" s="311">
        <v>281</v>
      </c>
      <c r="AC64" s="324">
        <f t="shared" si="8"/>
        <v>1.1125945705384957E-3</v>
      </c>
      <c r="AD64" s="324">
        <f t="shared" si="9"/>
        <v>6.2250786547100292E-4</v>
      </c>
      <c r="AE64" s="324">
        <f t="shared" si="10"/>
        <v>1.347508547807781E-3</v>
      </c>
    </row>
    <row r="65" spans="2:31">
      <c r="B65" s="315" t="s">
        <v>529</v>
      </c>
      <c r="C65" s="316" t="s">
        <v>637</v>
      </c>
      <c r="D65" s="313">
        <v>30</v>
      </c>
      <c r="E65" s="313" t="s">
        <v>501</v>
      </c>
      <c r="F65" s="313">
        <v>2016</v>
      </c>
      <c r="G65" s="313" t="s">
        <v>691</v>
      </c>
      <c r="H65" s="336"/>
      <c r="I65" s="336"/>
      <c r="J65" s="336"/>
      <c r="K65" s="324"/>
      <c r="L65" s="324"/>
      <c r="M65" s="324"/>
      <c r="N65" s="311"/>
      <c r="O65" s="311"/>
      <c r="P65" s="311"/>
      <c r="Q65" s="324">
        <f t="shared" si="11"/>
        <v>0</v>
      </c>
      <c r="R65" s="324">
        <f t="shared" si="12"/>
        <v>0</v>
      </c>
      <c r="S65" s="324">
        <f t="shared" si="13"/>
        <v>0</v>
      </c>
      <c r="T65" s="311">
        <v>354</v>
      </c>
      <c r="U65" s="311">
        <v>175</v>
      </c>
      <c r="V65" s="311">
        <v>639</v>
      </c>
      <c r="W65" s="324">
        <f t="shared" si="5"/>
        <v>3.1399680681213411E-2</v>
      </c>
      <c r="X65" s="324">
        <f t="shared" si="6"/>
        <v>3.3954210322079938E-2</v>
      </c>
      <c r="Y65" s="324">
        <f t="shared" si="7"/>
        <v>3.2607031688523753E-2</v>
      </c>
      <c r="Z65" s="311">
        <v>354</v>
      </c>
      <c r="AA65" s="311">
        <v>175</v>
      </c>
      <c r="AB65" s="311">
        <v>639</v>
      </c>
      <c r="AC65" s="324">
        <f t="shared" si="8"/>
        <v>3.0296805997740575E-3</v>
      </c>
      <c r="AD65" s="324">
        <f t="shared" si="9"/>
        <v>2.9442939583087975E-3</v>
      </c>
      <c r="AE65" s="324">
        <f t="shared" si="10"/>
        <v>3.0642632101394022E-3</v>
      </c>
    </row>
    <row r="66" spans="2:31">
      <c r="B66" s="315" t="s">
        <v>530</v>
      </c>
      <c r="C66" s="316" t="s">
        <v>638</v>
      </c>
      <c r="D66" s="313">
        <v>31</v>
      </c>
      <c r="E66" s="313" t="s">
        <v>501</v>
      </c>
      <c r="F66" s="313">
        <v>2016</v>
      </c>
      <c r="G66" s="313" t="s">
        <v>691</v>
      </c>
      <c r="H66" s="336"/>
      <c r="I66" s="336"/>
      <c r="J66" s="336"/>
      <c r="K66" s="324"/>
      <c r="L66" s="324"/>
      <c r="M66" s="324"/>
      <c r="N66" s="311"/>
      <c r="O66" s="311"/>
      <c r="P66" s="311"/>
      <c r="Q66" s="324">
        <f t="shared" si="11"/>
        <v>0</v>
      </c>
      <c r="R66" s="324">
        <f t="shared" si="12"/>
        <v>0</v>
      </c>
      <c r="S66" s="324">
        <f t="shared" si="13"/>
        <v>0</v>
      </c>
      <c r="T66" s="311">
        <v>9</v>
      </c>
      <c r="U66" s="311">
        <v>0</v>
      </c>
      <c r="V66" s="311">
        <v>27</v>
      </c>
      <c r="W66" s="324">
        <f t="shared" si="5"/>
        <v>7.9829696647152736E-4</v>
      </c>
      <c r="X66" s="324">
        <f t="shared" si="6"/>
        <v>0</v>
      </c>
      <c r="Y66" s="324">
        <f t="shared" si="7"/>
        <v>1.3777619023319896E-3</v>
      </c>
      <c r="Z66" s="311">
        <v>9</v>
      </c>
      <c r="AA66" s="311">
        <v>0</v>
      </c>
      <c r="AB66" s="311">
        <v>27</v>
      </c>
      <c r="AC66" s="324">
        <f t="shared" si="8"/>
        <v>7.7025777960357405E-5</v>
      </c>
      <c r="AD66" s="324">
        <f t="shared" si="9"/>
        <v>0</v>
      </c>
      <c r="AE66" s="324">
        <f t="shared" si="10"/>
        <v>1.2947591028758038E-4</v>
      </c>
    </row>
    <row r="67" spans="2:31">
      <c r="B67" s="328" t="s">
        <v>7</v>
      </c>
      <c r="C67" s="329"/>
      <c r="D67" s="330">
        <v>99</v>
      </c>
      <c r="E67" s="331" t="s">
        <v>501</v>
      </c>
      <c r="F67" s="331">
        <v>2016</v>
      </c>
      <c r="G67" s="331" t="s">
        <v>691</v>
      </c>
      <c r="H67" s="332">
        <v>6926</v>
      </c>
      <c r="I67" s="332">
        <v>3738</v>
      </c>
      <c r="J67" s="332">
        <v>11418</v>
      </c>
      <c r="K67" s="333">
        <f>H67/H$67</f>
        <v>1</v>
      </c>
      <c r="L67" s="333">
        <f>I67/I$67</f>
        <v>1</v>
      </c>
      <c r="M67" s="333">
        <f>J67/J$67</f>
        <v>1</v>
      </c>
      <c r="N67" s="332">
        <v>105570</v>
      </c>
      <c r="O67" s="332">
        <v>54283</v>
      </c>
      <c r="P67" s="332">
        <v>188936</v>
      </c>
      <c r="Q67" s="333">
        <f>N67/N$67</f>
        <v>1</v>
      </c>
      <c r="R67" s="333">
        <f>O67/O$67</f>
        <v>1</v>
      </c>
      <c r="S67" s="333">
        <f>P67/P$67</f>
        <v>1</v>
      </c>
      <c r="T67" s="332">
        <v>11274</v>
      </c>
      <c r="U67" s="332">
        <v>5154</v>
      </c>
      <c r="V67" s="332">
        <v>19597</v>
      </c>
      <c r="W67" s="333">
        <f>T67/T$67</f>
        <v>1</v>
      </c>
      <c r="X67" s="333">
        <f>U67/U$67</f>
        <v>1</v>
      </c>
      <c r="Y67" s="333">
        <f>V67/V$67</f>
        <v>1</v>
      </c>
      <c r="Z67" s="332">
        <v>116844</v>
      </c>
      <c r="AA67" s="332">
        <v>59437</v>
      </c>
      <c r="AB67" s="332">
        <v>208533</v>
      </c>
      <c r="AC67" s="333">
        <f>Z67/Z$67</f>
        <v>1</v>
      </c>
      <c r="AD67" s="333">
        <f>AA67/AA$67</f>
        <v>1</v>
      </c>
      <c r="AE67" s="333">
        <f>AB67/AB$67</f>
        <v>1</v>
      </c>
    </row>
    <row r="68" spans="2:31" ht="30">
      <c r="B68" s="315" t="s">
        <v>279</v>
      </c>
      <c r="C68" s="316" t="s">
        <v>559</v>
      </c>
      <c r="D68" s="313">
        <v>1</v>
      </c>
      <c r="E68" s="327" t="s">
        <v>513</v>
      </c>
      <c r="F68" s="327">
        <v>2016</v>
      </c>
      <c r="G68" s="327" t="s">
        <v>691</v>
      </c>
      <c r="H68" s="311">
        <v>23</v>
      </c>
      <c r="I68" s="311">
        <v>9</v>
      </c>
      <c r="J68" s="311">
        <v>49</v>
      </c>
      <c r="K68" s="324">
        <f>H68/H$99</f>
        <v>3.9464653397391905E-3</v>
      </c>
      <c r="L68" s="324">
        <f t="shared" ref="L68:M83" si="14">I68/I$99</f>
        <v>2.707581227436823E-3</v>
      </c>
      <c r="M68" s="324">
        <f t="shared" si="14"/>
        <v>5.254691689008043E-3</v>
      </c>
      <c r="N68" s="311">
        <v>652</v>
      </c>
      <c r="O68" s="311">
        <v>234</v>
      </c>
      <c r="P68" s="311">
        <v>1464</v>
      </c>
      <c r="Q68" s="324">
        <f>N68/N$99</f>
        <v>6.9698330233254231E-3</v>
      </c>
      <c r="R68" s="324">
        <f t="shared" ref="R68:R94" si="15">O68/O$99</f>
        <v>4.6534751914089692E-3</v>
      </c>
      <c r="S68" s="324">
        <f t="shared" ref="S68:S94" si="16">P68/P$99</f>
        <v>8.9627897295245559E-3</v>
      </c>
      <c r="T68" s="311">
        <v>36</v>
      </c>
      <c r="U68" s="311">
        <v>9</v>
      </c>
      <c r="V68" s="311">
        <v>88</v>
      </c>
      <c r="W68" s="324">
        <f>T68/T$99</f>
        <v>3.7566524053010541E-3</v>
      </c>
      <c r="X68" s="324">
        <f t="shared" ref="X68:X94" si="17">U68/U$99</f>
        <v>1.9565217391304349E-3</v>
      </c>
      <c r="Y68" s="324">
        <f t="shared" ref="Y68:Y94" si="18">V68/V$99</f>
        <v>5.3770010998411338E-3</v>
      </c>
      <c r="Z68" s="311">
        <v>688</v>
      </c>
      <c r="AA68" s="311">
        <v>243</v>
      </c>
      <c r="AB68" s="311">
        <v>1552</v>
      </c>
      <c r="AC68" s="324">
        <f>Z68/Z$99</f>
        <v>6.6712563876310249E-3</v>
      </c>
      <c r="AD68" s="324">
        <f t="shared" ref="AD68:AD99" si="19">AA68/AA$99</f>
        <v>4.4274391910358018E-3</v>
      </c>
      <c r="AE68" s="324">
        <f t="shared" ref="AE68:AE99" si="20">AB68/AB$99</f>
        <v>8.6362321098671178E-3</v>
      </c>
    </row>
    <row r="69" spans="2:31" ht="30">
      <c r="B69" s="315" t="s">
        <v>270</v>
      </c>
      <c r="C69" s="316" t="s">
        <v>549</v>
      </c>
      <c r="D69" s="313">
        <v>2</v>
      </c>
      <c r="E69" s="327" t="s">
        <v>513</v>
      </c>
      <c r="F69" s="327">
        <v>2016</v>
      </c>
      <c r="G69" s="327" t="s">
        <v>691</v>
      </c>
      <c r="H69" s="311">
        <v>103</v>
      </c>
      <c r="I69" s="311">
        <v>52</v>
      </c>
      <c r="J69" s="311">
        <v>176</v>
      </c>
      <c r="K69" s="324">
        <f t="shared" ref="K69:K94" si="21">H69/H$99</f>
        <v>1.7673301304049416E-2</v>
      </c>
      <c r="L69" s="324">
        <f t="shared" si="14"/>
        <v>1.5643802647412757E-2</v>
      </c>
      <c r="M69" s="324">
        <f t="shared" si="14"/>
        <v>1.8873994638069706E-2</v>
      </c>
      <c r="N69" s="311">
        <v>1644</v>
      </c>
      <c r="O69" s="311">
        <v>765</v>
      </c>
      <c r="P69" s="311">
        <v>3050</v>
      </c>
      <c r="Q69" s="324">
        <f t="shared" ref="Q69:Q94" si="22">N69/N$99</f>
        <v>1.7574241549611954E-2</v>
      </c>
      <c r="R69" s="324">
        <f t="shared" si="15"/>
        <v>1.5213284279606245E-2</v>
      </c>
      <c r="S69" s="324">
        <f t="shared" si="16"/>
        <v>1.8672478603176158E-2</v>
      </c>
      <c r="T69" s="311">
        <v>37</v>
      </c>
      <c r="U69" s="311">
        <v>15</v>
      </c>
      <c r="V69" s="311">
        <v>72</v>
      </c>
      <c r="W69" s="324">
        <f t="shared" ref="W69:W94" si="23">T69/T$99</f>
        <v>3.8610038610038611E-3</v>
      </c>
      <c r="X69" s="324">
        <f t="shared" si="17"/>
        <v>3.2608695652173911E-3</v>
      </c>
      <c r="Y69" s="324">
        <f t="shared" si="18"/>
        <v>4.3993645362336549E-3</v>
      </c>
      <c r="Z69" s="311">
        <v>1681</v>
      </c>
      <c r="AA69" s="311">
        <v>780</v>
      </c>
      <c r="AB69" s="311">
        <v>3122</v>
      </c>
      <c r="AC69" s="324">
        <f t="shared" ref="AC69:AC99" si="24">Z69/Z$99</f>
        <v>1.6299973819197316E-2</v>
      </c>
      <c r="AD69" s="324">
        <f t="shared" si="19"/>
        <v>1.4211533205793932E-2</v>
      </c>
      <c r="AE69" s="324">
        <f t="shared" si="20"/>
        <v>1.7372626705544549E-2</v>
      </c>
    </row>
    <row r="70" spans="2:31">
      <c r="B70" s="315" t="s">
        <v>268</v>
      </c>
      <c r="C70" s="316" t="s">
        <v>547</v>
      </c>
      <c r="D70" s="313">
        <v>3</v>
      </c>
      <c r="E70" s="327" t="s">
        <v>513</v>
      </c>
      <c r="F70" s="327">
        <v>2016</v>
      </c>
      <c r="G70" s="327" t="s">
        <v>691</v>
      </c>
      <c r="H70" s="311">
        <v>52</v>
      </c>
      <c r="I70" s="311">
        <v>31</v>
      </c>
      <c r="J70" s="311">
        <v>88</v>
      </c>
      <c r="K70" s="324">
        <f t="shared" si="21"/>
        <v>8.9224433768016476E-3</v>
      </c>
      <c r="L70" s="324">
        <f t="shared" si="14"/>
        <v>9.3261131167268353E-3</v>
      </c>
      <c r="M70" s="324">
        <f t="shared" si="14"/>
        <v>9.4369973190348531E-3</v>
      </c>
      <c r="N70" s="311">
        <v>918</v>
      </c>
      <c r="O70" s="311">
        <v>495</v>
      </c>
      <c r="P70" s="311">
        <v>1787</v>
      </c>
      <c r="Q70" s="324">
        <f t="shared" si="22"/>
        <v>9.8133538579949966E-3</v>
      </c>
      <c r="R70" s="324">
        <f t="shared" si="15"/>
        <v>9.8438898279805103E-3</v>
      </c>
      <c r="S70" s="324">
        <f t="shared" si="16"/>
        <v>1.0940235824221572E-2</v>
      </c>
      <c r="T70" s="311">
        <v>31</v>
      </c>
      <c r="U70" s="311">
        <v>16</v>
      </c>
      <c r="V70" s="311">
        <v>58</v>
      </c>
      <c r="W70" s="324">
        <f t="shared" si="23"/>
        <v>3.2348951267870186E-3</v>
      </c>
      <c r="X70" s="324">
        <f t="shared" si="17"/>
        <v>3.4782608695652175E-3</v>
      </c>
      <c r="Y70" s="324">
        <f t="shared" si="18"/>
        <v>3.5439325430771111E-3</v>
      </c>
      <c r="Z70" s="311">
        <v>949</v>
      </c>
      <c r="AA70" s="311">
        <v>511</v>
      </c>
      <c r="AB70" s="311">
        <v>1845</v>
      </c>
      <c r="AC70" s="324">
        <f t="shared" si="24"/>
        <v>9.2020673137526779E-3</v>
      </c>
      <c r="AD70" s="324">
        <f t="shared" si="19"/>
        <v>9.310376241231667E-3</v>
      </c>
      <c r="AE70" s="324">
        <f t="shared" si="20"/>
        <v>1.0266654795557236E-2</v>
      </c>
    </row>
    <row r="71" spans="2:31">
      <c r="B71" s="315" t="s">
        <v>271</v>
      </c>
      <c r="C71" s="316" t="s">
        <v>550</v>
      </c>
      <c r="D71" s="313">
        <v>4</v>
      </c>
      <c r="E71" s="327" t="s">
        <v>513</v>
      </c>
      <c r="F71" s="327">
        <v>2016</v>
      </c>
      <c r="G71" s="327" t="s">
        <v>691</v>
      </c>
      <c r="H71" s="311">
        <v>1</v>
      </c>
      <c r="I71" s="311">
        <v>0</v>
      </c>
      <c r="J71" s="311">
        <v>4</v>
      </c>
      <c r="K71" s="324">
        <f t="shared" si="21"/>
        <v>1.7158544955387783E-4</v>
      </c>
      <c r="L71" s="324">
        <f t="shared" si="14"/>
        <v>0</v>
      </c>
      <c r="M71" s="324">
        <f t="shared" si="14"/>
        <v>4.2895442359249328E-4</v>
      </c>
      <c r="N71" s="311">
        <v>17</v>
      </c>
      <c r="O71" s="311">
        <v>0</v>
      </c>
      <c r="P71" s="311">
        <v>98</v>
      </c>
      <c r="Q71" s="324">
        <f t="shared" si="22"/>
        <v>1.817287751480555E-4</v>
      </c>
      <c r="R71" s="324">
        <f t="shared" si="15"/>
        <v>0</v>
      </c>
      <c r="S71" s="324">
        <f t="shared" si="16"/>
        <v>5.999681649545126E-4</v>
      </c>
      <c r="T71" s="311">
        <v>0</v>
      </c>
      <c r="U71" s="311">
        <v>0</v>
      </c>
      <c r="V71" s="311">
        <v>0</v>
      </c>
      <c r="W71" s="324">
        <f t="shared" si="23"/>
        <v>0</v>
      </c>
      <c r="X71" s="324">
        <f t="shared" si="17"/>
        <v>0</v>
      </c>
      <c r="Y71" s="324">
        <f t="shared" si="18"/>
        <v>0</v>
      </c>
      <c r="Z71" s="311">
        <v>17</v>
      </c>
      <c r="AA71" s="311">
        <v>0</v>
      </c>
      <c r="AB71" s="311">
        <v>98</v>
      </c>
      <c r="AC71" s="324">
        <f t="shared" si="24"/>
        <v>1.6484209097344102E-4</v>
      </c>
      <c r="AD71" s="324">
        <f t="shared" si="19"/>
        <v>0</v>
      </c>
      <c r="AE71" s="324">
        <f t="shared" si="20"/>
        <v>5.453290894117123E-4</v>
      </c>
    </row>
    <row r="72" spans="2:31">
      <c r="B72" s="315" t="s">
        <v>260</v>
      </c>
      <c r="C72" s="316" t="s">
        <v>539</v>
      </c>
      <c r="D72" s="313">
        <v>5</v>
      </c>
      <c r="E72" s="327" t="s">
        <v>513</v>
      </c>
      <c r="F72" s="327">
        <v>2016</v>
      </c>
      <c r="G72" s="327" t="s">
        <v>691</v>
      </c>
      <c r="H72" s="311">
        <v>50</v>
      </c>
      <c r="I72" s="311">
        <v>26</v>
      </c>
      <c r="J72" s="311">
        <v>85</v>
      </c>
      <c r="K72" s="324">
        <f t="shared" si="21"/>
        <v>8.579272477693892E-3</v>
      </c>
      <c r="L72" s="324">
        <f t="shared" si="14"/>
        <v>7.8219013237063786E-3</v>
      </c>
      <c r="M72" s="324">
        <f t="shared" si="14"/>
        <v>9.1152815013404824E-3</v>
      </c>
      <c r="N72" s="311">
        <v>841</v>
      </c>
      <c r="O72" s="311">
        <v>402</v>
      </c>
      <c r="P72" s="311">
        <v>1624</v>
      </c>
      <c r="Q72" s="324">
        <f t="shared" si="22"/>
        <v>8.9902294058538043E-3</v>
      </c>
      <c r="R72" s="324">
        <f t="shared" si="15"/>
        <v>7.9944317390872027E-3</v>
      </c>
      <c r="S72" s="324">
        <f t="shared" si="16"/>
        <v>9.9423295906747797E-3</v>
      </c>
      <c r="T72" s="311">
        <v>9</v>
      </c>
      <c r="U72" s="311">
        <v>4</v>
      </c>
      <c r="V72" s="311">
        <v>17</v>
      </c>
      <c r="W72" s="324">
        <f t="shared" si="23"/>
        <v>9.3916310132526352E-4</v>
      </c>
      <c r="X72" s="324">
        <f t="shared" si="17"/>
        <v>8.6956521739130438E-4</v>
      </c>
      <c r="Y72" s="324">
        <f t="shared" si="18"/>
        <v>1.0387388488329464E-3</v>
      </c>
      <c r="Z72" s="311">
        <v>850</v>
      </c>
      <c r="AA72" s="311">
        <v>406</v>
      </c>
      <c r="AB72" s="311">
        <v>1641</v>
      </c>
      <c r="AC72" s="324">
        <f t="shared" si="24"/>
        <v>8.2421045486720523E-3</v>
      </c>
      <c r="AD72" s="324">
        <f t="shared" si="19"/>
        <v>7.3972852327594063E-3</v>
      </c>
      <c r="AE72" s="324">
        <f t="shared" si="20"/>
        <v>9.1314799563736726E-3</v>
      </c>
    </row>
    <row r="73" spans="2:31">
      <c r="B73" s="315" t="s">
        <v>266</v>
      </c>
      <c r="C73" s="316" t="s">
        <v>545</v>
      </c>
      <c r="D73" s="313">
        <v>6</v>
      </c>
      <c r="E73" s="327" t="s">
        <v>513</v>
      </c>
      <c r="F73" s="327">
        <v>2016</v>
      </c>
      <c r="G73" s="327" t="s">
        <v>691</v>
      </c>
      <c r="H73" s="311">
        <v>111</v>
      </c>
      <c r="I73" s="311">
        <v>68</v>
      </c>
      <c r="J73" s="311">
        <v>167</v>
      </c>
      <c r="K73" s="324">
        <f t="shared" si="21"/>
        <v>1.9045984900480439E-2</v>
      </c>
      <c r="L73" s="324">
        <f t="shared" si="14"/>
        <v>2.0457280385078221E-2</v>
      </c>
      <c r="M73" s="324">
        <f t="shared" si="14"/>
        <v>1.7908847184986594E-2</v>
      </c>
      <c r="N73" s="311">
        <v>1909</v>
      </c>
      <c r="O73" s="311">
        <v>1083</v>
      </c>
      <c r="P73" s="311">
        <v>3214</v>
      </c>
      <c r="Q73" s="324">
        <f t="shared" si="22"/>
        <v>2.0407072456331644E-2</v>
      </c>
      <c r="R73" s="324">
        <f t="shared" si="15"/>
        <v>2.1537237744854332E-2</v>
      </c>
      <c r="S73" s="324">
        <f t="shared" si="16"/>
        <v>1.9676506960855138E-2</v>
      </c>
      <c r="T73" s="311">
        <v>56</v>
      </c>
      <c r="U73" s="311">
        <v>25</v>
      </c>
      <c r="V73" s="311">
        <v>104</v>
      </c>
      <c r="W73" s="324">
        <f t="shared" si="23"/>
        <v>5.8436815193571951E-3</v>
      </c>
      <c r="X73" s="324">
        <f t="shared" si="17"/>
        <v>5.434782608695652E-3</v>
      </c>
      <c r="Y73" s="324">
        <f t="shared" si="18"/>
        <v>6.3546376634486127E-3</v>
      </c>
      <c r="Z73" s="311">
        <v>1965</v>
      </c>
      <c r="AA73" s="311">
        <v>1108</v>
      </c>
      <c r="AB73" s="311">
        <v>3318</v>
      </c>
      <c r="AC73" s="324">
        <f t="shared" si="24"/>
        <v>1.9053806397812449E-2</v>
      </c>
      <c r="AD73" s="324">
        <f t="shared" si="19"/>
        <v>2.0187665117973947E-2</v>
      </c>
      <c r="AE73" s="324">
        <f t="shared" si="20"/>
        <v>1.8463284884367975E-2</v>
      </c>
    </row>
    <row r="74" spans="2:31">
      <c r="B74" s="315" t="s">
        <v>277</v>
      </c>
      <c r="C74" s="316" t="s">
        <v>557</v>
      </c>
      <c r="D74" s="313">
        <v>7</v>
      </c>
      <c r="E74" s="327" t="s">
        <v>513</v>
      </c>
      <c r="F74" s="327">
        <v>2016</v>
      </c>
      <c r="G74" s="327" t="s">
        <v>691</v>
      </c>
      <c r="H74" s="311">
        <v>108</v>
      </c>
      <c r="I74" s="311">
        <v>42</v>
      </c>
      <c r="J74" s="311">
        <v>203</v>
      </c>
      <c r="K74" s="324">
        <f t="shared" si="21"/>
        <v>1.8531228551818806E-2</v>
      </c>
      <c r="L74" s="324">
        <f t="shared" si="14"/>
        <v>1.263537906137184E-2</v>
      </c>
      <c r="M74" s="324">
        <f t="shared" si="14"/>
        <v>2.1769436997319036E-2</v>
      </c>
      <c r="N74" s="311">
        <v>1833</v>
      </c>
      <c r="O74" s="311">
        <v>645</v>
      </c>
      <c r="P74" s="311">
        <v>3878</v>
      </c>
      <c r="Q74" s="324">
        <f t="shared" si="22"/>
        <v>1.9594637932140339E-2</v>
      </c>
      <c r="R74" s="324">
        <f t="shared" si="15"/>
        <v>1.2826886745550364E-2</v>
      </c>
      <c r="S74" s="324">
        <f t="shared" si="16"/>
        <v>2.3741597384628572E-2</v>
      </c>
      <c r="T74" s="311">
        <v>24</v>
      </c>
      <c r="U74" s="311">
        <v>6</v>
      </c>
      <c r="V74" s="311">
        <v>48</v>
      </c>
      <c r="W74" s="324">
        <f t="shared" si="23"/>
        <v>2.5044349368673691E-3</v>
      </c>
      <c r="X74" s="324">
        <f t="shared" si="17"/>
        <v>1.3043478260869566E-3</v>
      </c>
      <c r="Y74" s="324">
        <f t="shared" si="18"/>
        <v>2.9329096908224366E-3</v>
      </c>
      <c r="Z74" s="311">
        <v>1857</v>
      </c>
      <c r="AA74" s="311">
        <v>651</v>
      </c>
      <c r="AB74" s="311">
        <v>3926</v>
      </c>
      <c r="AC74" s="324">
        <f t="shared" si="24"/>
        <v>1.8006574290451764E-2</v>
      </c>
      <c r="AD74" s="324">
        <f t="shared" si="19"/>
        <v>1.1861164252528013E-2</v>
      </c>
      <c r="AE74" s="324">
        <f t="shared" si="20"/>
        <v>2.1846551071738596E-2</v>
      </c>
    </row>
    <row r="75" spans="2:31">
      <c r="B75" s="315" t="s">
        <v>258</v>
      </c>
      <c r="C75" s="316" t="s">
        <v>537</v>
      </c>
      <c r="D75" s="313">
        <v>8</v>
      </c>
      <c r="E75" s="327" t="s">
        <v>513</v>
      </c>
      <c r="F75" s="327">
        <v>2016</v>
      </c>
      <c r="G75" s="327" t="s">
        <v>691</v>
      </c>
      <c r="H75" s="311">
        <v>20</v>
      </c>
      <c r="I75" s="311">
        <v>5</v>
      </c>
      <c r="J75" s="311">
        <v>46</v>
      </c>
      <c r="K75" s="324">
        <f t="shared" si="21"/>
        <v>3.4317089910775567E-3</v>
      </c>
      <c r="L75" s="324">
        <f t="shared" si="14"/>
        <v>1.5042117930204573E-3</v>
      </c>
      <c r="M75" s="324">
        <f t="shared" si="14"/>
        <v>4.9329758713136732E-3</v>
      </c>
      <c r="N75" s="311">
        <v>354</v>
      </c>
      <c r="O75" s="311">
        <v>74</v>
      </c>
      <c r="P75" s="311">
        <v>934</v>
      </c>
      <c r="Q75" s="324">
        <f t="shared" si="22"/>
        <v>3.7842344942595088E-3</v>
      </c>
      <c r="R75" s="324">
        <f t="shared" si="15"/>
        <v>1.4716118126677936E-3</v>
      </c>
      <c r="S75" s="324">
        <f t="shared" si="16"/>
        <v>5.7180639394644366E-3</v>
      </c>
      <c r="T75" s="311">
        <v>10</v>
      </c>
      <c r="U75" s="311">
        <v>2</v>
      </c>
      <c r="V75" s="311">
        <v>22</v>
      </c>
      <c r="W75" s="324">
        <f t="shared" si="23"/>
        <v>1.0435145570280705E-3</v>
      </c>
      <c r="X75" s="324">
        <f t="shared" si="17"/>
        <v>4.3478260869565219E-4</v>
      </c>
      <c r="Y75" s="324">
        <f t="shared" si="18"/>
        <v>1.3442502749602835E-3</v>
      </c>
      <c r="Z75" s="311">
        <v>364</v>
      </c>
      <c r="AA75" s="311">
        <v>76</v>
      </c>
      <c r="AB75" s="311">
        <v>956</v>
      </c>
      <c r="AC75" s="324">
        <f t="shared" si="24"/>
        <v>3.5295600655489727E-3</v>
      </c>
      <c r="AD75" s="324">
        <f t="shared" si="19"/>
        <v>1.3847134918465883E-3</v>
      </c>
      <c r="AE75" s="324">
        <f t="shared" si="20"/>
        <v>5.3197409130367043E-3</v>
      </c>
    </row>
    <row r="76" spans="2:31">
      <c r="B76" s="315" t="s">
        <v>269</v>
      </c>
      <c r="C76" s="316" t="s">
        <v>548</v>
      </c>
      <c r="D76" s="313">
        <v>9</v>
      </c>
      <c r="E76" s="327" t="s">
        <v>513</v>
      </c>
      <c r="F76" s="327">
        <v>2016</v>
      </c>
      <c r="G76" s="327" t="s">
        <v>691</v>
      </c>
      <c r="H76" s="311">
        <v>70</v>
      </c>
      <c r="I76" s="311">
        <v>27</v>
      </c>
      <c r="J76" s="311">
        <v>132</v>
      </c>
      <c r="K76" s="324">
        <f t="shared" si="21"/>
        <v>1.2010981468771447E-2</v>
      </c>
      <c r="L76" s="324">
        <f t="shared" si="14"/>
        <v>8.1227436823104685E-3</v>
      </c>
      <c r="M76" s="324">
        <f t="shared" si="14"/>
        <v>1.4155495978552278E-2</v>
      </c>
      <c r="N76" s="311">
        <v>1268</v>
      </c>
      <c r="O76" s="311">
        <v>448</v>
      </c>
      <c r="P76" s="311">
        <v>2663</v>
      </c>
      <c r="Q76" s="324">
        <f t="shared" si="22"/>
        <v>1.3554828640454963E-2</v>
      </c>
      <c r="R76" s="324">
        <f t="shared" si="15"/>
        <v>8.9092174604752904E-3</v>
      </c>
      <c r="S76" s="324">
        <f t="shared" si="16"/>
        <v>1.6303216564019053E-2</v>
      </c>
      <c r="T76" s="311">
        <v>12</v>
      </c>
      <c r="U76" s="311">
        <v>3</v>
      </c>
      <c r="V76" s="311">
        <v>24</v>
      </c>
      <c r="W76" s="324">
        <f t="shared" si="23"/>
        <v>1.2522174684336846E-3</v>
      </c>
      <c r="X76" s="324">
        <f t="shared" si="17"/>
        <v>6.5217391304347831E-4</v>
      </c>
      <c r="Y76" s="324">
        <f t="shared" si="18"/>
        <v>1.4664548454112183E-3</v>
      </c>
      <c r="Z76" s="311">
        <v>1280</v>
      </c>
      <c r="AA76" s="311">
        <v>451</v>
      </c>
      <c r="AB76" s="311">
        <v>2687</v>
      </c>
      <c r="AC76" s="324">
        <f t="shared" si="24"/>
        <v>1.2411639790941443E-2</v>
      </c>
      <c r="AD76" s="324">
        <f t="shared" si="19"/>
        <v>8.2171813792475176E-3</v>
      </c>
      <c r="AE76" s="324">
        <f t="shared" si="20"/>
        <v>1.495203329846195E-2</v>
      </c>
    </row>
    <row r="77" spans="2:31">
      <c r="B77" s="315" t="s">
        <v>273</v>
      </c>
      <c r="C77" s="316" t="s">
        <v>553</v>
      </c>
      <c r="D77" s="313">
        <v>10</v>
      </c>
      <c r="E77" s="327" t="s">
        <v>513</v>
      </c>
      <c r="F77" s="327">
        <v>2016</v>
      </c>
      <c r="G77" s="327" t="s">
        <v>691</v>
      </c>
      <c r="H77" s="311">
        <v>43</v>
      </c>
      <c r="I77" s="311">
        <v>20</v>
      </c>
      <c r="J77" s="311">
        <v>81</v>
      </c>
      <c r="K77" s="324">
        <f t="shared" si="21"/>
        <v>7.3781743308167468E-3</v>
      </c>
      <c r="L77" s="324">
        <f t="shared" si="14"/>
        <v>6.0168471720818293E-3</v>
      </c>
      <c r="M77" s="324">
        <f t="shared" si="14"/>
        <v>8.6863270777479892E-3</v>
      </c>
      <c r="N77" s="311">
        <v>727</v>
      </c>
      <c r="O77" s="311">
        <v>314</v>
      </c>
      <c r="P77" s="311">
        <v>1585</v>
      </c>
      <c r="Q77" s="324">
        <f t="shared" si="22"/>
        <v>7.771577619566844E-3</v>
      </c>
      <c r="R77" s="324">
        <f t="shared" si="15"/>
        <v>6.2444068807795561E-3</v>
      </c>
      <c r="S77" s="324">
        <f t="shared" si="16"/>
        <v>9.7035667495194138E-3</v>
      </c>
      <c r="T77" s="311">
        <v>5</v>
      </c>
      <c r="U77" s="311">
        <v>2</v>
      </c>
      <c r="V77" s="311">
        <v>11</v>
      </c>
      <c r="W77" s="324">
        <f t="shared" si="23"/>
        <v>5.2175727851403527E-4</v>
      </c>
      <c r="X77" s="324">
        <f t="shared" si="17"/>
        <v>4.3478260869565219E-4</v>
      </c>
      <c r="Y77" s="324">
        <f t="shared" si="18"/>
        <v>6.7212513748014173E-4</v>
      </c>
      <c r="Z77" s="311">
        <v>732</v>
      </c>
      <c r="AA77" s="311">
        <v>316</v>
      </c>
      <c r="AB77" s="311">
        <v>1596</v>
      </c>
      <c r="AC77" s="324">
        <f t="shared" si="24"/>
        <v>7.0979065054446377E-3</v>
      </c>
      <c r="AD77" s="324">
        <f t="shared" si="19"/>
        <v>5.757492939783183E-3</v>
      </c>
      <c r="AE77" s="324">
        <f t="shared" si="20"/>
        <v>8.8810737418478867E-3</v>
      </c>
    </row>
    <row r="78" spans="2:31">
      <c r="B78" s="315" t="s">
        <v>278</v>
      </c>
      <c r="C78" s="316" t="s">
        <v>558</v>
      </c>
      <c r="D78" s="313">
        <v>11</v>
      </c>
      <c r="E78" s="327" t="s">
        <v>513</v>
      </c>
      <c r="F78" s="327">
        <v>2016</v>
      </c>
      <c r="G78" s="327" t="s">
        <v>691</v>
      </c>
      <c r="H78" s="311">
        <v>934</v>
      </c>
      <c r="I78" s="311">
        <v>582</v>
      </c>
      <c r="J78" s="311">
        <v>1369</v>
      </c>
      <c r="K78" s="324">
        <f t="shared" si="21"/>
        <v>0.16026080988332189</v>
      </c>
      <c r="L78" s="324">
        <f t="shared" si="14"/>
        <v>0.17509025270758122</v>
      </c>
      <c r="M78" s="324">
        <f t="shared" si="14"/>
        <v>0.14680965147453084</v>
      </c>
      <c r="N78" s="311">
        <v>15561</v>
      </c>
      <c r="O78" s="311">
        <v>8842</v>
      </c>
      <c r="P78" s="311">
        <v>25548</v>
      </c>
      <c r="Q78" s="324">
        <f t="shared" si="22"/>
        <v>0.1663459688281701</v>
      </c>
      <c r="R78" s="324">
        <f t="shared" si="15"/>
        <v>0.17583772496768421</v>
      </c>
      <c r="S78" s="324">
        <f t="shared" si="16"/>
        <v>0.15640802732916212</v>
      </c>
      <c r="T78" s="311">
        <v>196</v>
      </c>
      <c r="U78" s="311">
        <v>93</v>
      </c>
      <c r="V78" s="311">
        <v>338</v>
      </c>
      <c r="W78" s="324">
        <f t="shared" si="23"/>
        <v>2.0452885317750184E-2</v>
      </c>
      <c r="X78" s="324">
        <f t="shared" si="17"/>
        <v>2.0217391304347826E-2</v>
      </c>
      <c r="Y78" s="324">
        <f t="shared" si="18"/>
        <v>2.0652572406207992E-2</v>
      </c>
      <c r="Z78" s="311">
        <v>15757</v>
      </c>
      <c r="AA78" s="311">
        <v>8935</v>
      </c>
      <c r="AB78" s="311">
        <v>25886</v>
      </c>
      <c r="AC78" s="324">
        <f t="shared" si="24"/>
        <v>0.15278922514520649</v>
      </c>
      <c r="AD78" s="324">
        <f t="shared" si="19"/>
        <v>0.16279493486380614</v>
      </c>
      <c r="AE78" s="324">
        <f t="shared" si="20"/>
        <v>0.14404478376032229</v>
      </c>
    </row>
    <row r="79" spans="2:31">
      <c r="B79" s="315" t="s">
        <v>256</v>
      </c>
      <c r="C79" s="316" t="s">
        <v>535</v>
      </c>
      <c r="D79" s="313">
        <v>12</v>
      </c>
      <c r="E79" s="327" t="s">
        <v>513</v>
      </c>
      <c r="F79" s="327">
        <v>2016</v>
      </c>
      <c r="G79" s="327" t="s">
        <v>691</v>
      </c>
      <c r="H79" s="311">
        <v>1</v>
      </c>
      <c r="I79" s="311">
        <v>0</v>
      </c>
      <c r="J79" s="311">
        <v>12</v>
      </c>
      <c r="K79" s="324">
        <f t="shared" si="21"/>
        <v>1.7158544955387783E-4</v>
      </c>
      <c r="L79" s="324">
        <f t="shared" si="14"/>
        <v>0</v>
      </c>
      <c r="M79" s="324">
        <f t="shared" si="14"/>
        <v>1.2868632707774799E-3</v>
      </c>
      <c r="N79" s="311">
        <v>36</v>
      </c>
      <c r="O79" s="311">
        <v>0</v>
      </c>
      <c r="P79" s="311">
        <v>429</v>
      </c>
      <c r="Q79" s="324">
        <f t="shared" si="22"/>
        <v>3.8483740619588223E-4</v>
      </c>
      <c r="R79" s="324">
        <f t="shared" si="15"/>
        <v>0</v>
      </c>
      <c r="S79" s="324">
        <f t="shared" si="16"/>
        <v>2.6263912527090399E-3</v>
      </c>
      <c r="T79" s="311">
        <v>1</v>
      </c>
      <c r="U79" s="311">
        <v>0</v>
      </c>
      <c r="V79" s="311">
        <v>12</v>
      </c>
      <c r="W79" s="324">
        <f t="shared" si="23"/>
        <v>1.0435145570280705E-4</v>
      </c>
      <c r="X79" s="324">
        <f t="shared" si="17"/>
        <v>0</v>
      </c>
      <c r="Y79" s="324">
        <f t="shared" si="18"/>
        <v>7.3322742270560915E-4</v>
      </c>
      <c r="Z79" s="311">
        <v>37</v>
      </c>
      <c r="AA79" s="311">
        <v>0</v>
      </c>
      <c r="AB79" s="311">
        <v>441</v>
      </c>
      <c r="AC79" s="324">
        <f t="shared" si="24"/>
        <v>3.5877396270690107E-4</v>
      </c>
      <c r="AD79" s="324">
        <f t="shared" si="19"/>
        <v>0</v>
      </c>
      <c r="AE79" s="324">
        <f t="shared" si="20"/>
        <v>2.4539809023527057E-3</v>
      </c>
    </row>
    <row r="80" spans="2:31">
      <c r="B80" s="315" t="s">
        <v>265</v>
      </c>
      <c r="C80" s="316" t="s">
        <v>544</v>
      </c>
      <c r="D80" s="313">
        <v>13</v>
      </c>
      <c r="E80" s="327" t="s">
        <v>513</v>
      </c>
      <c r="F80" s="327">
        <v>2016</v>
      </c>
      <c r="G80" s="327" t="s">
        <v>691</v>
      </c>
      <c r="H80" s="311">
        <v>24</v>
      </c>
      <c r="I80" s="311">
        <v>9</v>
      </c>
      <c r="J80" s="311">
        <v>45</v>
      </c>
      <c r="K80" s="324">
        <f t="shared" si="21"/>
        <v>4.1180507892930682E-3</v>
      </c>
      <c r="L80" s="324">
        <f t="shared" si="14"/>
        <v>2.707581227436823E-3</v>
      </c>
      <c r="M80" s="324">
        <f t="shared" si="14"/>
        <v>4.8257372654155499E-3</v>
      </c>
      <c r="N80" s="311">
        <v>462</v>
      </c>
      <c r="O80" s="311">
        <v>160</v>
      </c>
      <c r="P80" s="311">
        <v>934</v>
      </c>
      <c r="Q80" s="324">
        <f t="shared" si="22"/>
        <v>4.9387467128471554E-3</v>
      </c>
      <c r="R80" s="324">
        <f t="shared" si="15"/>
        <v>3.1818633787411752E-3</v>
      </c>
      <c r="S80" s="324">
        <f t="shared" si="16"/>
        <v>5.7180639394644366E-3</v>
      </c>
      <c r="T80" s="311">
        <v>20</v>
      </c>
      <c r="U80" s="311">
        <v>6</v>
      </c>
      <c r="V80" s="311">
        <v>38</v>
      </c>
      <c r="W80" s="324">
        <f t="shared" si="23"/>
        <v>2.0870291140561411E-3</v>
      </c>
      <c r="X80" s="324">
        <f t="shared" si="17"/>
        <v>1.3043478260869566E-3</v>
      </c>
      <c r="Y80" s="324">
        <f t="shared" si="18"/>
        <v>2.3218868385677625E-3</v>
      </c>
      <c r="Z80" s="311">
        <v>482</v>
      </c>
      <c r="AA80" s="311">
        <v>166</v>
      </c>
      <c r="AB80" s="311">
        <v>972</v>
      </c>
      <c r="AC80" s="324">
        <f t="shared" si="24"/>
        <v>4.6737581087763873E-3</v>
      </c>
      <c r="AD80" s="324">
        <f t="shared" si="19"/>
        <v>3.0245057848228112E-3</v>
      </c>
      <c r="AE80" s="324">
        <f t="shared" si="20"/>
        <v>5.4087742337569833E-3</v>
      </c>
    </row>
    <row r="81" spans="2:31">
      <c r="B81" s="315" t="s">
        <v>255</v>
      </c>
      <c r="C81" s="316" t="s">
        <v>534</v>
      </c>
      <c r="D81" s="313">
        <v>14</v>
      </c>
      <c r="E81" s="327" t="s">
        <v>513</v>
      </c>
      <c r="F81" s="327">
        <v>2016</v>
      </c>
      <c r="G81" s="327" t="s">
        <v>691</v>
      </c>
      <c r="H81" s="311">
        <v>59</v>
      </c>
      <c r="I81" s="311">
        <v>30</v>
      </c>
      <c r="J81" s="311">
        <v>98</v>
      </c>
      <c r="K81" s="324">
        <f t="shared" si="21"/>
        <v>1.0123541523678793E-2</v>
      </c>
      <c r="L81" s="324">
        <f t="shared" si="14"/>
        <v>9.0252707581227436E-3</v>
      </c>
      <c r="M81" s="324">
        <f t="shared" si="14"/>
        <v>1.0509383378016086E-2</v>
      </c>
      <c r="N81" s="311">
        <v>871</v>
      </c>
      <c r="O81" s="311">
        <v>419</v>
      </c>
      <c r="P81" s="311">
        <v>1581</v>
      </c>
      <c r="Q81" s="324">
        <f t="shared" si="22"/>
        <v>9.3109272443503734E-3</v>
      </c>
      <c r="R81" s="324">
        <f t="shared" si="15"/>
        <v>8.3325047230784523E-3</v>
      </c>
      <c r="S81" s="324">
        <f t="shared" si="16"/>
        <v>9.6790782529906569E-3</v>
      </c>
      <c r="T81" s="311">
        <v>49</v>
      </c>
      <c r="U81" s="311">
        <v>22</v>
      </c>
      <c r="V81" s="311">
        <v>87</v>
      </c>
      <c r="W81" s="324">
        <f t="shared" si="23"/>
        <v>5.1132213294375461E-3</v>
      </c>
      <c r="X81" s="324">
        <f t="shared" si="17"/>
        <v>4.7826086956521737E-3</v>
      </c>
      <c r="Y81" s="324">
        <f t="shared" si="18"/>
        <v>5.3158988146156669E-3</v>
      </c>
      <c r="Z81" s="311">
        <v>920</v>
      </c>
      <c r="AA81" s="311">
        <v>441</v>
      </c>
      <c r="AB81" s="311">
        <v>1668</v>
      </c>
      <c r="AC81" s="324">
        <f t="shared" si="24"/>
        <v>8.9208660997391609E-3</v>
      </c>
      <c r="AD81" s="324">
        <f t="shared" si="19"/>
        <v>8.0349822355834932E-3</v>
      </c>
      <c r="AE81" s="324">
        <f t="shared" si="20"/>
        <v>9.2817236850891438E-3</v>
      </c>
    </row>
    <row r="82" spans="2:31">
      <c r="B82" s="315" t="s">
        <v>267</v>
      </c>
      <c r="C82" s="316" t="s">
        <v>546</v>
      </c>
      <c r="D82" s="313">
        <v>15</v>
      </c>
      <c r="E82" s="327" t="s">
        <v>513</v>
      </c>
      <c r="F82" s="327">
        <v>2016</v>
      </c>
      <c r="G82" s="327" t="s">
        <v>691</v>
      </c>
      <c r="H82" s="311">
        <v>29</v>
      </c>
      <c r="I82" s="311">
        <v>8</v>
      </c>
      <c r="J82" s="311">
        <v>60</v>
      </c>
      <c r="K82" s="324">
        <f t="shared" si="21"/>
        <v>4.9759780370624571E-3</v>
      </c>
      <c r="L82" s="324">
        <f t="shared" si="14"/>
        <v>2.4067388688327317E-3</v>
      </c>
      <c r="M82" s="324">
        <f t="shared" si="14"/>
        <v>6.4343163538873992E-3</v>
      </c>
      <c r="N82" s="311">
        <v>569</v>
      </c>
      <c r="O82" s="311">
        <v>141</v>
      </c>
      <c r="P82" s="311">
        <v>1349</v>
      </c>
      <c r="Q82" s="324">
        <f t="shared" si="22"/>
        <v>6.0825690034849167E-3</v>
      </c>
      <c r="R82" s="324">
        <f t="shared" si="15"/>
        <v>2.8040171025156607E-3</v>
      </c>
      <c r="S82" s="324">
        <f t="shared" si="16"/>
        <v>8.2587454543228325E-3</v>
      </c>
      <c r="T82" s="311">
        <v>12</v>
      </c>
      <c r="U82" s="311">
        <v>2</v>
      </c>
      <c r="V82" s="311">
        <v>26</v>
      </c>
      <c r="W82" s="324">
        <f t="shared" si="23"/>
        <v>1.2522174684336846E-3</v>
      </c>
      <c r="X82" s="324">
        <f t="shared" si="17"/>
        <v>4.3478260869565219E-4</v>
      </c>
      <c r="Y82" s="324">
        <f t="shared" si="18"/>
        <v>1.5886594158621532E-3</v>
      </c>
      <c r="Z82" s="311">
        <v>581</v>
      </c>
      <c r="AA82" s="311">
        <v>143</v>
      </c>
      <c r="AB82" s="311">
        <v>1375</v>
      </c>
      <c r="AC82" s="324">
        <f t="shared" si="24"/>
        <v>5.6337208738570137E-3</v>
      </c>
      <c r="AD82" s="324">
        <f t="shared" si="19"/>
        <v>2.6054477543955542E-3</v>
      </c>
      <c r="AE82" s="324">
        <f t="shared" si="20"/>
        <v>7.6513009993990251E-3</v>
      </c>
    </row>
    <row r="83" spans="2:31">
      <c r="B83" s="315" t="s">
        <v>263</v>
      </c>
      <c r="C83" s="316" t="s">
        <v>542</v>
      </c>
      <c r="D83" s="313">
        <v>16</v>
      </c>
      <c r="E83" s="327" t="s">
        <v>513</v>
      </c>
      <c r="F83" s="327">
        <v>2016</v>
      </c>
      <c r="G83" s="327" t="s">
        <v>691</v>
      </c>
      <c r="H83" s="311">
        <v>2178</v>
      </c>
      <c r="I83" s="311">
        <v>1336</v>
      </c>
      <c r="J83" s="311">
        <v>3354</v>
      </c>
      <c r="K83" s="324">
        <f t="shared" si="21"/>
        <v>0.37371310912834593</v>
      </c>
      <c r="L83" s="324">
        <f t="shared" si="14"/>
        <v>0.4019253910950662</v>
      </c>
      <c r="M83" s="324">
        <f t="shared" si="14"/>
        <v>0.35967828418230563</v>
      </c>
      <c r="N83" s="311">
        <v>35549</v>
      </c>
      <c r="O83" s="311">
        <v>21030</v>
      </c>
      <c r="P83" s="311">
        <v>58106</v>
      </c>
      <c r="Q83" s="324">
        <f t="shared" si="22"/>
        <v>0.38001624869048384</v>
      </c>
      <c r="R83" s="324">
        <f t="shared" si="15"/>
        <v>0.41821616784329324</v>
      </c>
      <c r="S83" s="324">
        <f t="shared" si="16"/>
        <v>0.35573214482496845</v>
      </c>
      <c r="T83" s="311">
        <v>1540</v>
      </c>
      <c r="U83" s="311">
        <v>905</v>
      </c>
      <c r="V83" s="311">
        <v>2425</v>
      </c>
      <c r="W83" s="324">
        <f t="shared" si="23"/>
        <v>0.16070124178232287</v>
      </c>
      <c r="X83" s="324">
        <f t="shared" si="17"/>
        <v>0.19673913043478261</v>
      </c>
      <c r="Y83" s="324">
        <f t="shared" si="18"/>
        <v>0.14817304167175852</v>
      </c>
      <c r="Z83" s="311">
        <v>37089</v>
      </c>
      <c r="AA83" s="311">
        <v>21935</v>
      </c>
      <c r="AB83" s="311">
        <v>60531</v>
      </c>
      <c r="AC83" s="324">
        <f t="shared" si="24"/>
        <v>0.35963695953611496</v>
      </c>
      <c r="AD83" s="324">
        <f t="shared" si="19"/>
        <v>0.39965382162703833</v>
      </c>
      <c r="AE83" s="324">
        <f t="shared" si="20"/>
        <v>0.33682974603245264</v>
      </c>
    </row>
    <row r="84" spans="2:31">
      <c r="B84" s="315" t="s">
        <v>264</v>
      </c>
      <c r="C84" s="316" t="s">
        <v>543</v>
      </c>
      <c r="D84" s="313">
        <v>17</v>
      </c>
      <c r="E84" s="327" t="s">
        <v>513</v>
      </c>
      <c r="F84" s="327">
        <v>2016</v>
      </c>
      <c r="G84" s="327" t="s">
        <v>691</v>
      </c>
      <c r="H84" s="311">
        <v>387</v>
      </c>
      <c r="I84" s="311">
        <v>223</v>
      </c>
      <c r="J84" s="311">
        <v>636</v>
      </c>
      <c r="K84" s="324">
        <f t="shared" si="21"/>
        <v>6.6403568977350724E-2</v>
      </c>
      <c r="L84" s="324">
        <f t="shared" ref="L84:L94" si="25">I84/I$99</f>
        <v>6.7087845968712395E-2</v>
      </c>
      <c r="M84" s="324">
        <f t="shared" ref="M84:M94" si="26">J84/J$99</f>
        <v>6.8203753351206431E-2</v>
      </c>
      <c r="N84" s="311">
        <v>5178</v>
      </c>
      <c r="O84" s="311">
        <v>2814</v>
      </c>
      <c r="P84" s="311">
        <v>9243</v>
      </c>
      <c r="Q84" s="324">
        <f t="shared" si="22"/>
        <v>5.5352446924507727E-2</v>
      </c>
      <c r="R84" s="324">
        <f t="shared" si="15"/>
        <v>5.5961022173610424E-2</v>
      </c>
      <c r="S84" s="324">
        <f t="shared" si="16"/>
        <v>5.6586793353822044E-2</v>
      </c>
      <c r="T84" s="311">
        <v>1713</v>
      </c>
      <c r="U84" s="311">
        <v>964</v>
      </c>
      <c r="V84" s="311">
        <v>2750</v>
      </c>
      <c r="W84" s="324">
        <f t="shared" si="23"/>
        <v>0.17875404361890848</v>
      </c>
      <c r="X84" s="324">
        <f t="shared" si="17"/>
        <v>0.20956521739130435</v>
      </c>
      <c r="Y84" s="324">
        <f t="shared" si="18"/>
        <v>0.16803128437003545</v>
      </c>
      <c r="Z84" s="311">
        <v>6891</v>
      </c>
      <c r="AA84" s="311">
        <v>3778</v>
      </c>
      <c r="AB84" s="311">
        <v>11993</v>
      </c>
      <c r="AC84" s="324">
        <f t="shared" si="24"/>
        <v>6.6819226405763654E-2</v>
      </c>
      <c r="AD84" s="324">
        <f t="shared" si="19"/>
        <v>6.8834836476268563E-2</v>
      </c>
      <c r="AE84" s="324">
        <f t="shared" si="20"/>
        <v>6.6736038462394551E-2</v>
      </c>
    </row>
    <row r="85" spans="2:31">
      <c r="B85" s="315" t="s">
        <v>261</v>
      </c>
      <c r="C85" s="316" t="s">
        <v>540</v>
      </c>
      <c r="D85" s="313">
        <v>18</v>
      </c>
      <c r="E85" s="327" t="s">
        <v>513</v>
      </c>
      <c r="F85" s="327">
        <v>2016</v>
      </c>
      <c r="G85" s="327" t="s">
        <v>691</v>
      </c>
      <c r="H85" s="311">
        <v>694</v>
      </c>
      <c r="I85" s="311">
        <v>411</v>
      </c>
      <c r="J85" s="311">
        <v>1100</v>
      </c>
      <c r="K85" s="324">
        <f t="shared" si="21"/>
        <v>0.11908030199039121</v>
      </c>
      <c r="L85" s="324">
        <f t="shared" si="25"/>
        <v>0.12364620938628158</v>
      </c>
      <c r="M85" s="324">
        <f t="shared" si="26"/>
        <v>0.11796246648793565</v>
      </c>
      <c r="N85" s="311">
        <v>11879</v>
      </c>
      <c r="O85" s="311">
        <v>6686</v>
      </c>
      <c r="P85" s="311">
        <v>20250</v>
      </c>
      <c r="Q85" s="324">
        <f t="shared" si="22"/>
        <v>0.12698565411669124</v>
      </c>
      <c r="R85" s="324">
        <f t="shared" si="15"/>
        <v>0.13296211593914686</v>
      </c>
      <c r="S85" s="324">
        <f t="shared" si="16"/>
        <v>0.12397301367682531</v>
      </c>
      <c r="T85" s="311">
        <v>562</v>
      </c>
      <c r="U85" s="311">
        <v>286</v>
      </c>
      <c r="V85" s="311">
        <v>960</v>
      </c>
      <c r="W85" s="324">
        <f t="shared" si="23"/>
        <v>5.8645518104977562E-2</v>
      </c>
      <c r="X85" s="324">
        <f t="shared" si="17"/>
        <v>6.217391304347826E-2</v>
      </c>
      <c r="Y85" s="324">
        <f t="shared" si="18"/>
        <v>5.8658193816448732E-2</v>
      </c>
      <c r="Z85" s="311">
        <v>12441</v>
      </c>
      <c r="AA85" s="311">
        <v>6972</v>
      </c>
      <c r="AB85" s="311">
        <v>21210</v>
      </c>
      <c r="AC85" s="324">
        <f t="shared" si="24"/>
        <v>0.12063532081179881</v>
      </c>
      <c r="AD85" s="324">
        <f t="shared" si="19"/>
        <v>0.12702924296255808</v>
      </c>
      <c r="AE85" s="324">
        <f t="shared" si="20"/>
        <v>0.1180247957798206</v>
      </c>
    </row>
    <row r="86" spans="2:31">
      <c r="B86" s="315" t="s">
        <v>262</v>
      </c>
      <c r="C86" s="316" t="s">
        <v>541</v>
      </c>
      <c r="D86" s="313">
        <v>19</v>
      </c>
      <c r="E86" s="327" t="s">
        <v>513</v>
      </c>
      <c r="F86" s="327">
        <v>2016</v>
      </c>
      <c r="G86" s="327" t="s">
        <v>691</v>
      </c>
      <c r="H86" s="311">
        <v>173</v>
      </c>
      <c r="I86" s="311">
        <v>55</v>
      </c>
      <c r="J86" s="311">
        <v>334</v>
      </c>
      <c r="K86" s="324">
        <f t="shared" si="21"/>
        <v>2.9684282772820866E-2</v>
      </c>
      <c r="L86" s="324">
        <f t="shared" si="25"/>
        <v>1.654632972322503E-2</v>
      </c>
      <c r="M86" s="324">
        <f t="shared" si="26"/>
        <v>3.5817694369973188E-2</v>
      </c>
      <c r="N86" s="311">
        <v>2329</v>
      </c>
      <c r="O86" s="311">
        <v>774</v>
      </c>
      <c r="P86" s="311">
        <v>4779</v>
      </c>
      <c r="Q86" s="324">
        <f t="shared" si="22"/>
        <v>2.4896842195283604E-2</v>
      </c>
      <c r="R86" s="324">
        <f t="shared" si="15"/>
        <v>1.5392264094660435E-2</v>
      </c>
      <c r="S86" s="324">
        <f t="shared" si="16"/>
        <v>2.9257631227730774E-2</v>
      </c>
      <c r="T86" s="311">
        <v>212</v>
      </c>
      <c r="U86" s="311">
        <v>94</v>
      </c>
      <c r="V86" s="311">
        <v>400</v>
      </c>
      <c r="W86" s="324">
        <f t="shared" si="23"/>
        <v>2.2122508608995096E-2</v>
      </c>
      <c r="X86" s="324">
        <f t="shared" si="17"/>
        <v>2.0434782608695651E-2</v>
      </c>
      <c r="Y86" s="324">
        <f t="shared" si="18"/>
        <v>2.4440914090186974E-2</v>
      </c>
      <c r="Z86" s="311">
        <v>2541</v>
      </c>
      <c r="AA86" s="311">
        <v>868</v>
      </c>
      <c r="AB86" s="311">
        <v>5179</v>
      </c>
      <c r="AC86" s="324">
        <f t="shared" si="24"/>
        <v>2.4639044303736098E-2</v>
      </c>
      <c r="AD86" s="324">
        <f t="shared" si="19"/>
        <v>1.5814885670037349E-2</v>
      </c>
      <c r="AE86" s="324">
        <f t="shared" si="20"/>
        <v>2.8818973000645492E-2</v>
      </c>
    </row>
    <row r="87" spans="2:31">
      <c r="B87" s="315" t="s">
        <v>254</v>
      </c>
      <c r="C87" s="316" t="s">
        <v>533</v>
      </c>
      <c r="D87" s="313">
        <v>20</v>
      </c>
      <c r="E87" s="327" t="s">
        <v>513</v>
      </c>
      <c r="F87" s="327">
        <v>2016</v>
      </c>
      <c r="G87" s="327" t="s">
        <v>691</v>
      </c>
      <c r="H87" s="311">
        <v>6</v>
      </c>
      <c r="I87" s="311">
        <v>1</v>
      </c>
      <c r="J87" s="311">
        <v>14</v>
      </c>
      <c r="K87" s="324">
        <f t="shared" si="21"/>
        <v>1.0295126973232671E-3</v>
      </c>
      <c r="L87" s="324">
        <f t="shared" si="25"/>
        <v>3.0084235860409147E-4</v>
      </c>
      <c r="M87" s="324">
        <f t="shared" si="26"/>
        <v>1.5013404825737265E-3</v>
      </c>
      <c r="N87" s="311">
        <v>42</v>
      </c>
      <c r="O87" s="311">
        <v>6</v>
      </c>
      <c r="P87" s="311">
        <v>110</v>
      </c>
      <c r="Q87" s="324">
        <f t="shared" si="22"/>
        <v>4.4897697389519595E-4</v>
      </c>
      <c r="R87" s="324">
        <f t="shared" si="15"/>
        <v>1.1931987670279408E-4</v>
      </c>
      <c r="S87" s="324">
        <f t="shared" si="16"/>
        <v>6.7343365454077952E-4</v>
      </c>
      <c r="T87" s="311">
        <v>369</v>
      </c>
      <c r="U87" s="311">
        <v>174</v>
      </c>
      <c r="V87" s="311">
        <v>663</v>
      </c>
      <c r="W87" s="324">
        <f t="shared" si="23"/>
        <v>3.8505687154335805E-2</v>
      </c>
      <c r="X87" s="324">
        <f t="shared" si="17"/>
        <v>3.7826086956521739E-2</v>
      </c>
      <c r="Y87" s="324">
        <f t="shared" si="18"/>
        <v>4.0510815104484905E-2</v>
      </c>
      <c r="Z87" s="311">
        <v>411</v>
      </c>
      <c r="AA87" s="311">
        <v>180</v>
      </c>
      <c r="AB87" s="311">
        <v>773</v>
      </c>
      <c r="AC87" s="324">
        <f t="shared" si="24"/>
        <v>3.9852999641226041E-3</v>
      </c>
      <c r="AD87" s="324">
        <f t="shared" si="19"/>
        <v>3.2795845859524462E-3</v>
      </c>
      <c r="AE87" s="324">
        <f t="shared" si="20"/>
        <v>4.3014223072985061E-3</v>
      </c>
    </row>
    <row r="88" spans="2:31">
      <c r="B88" s="313" t="s">
        <v>252</v>
      </c>
      <c r="C88" s="316" t="s">
        <v>531</v>
      </c>
      <c r="D88" s="313">
        <v>21</v>
      </c>
      <c r="E88" s="327" t="s">
        <v>513</v>
      </c>
      <c r="F88" s="327">
        <v>2016</v>
      </c>
      <c r="G88" s="327" t="s">
        <v>691</v>
      </c>
      <c r="H88" s="311">
        <v>26</v>
      </c>
      <c r="I88" s="311">
        <v>12</v>
      </c>
      <c r="J88" s="311">
        <v>42</v>
      </c>
      <c r="K88" s="324">
        <f t="shared" si="21"/>
        <v>4.4612216884008238E-3</v>
      </c>
      <c r="L88" s="324">
        <f t="shared" si="25"/>
        <v>3.6101083032490976E-3</v>
      </c>
      <c r="M88" s="324">
        <f t="shared" si="26"/>
        <v>4.50402144772118E-3</v>
      </c>
      <c r="N88" s="311">
        <v>450</v>
      </c>
      <c r="O88" s="311">
        <v>184</v>
      </c>
      <c r="P88" s="311">
        <v>778</v>
      </c>
      <c r="Q88" s="324">
        <f t="shared" si="22"/>
        <v>4.8104675774485279E-3</v>
      </c>
      <c r="R88" s="324">
        <f t="shared" si="15"/>
        <v>3.6591428855523517E-3</v>
      </c>
      <c r="S88" s="324">
        <f t="shared" si="16"/>
        <v>4.7630125748429671E-3</v>
      </c>
      <c r="T88" s="311">
        <v>0</v>
      </c>
      <c r="U88" s="311">
        <v>0</v>
      </c>
      <c r="V88" s="311">
        <v>0</v>
      </c>
      <c r="W88" s="324">
        <f t="shared" si="23"/>
        <v>0</v>
      </c>
      <c r="X88" s="324">
        <f t="shared" si="17"/>
        <v>0</v>
      </c>
      <c r="Y88" s="324">
        <f t="shared" si="18"/>
        <v>0</v>
      </c>
      <c r="Z88" s="311">
        <v>450</v>
      </c>
      <c r="AA88" s="311">
        <v>184</v>
      </c>
      <c r="AB88" s="311">
        <v>778</v>
      </c>
      <c r="AC88" s="324">
        <f t="shared" si="24"/>
        <v>4.3634671140028508E-3</v>
      </c>
      <c r="AD88" s="324">
        <f t="shared" si="19"/>
        <v>3.352464243418056E-3</v>
      </c>
      <c r="AE88" s="324">
        <f t="shared" si="20"/>
        <v>4.3292452200235938E-3</v>
      </c>
    </row>
    <row r="89" spans="2:31" ht="45">
      <c r="B89" s="315" t="s">
        <v>528</v>
      </c>
      <c r="C89" s="316" t="s">
        <v>551</v>
      </c>
      <c r="D89" s="313">
        <v>22</v>
      </c>
      <c r="E89" s="327" t="s">
        <v>513</v>
      </c>
      <c r="F89" s="327">
        <v>2016</v>
      </c>
      <c r="G89" s="327" t="s">
        <v>691</v>
      </c>
      <c r="H89" s="311">
        <v>67</v>
      </c>
      <c r="I89" s="311">
        <v>39</v>
      </c>
      <c r="J89" s="311">
        <v>118</v>
      </c>
      <c r="K89" s="324">
        <f t="shared" si="21"/>
        <v>1.1496225120109815E-2</v>
      </c>
      <c r="L89" s="324">
        <f t="shared" si="25"/>
        <v>1.1732851985559567E-2</v>
      </c>
      <c r="M89" s="324">
        <f t="shared" si="26"/>
        <v>1.2654155495978552E-2</v>
      </c>
      <c r="N89" s="311">
        <v>1324</v>
      </c>
      <c r="O89" s="311">
        <v>724</v>
      </c>
      <c r="P89" s="311">
        <v>2509</v>
      </c>
      <c r="Q89" s="324">
        <f t="shared" si="22"/>
        <v>1.4153464605648558E-2</v>
      </c>
      <c r="R89" s="324">
        <f t="shared" si="15"/>
        <v>1.4397931788803818E-2</v>
      </c>
      <c r="S89" s="324">
        <f t="shared" si="16"/>
        <v>1.5360409447661962E-2</v>
      </c>
      <c r="T89" s="311">
        <v>419</v>
      </c>
      <c r="U89" s="311">
        <v>200</v>
      </c>
      <c r="V89" s="311">
        <v>750</v>
      </c>
      <c r="W89" s="324">
        <f t="shared" si="23"/>
        <v>4.3723259939476157E-2</v>
      </c>
      <c r="X89" s="324">
        <f t="shared" si="17"/>
        <v>4.3478260869565216E-2</v>
      </c>
      <c r="Y89" s="324">
        <f t="shared" si="18"/>
        <v>4.5826713919100572E-2</v>
      </c>
      <c r="Z89" s="311">
        <v>1743</v>
      </c>
      <c r="AA89" s="311">
        <v>924</v>
      </c>
      <c r="AB89" s="311">
        <v>3259</v>
      </c>
      <c r="AC89" s="324">
        <f t="shared" si="24"/>
        <v>1.6901162621571042E-2</v>
      </c>
      <c r="AD89" s="324">
        <f t="shared" si="19"/>
        <v>1.6835200874555891E-2</v>
      </c>
      <c r="AE89" s="324">
        <f t="shared" si="20"/>
        <v>1.8134974514211945E-2</v>
      </c>
    </row>
    <row r="90" spans="2:31">
      <c r="B90" s="315" t="s">
        <v>257</v>
      </c>
      <c r="C90" s="316" t="s">
        <v>536</v>
      </c>
      <c r="D90" s="313">
        <v>23</v>
      </c>
      <c r="E90" s="327" t="s">
        <v>513</v>
      </c>
      <c r="F90" s="327">
        <v>2016</v>
      </c>
      <c r="G90" s="327" t="s">
        <v>691</v>
      </c>
      <c r="H90" s="311">
        <v>564</v>
      </c>
      <c r="I90" s="311">
        <v>314</v>
      </c>
      <c r="J90" s="311">
        <v>876</v>
      </c>
      <c r="K90" s="324">
        <f t="shared" si="21"/>
        <v>9.6774193548387094E-2</v>
      </c>
      <c r="L90" s="324">
        <f t="shared" si="25"/>
        <v>9.4464500601684723E-2</v>
      </c>
      <c r="M90" s="324">
        <f t="shared" si="26"/>
        <v>9.3941018766756035E-2</v>
      </c>
      <c r="N90" s="311">
        <v>7447</v>
      </c>
      <c r="O90" s="311">
        <v>3695</v>
      </c>
      <c r="P90" s="311">
        <v>13228</v>
      </c>
      <c r="Q90" s="324">
        <f t="shared" si="22"/>
        <v>7.96078934427982E-2</v>
      </c>
      <c r="R90" s="324">
        <f t="shared" si="15"/>
        <v>7.3481157402804018E-2</v>
      </c>
      <c r="S90" s="324">
        <f t="shared" si="16"/>
        <v>8.0983458020594826E-2</v>
      </c>
      <c r="T90" s="311">
        <v>1871</v>
      </c>
      <c r="U90" s="311">
        <v>884</v>
      </c>
      <c r="V90" s="311">
        <v>2969</v>
      </c>
      <c r="W90" s="324">
        <f t="shared" si="23"/>
        <v>0.19524157361995201</v>
      </c>
      <c r="X90" s="324">
        <f t="shared" si="17"/>
        <v>0.19217391304347825</v>
      </c>
      <c r="Y90" s="324">
        <f t="shared" si="18"/>
        <v>0.18141268483441281</v>
      </c>
      <c r="Z90" s="311">
        <v>9318</v>
      </c>
      <c r="AA90" s="311">
        <v>4579</v>
      </c>
      <c r="AB90" s="311">
        <v>16197</v>
      </c>
      <c r="AC90" s="324">
        <f t="shared" si="24"/>
        <v>9.035285904061903E-2</v>
      </c>
      <c r="AD90" s="324">
        <f t="shared" si="19"/>
        <v>8.3428987883756953E-2</v>
      </c>
      <c r="AE90" s="324">
        <f t="shared" si="20"/>
        <v>9.0129543481648006E-2</v>
      </c>
    </row>
    <row r="91" spans="2:31">
      <c r="B91" s="315" t="s">
        <v>253</v>
      </c>
      <c r="C91" s="316" t="s">
        <v>532</v>
      </c>
      <c r="D91" s="313">
        <v>24</v>
      </c>
      <c r="E91" s="327" t="s">
        <v>513</v>
      </c>
      <c r="F91" s="327">
        <v>2016</v>
      </c>
      <c r="G91" s="327" t="s">
        <v>691</v>
      </c>
      <c r="H91" s="311">
        <v>8</v>
      </c>
      <c r="I91" s="311">
        <v>2</v>
      </c>
      <c r="J91" s="311">
        <v>32</v>
      </c>
      <c r="K91" s="324">
        <f t="shared" si="21"/>
        <v>1.3726835964310226E-3</v>
      </c>
      <c r="L91" s="324">
        <f t="shared" si="25"/>
        <v>6.0168471720818293E-4</v>
      </c>
      <c r="M91" s="324">
        <f t="shared" si="26"/>
        <v>3.4316353887399462E-3</v>
      </c>
      <c r="N91" s="311">
        <v>101</v>
      </c>
      <c r="O91" s="311">
        <v>24</v>
      </c>
      <c r="P91" s="311">
        <v>471</v>
      </c>
      <c r="Q91" s="324">
        <f t="shared" si="22"/>
        <v>1.0796827229384474E-3</v>
      </c>
      <c r="R91" s="324">
        <f t="shared" si="15"/>
        <v>4.772795068111763E-4</v>
      </c>
      <c r="S91" s="324">
        <f t="shared" si="16"/>
        <v>2.8835204662609739E-3</v>
      </c>
      <c r="T91" s="311">
        <v>682</v>
      </c>
      <c r="U91" s="311">
        <v>376</v>
      </c>
      <c r="V91" s="311">
        <v>1129</v>
      </c>
      <c r="W91" s="324">
        <f t="shared" si="23"/>
        <v>7.116769278931441E-2</v>
      </c>
      <c r="X91" s="324">
        <f t="shared" si="17"/>
        <v>8.1739130434782606E-2</v>
      </c>
      <c r="Y91" s="324">
        <f t="shared" si="18"/>
        <v>6.8984480019552735E-2</v>
      </c>
      <c r="Z91" s="311">
        <v>783</v>
      </c>
      <c r="AA91" s="311">
        <v>400</v>
      </c>
      <c r="AB91" s="311">
        <v>1600</v>
      </c>
      <c r="AC91" s="324">
        <f t="shared" si="24"/>
        <v>7.5924327783649607E-3</v>
      </c>
      <c r="AD91" s="324">
        <f t="shared" si="19"/>
        <v>7.2879657465609914E-3</v>
      </c>
      <c r="AE91" s="324">
        <f t="shared" si="20"/>
        <v>8.9033320720279564E-3</v>
      </c>
    </row>
    <row r="92" spans="2:31" ht="30">
      <c r="B92" s="315" t="s">
        <v>272</v>
      </c>
      <c r="C92" s="316" t="s">
        <v>552</v>
      </c>
      <c r="D92" s="313">
        <v>25</v>
      </c>
      <c r="E92" s="327" t="s">
        <v>513</v>
      </c>
      <c r="F92" s="327">
        <v>2016</v>
      </c>
      <c r="G92" s="327" t="s">
        <v>691</v>
      </c>
      <c r="H92" s="311">
        <v>8</v>
      </c>
      <c r="I92" s="311">
        <v>0</v>
      </c>
      <c r="J92" s="311">
        <v>23</v>
      </c>
      <c r="K92" s="324">
        <f t="shared" si="21"/>
        <v>1.3726835964310226E-3</v>
      </c>
      <c r="L92" s="324">
        <f t="shared" si="25"/>
        <v>0</v>
      </c>
      <c r="M92" s="324">
        <f t="shared" si="26"/>
        <v>2.4664879356568366E-3</v>
      </c>
      <c r="N92" s="311">
        <v>139</v>
      </c>
      <c r="O92" s="311">
        <v>0</v>
      </c>
      <c r="P92" s="311">
        <v>460</v>
      </c>
      <c r="Q92" s="324">
        <f t="shared" si="22"/>
        <v>1.4858999850341009E-3</v>
      </c>
      <c r="R92" s="324">
        <f t="shared" si="15"/>
        <v>0</v>
      </c>
      <c r="S92" s="324">
        <f t="shared" si="16"/>
        <v>2.8161771008068958E-3</v>
      </c>
      <c r="T92" s="311">
        <v>14</v>
      </c>
      <c r="U92" s="311">
        <v>4</v>
      </c>
      <c r="V92" s="311">
        <v>33</v>
      </c>
      <c r="W92" s="324">
        <f t="shared" si="23"/>
        <v>1.4609203798392988E-3</v>
      </c>
      <c r="X92" s="324">
        <f t="shared" si="17"/>
        <v>8.6956521739130438E-4</v>
      </c>
      <c r="Y92" s="324">
        <f t="shared" si="18"/>
        <v>2.0163754124404251E-3</v>
      </c>
      <c r="Z92" s="311">
        <v>153</v>
      </c>
      <c r="AA92" s="311">
        <v>4</v>
      </c>
      <c r="AB92" s="311">
        <v>493</v>
      </c>
      <c r="AC92" s="324">
        <f t="shared" si="24"/>
        <v>1.4835788187609693E-3</v>
      </c>
      <c r="AD92" s="324">
        <f t="shared" si="19"/>
        <v>7.2879657465609913E-5</v>
      </c>
      <c r="AE92" s="324">
        <f t="shared" si="20"/>
        <v>2.7433391946936141E-3</v>
      </c>
    </row>
    <row r="93" spans="2:31">
      <c r="B93" s="315" t="s">
        <v>274</v>
      </c>
      <c r="C93" s="316" t="s">
        <v>554</v>
      </c>
      <c r="D93" s="313">
        <v>26</v>
      </c>
      <c r="E93" s="327" t="s">
        <v>513</v>
      </c>
      <c r="F93" s="327">
        <v>2016</v>
      </c>
      <c r="G93" s="327" t="s">
        <v>691</v>
      </c>
      <c r="H93" s="311">
        <v>24</v>
      </c>
      <c r="I93" s="311">
        <v>11</v>
      </c>
      <c r="J93" s="311">
        <v>45</v>
      </c>
      <c r="K93" s="324">
        <f t="shared" si="21"/>
        <v>4.1180507892930682E-3</v>
      </c>
      <c r="L93" s="324">
        <f t="shared" si="25"/>
        <v>3.3092659446450059E-3</v>
      </c>
      <c r="M93" s="324">
        <f t="shared" si="26"/>
        <v>4.8257372654155499E-3</v>
      </c>
      <c r="N93" s="311">
        <v>420</v>
      </c>
      <c r="O93" s="311">
        <v>168</v>
      </c>
      <c r="P93" s="311">
        <v>904</v>
      </c>
      <c r="Q93" s="324">
        <f t="shared" si="22"/>
        <v>4.4897697389519597E-3</v>
      </c>
      <c r="R93" s="324">
        <f t="shared" si="15"/>
        <v>3.3409565476782339E-3</v>
      </c>
      <c r="S93" s="324">
        <f t="shared" si="16"/>
        <v>5.5344002154987691E-3</v>
      </c>
      <c r="T93" s="311">
        <v>72</v>
      </c>
      <c r="U93" s="311">
        <v>27</v>
      </c>
      <c r="V93" s="311">
        <v>146</v>
      </c>
      <c r="W93" s="324">
        <f t="shared" si="23"/>
        <v>7.5133048106021082E-3</v>
      </c>
      <c r="X93" s="324">
        <f t="shared" si="17"/>
        <v>5.8695652173913039E-3</v>
      </c>
      <c r="Y93" s="324">
        <f t="shared" si="18"/>
        <v>8.9209336429182454E-3</v>
      </c>
      <c r="Z93" s="311">
        <v>492</v>
      </c>
      <c r="AA93" s="311">
        <v>195</v>
      </c>
      <c r="AB93" s="311">
        <v>1050</v>
      </c>
      <c r="AC93" s="324">
        <f t="shared" si="24"/>
        <v>4.770724044643117E-3</v>
      </c>
      <c r="AD93" s="324">
        <f t="shared" si="19"/>
        <v>3.5528833014484831E-3</v>
      </c>
      <c r="AE93" s="324">
        <f t="shared" si="20"/>
        <v>5.8428116722683467E-3</v>
      </c>
    </row>
    <row r="94" spans="2:31">
      <c r="B94" s="315" t="s">
        <v>259</v>
      </c>
      <c r="C94" s="316" t="s">
        <v>538</v>
      </c>
      <c r="D94" s="313">
        <v>27</v>
      </c>
      <c r="E94" s="327" t="s">
        <v>513</v>
      </c>
      <c r="F94" s="327">
        <v>2016</v>
      </c>
      <c r="G94" s="327" t="s">
        <v>691</v>
      </c>
      <c r="H94" s="311">
        <v>65</v>
      </c>
      <c r="I94" s="311">
        <v>11</v>
      </c>
      <c r="J94" s="311">
        <v>136</v>
      </c>
      <c r="K94" s="324">
        <f t="shared" si="21"/>
        <v>1.1153054221002059E-2</v>
      </c>
      <c r="L94" s="324">
        <f t="shared" si="25"/>
        <v>3.3092659446450059E-3</v>
      </c>
      <c r="M94" s="324">
        <f t="shared" si="26"/>
        <v>1.4584450402144773E-2</v>
      </c>
      <c r="N94" s="311">
        <v>1026</v>
      </c>
      <c r="O94" s="311">
        <v>158</v>
      </c>
      <c r="P94" s="311">
        <v>2366</v>
      </c>
      <c r="Q94" s="324">
        <f t="shared" si="22"/>
        <v>1.0967866076582644E-2</v>
      </c>
      <c r="R94" s="324">
        <f t="shared" si="15"/>
        <v>3.1420900865069107E-3</v>
      </c>
      <c r="S94" s="324">
        <f t="shared" si="16"/>
        <v>1.4484945696758948E-2</v>
      </c>
      <c r="T94" s="311">
        <v>1094</v>
      </c>
      <c r="U94" s="311">
        <v>255</v>
      </c>
      <c r="V94" s="311">
        <v>2142</v>
      </c>
      <c r="W94" s="324">
        <f t="shared" si="23"/>
        <v>0.11416049253887092</v>
      </c>
      <c r="X94" s="324">
        <f t="shared" si="17"/>
        <v>5.5434782608695651E-2</v>
      </c>
      <c r="Y94" s="324">
        <f t="shared" si="18"/>
        <v>0.13088109495295125</v>
      </c>
      <c r="Z94" s="311">
        <v>2120</v>
      </c>
      <c r="AA94" s="311">
        <v>413</v>
      </c>
      <c r="AB94" s="311">
        <v>4508</v>
      </c>
      <c r="AC94" s="324">
        <f t="shared" si="24"/>
        <v>2.0556778403746763E-2</v>
      </c>
      <c r="AD94" s="324">
        <f t="shared" si="19"/>
        <v>7.5248246333242232E-3</v>
      </c>
      <c r="AE94" s="324">
        <f t="shared" si="20"/>
        <v>2.5085138112938766E-2</v>
      </c>
    </row>
    <row r="95" spans="2:31">
      <c r="B95" s="315" t="s">
        <v>275</v>
      </c>
      <c r="C95" s="316" t="s">
        <v>555</v>
      </c>
      <c r="D95" s="313">
        <v>28</v>
      </c>
      <c r="E95" s="327" t="s">
        <v>513</v>
      </c>
      <c r="F95" s="327">
        <v>2016</v>
      </c>
      <c r="G95" s="327" t="s">
        <v>691</v>
      </c>
      <c r="H95" s="311"/>
      <c r="I95" s="311"/>
      <c r="J95" s="311"/>
      <c r="K95" s="324"/>
      <c r="L95" s="324"/>
      <c r="M95" s="324"/>
      <c r="N95" s="311"/>
      <c r="O95" s="311"/>
      <c r="P95" s="311"/>
      <c r="Q95" s="324"/>
      <c r="R95" s="324"/>
      <c r="S95" s="324"/>
      <c r="T95" s="311">
        <v>44</v>
      </c>
      <c r="U95" s="311">
        <v>14</v>
      </c>
      <c r="V95" s="311">
        <v>107</v>
      </c>
      <c r="W95" s="324">
        <f t="shared" ref="W95:W99" si="27">T95/T$99</f>
        <v>4.5914640509235102E-3</v>
      </c>
      <c r="X95" s="324">
        <f t="shared" ref="X95:X99" si="28">U95/U$99</f>
        <v>3.0434782608695652E-3</v>
      </c>
      <c r="Y95" s="324">
        <f t="shared" ref="Y95:Y99" si="29">V95/V$99</f>
        <v>6.5379445191250151E-3</v>
      </c>
      <c r="Z95" s="311">
        <v>44</v>
      </c>
      <c r="AA95" s="311">
        <v>14</v>
      </c>
      <c r="AB95" s="311">
        <v>107</v>
      </c>
      <c r="AC95" s="324">
        <f t="shared" si="24"/>
        <v>4.266501178136121E-4</v>
      </c>
      <c r="AD95" s="324">
        <f t="shared" si="19"/>
        <v>2.5507880112963469E-4</v>
      </c>
      <c r="AE95" s="324">
        <f t="shared" si="20"/>
        <v>5.9541033231686954E-4</v>
      </c>
    </row>
    <row r="96" spans="2:31">
      <c r="B96" s="315" t="s">
        <v>276</v>
      </c>
      <c r="C96" s="316" t="s">
        <v>556</v>
      </c>
      <c r="D96" s="313">
        <v>29</v>
      </c>
      <c r="E96" s="327" t="s">
        <v>513</v>
      </c>
      <c r="F96" s="327">
        <v>2016</v>
      </c>
      <c r="G96" s="327" t="s">
        <v>691</v>
      </c>
      <c r="H96" s="311"/>
      <c r="I96" s="311"/>
      <c r="J96" s="311"/>
      <c r="K96" s="324"/>
      <c r="L96" s="324"/>
      <c r="M96" s="324"/>
      <c r="N96" s="311"/>
      <c r="O96" s="311"/>
      <c r="P96" s="311"/>
      <c r="Q96" s="324"/>
      <c r="R96" s="324"/>
      <c r="S96" s="324"/>
      <c r="T96" s="311">
        <v>130</v>
      </c>
      <c r="U96" s="311">
        <v>37</v>
      </c>
      <c r="V96" s="311">
        <v>281</v>
      </c>
      <c r="W96" s="324">
        <f t="shared" si="27"/>
        <v>1.3565689241364916E-2</v>
      </c>
      <c r="X96" s="324">
        <f t="shared" si="28"/>
        <v>8.0434782608695653E-3</v>
      </c>
      <c r="Y96" s="324">
        <f t="shared" si="29"/>
        <v>1.716974214835635E-2</v>
      </c>
      <c r="Z96" s="311">
        <v>130</v>
      </c>
      <c r="AA96" s="311">
        <v>37</v>
      </c>
      <c r="AB96" s="311">
        <v>281</v>
      </c>
      <c r="AC96" s="324">
        <f t="shared" si="24"/>
        <v>1.2605571662674903E-3</v>
      </c>
      <c r="AD96" s="324">
        <f t="shared" si="19"/>
        <v>6.7413683155689169E-4</v>
      </c>
      <c r="AE96" s="324">
        <f t="shared" si="20"/>
        <v>1.5636476951499099E-3</v>
      </c>
    </row>
    <row r="97" spans="2:31">
      <c r="B97" s="315" t="s">
        <v>529</v>
      </c>
      <c r="C97" s="316" t="s">
        <v>637</v>
      </c>
      <c r="D97" s="313">
        <v>30</v>
      </c>
      <c r="E97" s="327" t="s">
        <v>513</v>
      </c>
      <c r="F97" s="327">
        <v>2016</v>
      </c>
      <c r="G97" s="327" t="s">
        <v>691</v>
      </c>
      <c r="H97" s="311"/>
      <c r="I97" s="311"/>
      <c r="J97" s="311"/>
      <c r="K97" s="324"/>
      <c r="L97" s="324"/>
      <c r="M97" s="324"/>
      <c r="N97" s="311"/>
      <c r="O97" s="311"/>
      <c r="P97" s="311"/>
      <c r="Q97" s="324"/>
      <c r="R97" s="324"/>
      <c r="S97" s="324"/>
      <c r="T97" s="311">
        <v>354</v>
      </c>
      <c r="U97" s="311">
        <v>175</v>
      </c>
      <c r="V97" s="311">
        <v>639</v>
      </c>
      <c r="W97" s="324">
        <f t="shared" si="27"/>
        <v>3.6940415318793697E-2</v>
      </c>
      <c r="X97" s="324">
        <f t="shared" si="28"/>
        <v>3.8043478260869568E-2</v>
      </c>
      <c r="Y97" s="324">
        <f t="shared" si="29"/>
        <v>3.9044360259073686E-2</v>
      </c>
      <c r="Z97" s="311">
        <v>354</v>
      </c>
      <c r="AA97" s="311">
        <v>175</v>
      </c>
      <c r="AB97" s="311">
        <v>639</v>
      </c>
      <c r="AC97" s="324">
        <f t="shared" si="24"/>
        <v>3.4325941296822426E-3</v>
      </c>
      <c r="AD97" s="324">
        <f t="shared" si="19"/>
        <v>3.1884850141204336E-3</v>
      </c>
      <c r="AE97" s="324">
        <f t="shared" si="20"/>
        <v>3.555768246266165E-3</v>
      </c>
    </row>
    <row r="98" spans="2:31">
      <c r="B98" s="315" t="s">
        <v>530</v>
      </c>
      <c r="C98" s="316" t="s">
        <v>638</v>
      </c>
      <c r="D98" s="313">
        <v>31</v>
      </c>
      <c r="E98" s="327" t="s">
        <v>513</v>
      </c>
      <c r="F98" s="327">
        <v>2016</v>
      </c>
      <c r="G98" s="327" t="s">
        <v>691</v>
      </c>
      <c r="H98" s="311"/>
      <c r="I98" s="311"/>
      <c r="J98" s="311"/>
      <c r="K98" s="324"/>
      <c r="L98" s="324"/>
      <c r="M98" s="324"/>
      <c r="N98" s="311"/>
      <c r="O98" s="311"/>
      <c r="P98" s="311"/>
      <c r="Q98" s="324"/>
      <c r="R98" s="324"/>
      <c r="S98" s="324"/>
      <c r="T98" s="311">
        <v>9</v>
      </c>
      <c r="U98" s="311">
        <v>0</v>
      </c>
      <c r="V98" s="311">
        <v>27</v>
      </c>
      <c r="W98" s="324">
        <f t="shared" si="27"/>
        <v>9.3916310132526352E-4</v>
      </c>
      <c r="X98" s="324">
        <f t="shared" si="28"/>
        <v>0</v>
      </c>
      <c r="Y98" s="324">
        <f t="shared" si="29"/>
        <v>1.6497617010876207E-3</v>
      </c>
      <c r="Z98" s="311">
        <v>9</v>
      </c>
      <c r="AA98" s="311">
        <v>0</v>
      </c>
      <c r="AB98" s="311">
        <v>27</v>
      </c>
      <c r="AC98" s="324">
        <f t="shared" si="24"/>
        <v>8.726934228005702E-5</v>
      </c>
      <c r="AD98" s="324">
        <f t="shared" si="19"/>
        <v>0</v>
      </c>
      <c r="AE98" s="324">
        <f t="shared" si="20"/>
        <v>1.5024372871547177E-4</v>
      </c>
    </row>
    <row r="99" spans="2:31">
      <c r="B99" s="328" t="s">
        <v>7</v>
      </c>
      <c r="C99" s="329"/>
      <c r="D99" s="330">
        <v>99</v>
      </c>
      <c r="E99" s="334" t="s">
        <v>513</v>
      </c>
      <c r="F99" s="334">
        <v>2016</v>
      </c>
      <c r="G99" s="334" t="s">
        <v>691</v>
      </c>
      <c r="H99" s="332">
        <v>5828</v>
      </c>
      <c r="I99" s="332">
        <v>3324</v>
      </c>
      <c r="J99" s="332">
        <v>9325</v>
      </c>
      <c r="K99" s="333">
        <f t="shared" ref="K99" si="30">H99/H$99</f>
        <v>1</v>
      </c>
      <c r="L99" s="333">
        <f t="shared" ref="L99" si="31">I99/I$99</f>
        <v>1</v>
      </c>
      <c r="M99" s="333">
        <f t="shared" ref="M99" si="32">J99/J$99</f>
        <v>1</v>
      </c>
      <c r="N99" s="332">
        <v>93546</v>
      </c>
      <c r="O99" s="332">
        <v>50285</v>
      </c>
      <c r="P99" s="332">
        <v>163342</v>
      </c>
      <c r="Q99" s="333">
        <f t="shared" ref="Q99" si="33">N99/N$99</f>
        <v>1</v>
      </c>
      <c r="R99" s="333">
        <f t="shared" ref="R99" si="34">O99/O$99</f>
        <v>1</v>
      </c>
      <c r="S99" s="333">
        <f t="shared" ref="S99" si="35">P99/P$99</f>
        <v>1</v>
      </c>
      <c r="T99" s="332">
        <v>9583</v>
      </c>
      <c r="U99" s="332">
        <v>4600</v>
      </c>
      <c r="V99" s="332">
        <v>16366</v>
      </c>
      <c r="W99" s="333">
        <f t="shared" si="27"/>
        <v>1</v>
      </c>
      <c r="X99" s="333">
        <f t="shared" si="28"/>
        <v>1</v>
      </c>
      <c r="Y99" s="333">
        <f t="shared" si="29"/>
        <v>1</v>
      </c>
      <c r="Z99" s="332">
        <v>103129</v>
      </c>
      <c r="AA99" s="332">
        <v>54885</v>
      </c>
      <c r="AB99" s="332">
        <v>179708</v>
      </c>
      <c r="AC99" s="333">
        <f t="shared" si="24"/>
        <v>1</v>
      </c>
      <c r="AD99" s="333">
        <f t="shared" si="19"/>
        <v>1</v>
      </c>
      <c r="AE99" s="333">
        <f t="shared" si="20"/>
        <v>1</v>
      </c>
    </row>
    <row r="100" spans="2:31" ht="30">
      <c r="B100" s="315" t="s">
        <v>270</v>
      </c>
      <c r="C100" s="316" t="s">
        <v>549</v>
      </c>
      <c r="D100" s="313">
        <v>2</v>
      </c>
      <c r="E100" s="327" t="s">
        <v>514</v>
      </c>
      <c r="F100" s="327">
        <v>2016</v>
      </c>
      <c r="G100" s="327" t="s">
        <v>691</v>
      </c>
      <c r="H100" s="311">
        <v>13</v>
      </c>
      <c r="I100" s="311">
        <v>3</v>
      </c>
      <c r="J100" s="311">
        <v>34</v>
      </c>
      <c r="K100" s="324">
        <f>H100/H$107</f>
        <v>1.1839708561020037E-2</v>
      </c>
      <c r="L100" s="324">
        <f t="shared" ref="L100:M106" si="36">I100/I$107</f>
        <v>7.246376811594203E-3</v>
      </c>
      <c r="M100" s="324">
        <f t="shared" si="36"/>
        <v>1.6244624940277116E-2</v>
      </c>
      <c r="N100" s="311">
        <v>130</v>
      </c>
      <c r="O100" s="311">
        <v>23</v>
      </c>
      <c r="P100" s="311">
        <v>398</v>
      </c>
      <c r="Q100" s="323">
        <f>N100/N$107</f>
        <v>1.081170991350632E-2</v>
      </c>
      <c r="R100" s="323">
        <f t="shared" ref="R100:R107" si="37">O100/O$107</f>
        <v>5.75287643821911E-3</v>
      </c>
      <c r="S100" s="323">
        <f t="shared" ref="S100:S107" si="38">P100/P$107</f>
        <v>1.5550519653043682E-2</v>
      </c>
      <c r="T100" s="311">
        <v>1</v>
      </c>
      <c r="U100" s="311">
        <v>0</v>
      </c>
      <c r="V100" s="311">
        <v>8</v>
      </c>
      <c r="W100" s="324">
        <f>T100/T$107</f>
        <v>5.9136605558840927E-4</v>
      </c>
      <c r="X100" s="324">
        <f t="shared" ref="X100:X107" si="39">U100/U$107</f>
        <v>0</v>
      </c>
      <c r="Y100" s="324">
        <f t="shared" ref="Y100:Y107" si="40">V100/V$107</f>
        <v>2.4760136180748994E-3</v>
      </c>
      <c r="Z100" s="311">
        <v>131</v>
      </c>
      <c r="AA100" s="311">
        <v>23</v>
      </c>
      <c r="AB100" s="311">
        <v>406</v>
      </c>
      <c r="AC100" s="324">
        <f>Z100/Z$107</f>
        <v>9.5515858549033907E-3</v>
      </c>
      <c r="AD100" s="324">
        <f t="shared" ref="AD100:AD107" si="41">AA100/AA$107</f>
        <v>5.0527240773286467E-3</v>
      </c>
      <c r="AE100" s="324">
        <f t="shared" ref="AE100:AE107" si="42">AB100/AB$107</f>
        <v>1.4084995663486557E-2</v>
      </c>
    </row>
    <row r="101" spans="2:31">
      <c r="B101" s="315" t="s">
        <v>278</v>
      </c>
      <c r="C101" s="316" t="s">
        <v>558</v>
      </c>
      <c r="D101" s="313">
        <v>11</v>
      </c>
      <c r="E101" s="327" t="s">
        <v>514</v>
      </c>
      <c r="F101" s="327">
        <v>2016</v>
      </c>
      <c r="G101" s="327" t="s">
        <v>691</v>
      </c>
      <c r="H101" s="311">
        <v>7</v>
      </c>
      <c r="I101" s="311">
        <v>0</v>
      </c>
      <c r="J101" s="311">
        <v>18</v>
      </c>
      <c r="K101" s="324">
        <f t="shared" ref="K101:K106" si="43">H101/H$107</f>
        <v>6.375227686703097E-3</v>
      </c>
      <c r="L101" s="324">
        <f t="shared" si="36"/>
        <v>0</v>
      </c>
      <c r="M101" s="324">
        <f t="shared" si="36"/>
        <v>8.600095556617296E-3</v>
      </c>
      <c r="N101" s="311">
        <v>109</v>
      </c>
      <c r="O101" s="311">
        <v>0</v>
      </c>
      <c r="P101" s="311">
        <v>291</v>
      </c>
      <c r="Q101" s="323">
        <f t="shared" ref="Q101:Q107" si="44">N101/N$107</f>
        <v>9.0652029274783767E-3</v>
      </c>
      <c r="R101" s="323">
        <f t="shared" si="37"/>
        <v>0</v>
      </c>
      <c r="S101" s="323">
        <f t="shared" si="38"/>
        <v>1.1369852309134953E-2</v>
      </c>
      <c r="T101" s="311">
        <v>0</v>
      </c>
      <c r="U101" s="311">
        <v>0</v>
      </c>
      <c r="V101" s="311">
        <v>0</v>
      </c>
      <c r="W101" s="324">
        <f t="shared" ref="W101:W107" si="45">T101/T$107</f>
        <v>0</v>
      </c>
      <c r="X101" s="324">
        <f t="shared" si="39"/>
        <v>0</v>
      </c>
      <c r="Y101" s="324">
        <f t="shared" si="40"/>
        <v>0</v>
      </c>
      <c r="Z101" s="311">
        <v>109</v>
      </c>
      <c r="AA101" s="311">
        <v>0</v>
      </c>
      <c r="AB101" s="311">
        <v>291</v>
      </c>
      <c r="AC101" s="324">
        <f t="shared" ref="AC101:AC107" si="46">Z101/Z$107</f>
        <v>7.9475027342325918E-3</v>
      </c>
      <c r="AD101" s="324">
        <f t="shared" si="41"/>
        <v>0</v>
      </c>
      <c r="AE101" s="324">
        <f t="shared" si="42"/>
        <v>1.0095403295750217E-2</v>
      </c>
    </row>
    <row r="102" spans="2:31">
      <c r="B102" s="315" t="s">
        <v>263</v>
      </c>
      <c r="C102" s="316" t="s">
        <v>542</v>
      </c>
      <c r="D102" s="313">
        <v>16</v>
      </c>
      <c r="E102" s="327" t="s">
        <v>514</v>
      </c>
      <c r="F102" s="327">
        <v>2016</v>
      </c>
      <c r="G102" s="327" t="s">
        <v>691</v>
      </c>
      <c r="H102" s="311">
        <v>656</v>
      </c>
      <c r="I102" s="311">
        <v>281</v>
      </c>
      <c r="J102" s="311">
        <v>1164</v>
      </c>
      <c r="K102" s="324">
        <f t="shared" si="43"/>
        <v>0.5974499089253188</v>
      </c>
      <c r="L102" s="324">
        <f t="shared" si="36"/>
        <v>0.67874396135265702</v>
      </c>
      <c r="M102" s="324">
        <f t="shared" si="36"/>
        <v>0.55613951266125183</v>
      </c>
      <c r="N102" s="311">
        <v>7002</v>
      </c>
      <c r="O102" s="311">
        <v>2654</v>
      </c>
      <c r="P102" s="311">
        <v>13953</v>
      </c>
      <c r="Q102" s="323">
        <f t="shared" si="44"/>
        <v>0.58233532934131738</v>
      </c>
      <c r="R102" s="323">
        <f t="shared" si="37"/>
        <v>0.66383191595797897</v>
      </c>
      <c r="S102" s="323">
        <f t="shared" si="38"/>
        <v>0.54516683597718218</v>
      </c>
      <c r="T102" s="311">
        <v>56</v>
      </c>
      <c r="U102" s="311">
        <v>16</v>
      </c>
      <c r="V102" s="311">
        <v>123</v>
      </c>
      <c r="W102" s="324">
        <f t="shared" si="45"/>
        <v>3.311649911295092E-2</v>
      </c>
      <c r="X102" s="324">
        <f t="shared" si="39"/>
        <v>2.8880866425992781E-2</v>
      </c>
      <c r="Y102" s="324">
        <f t="shared" si="40"/>
        <v>3.8068709377901577E-2</v>
      </c>
      <c r="Z102" s="311">
        <v>7058</v>
      </c>
      <c r="AA102" s="311">
        <v>2670</v>
      </c>
      <c r="AB102" s="311">
        <v>14076</v>
      </c>
      <c r="AC102" s="324">
        <f t="shared" si="46"/>
        <v>0.5146190302588407</v>
      </c>
      <c r="AD102" s="324">
        <f t="shared" si="41"/>
        <v>0.58655536028119504</v>
      </c>
      <c r="AE102" s="324">
        <f t="shared" si="42"/>
        <v>0.488326105810928</v>
      </c>
    </row>
    <row r="103" spans="2:31">
      <c r="B103" s="315" t="s">
        <v>264</v>
      </c>
      <c r="C103" s="316" t="s">
        <v>543</v>
      </c>
      <c r="D103" s="313">
        <v>17</v>
      </c>
      <c r="E103" s="327" t="s">
        <v>514</v>
      </c>
      <c r="F103" s="327">
        <v>2016</v>
      </c>
      <c r="G103" s="327" t="s">
        <v>691</v>
      </c>
      <c r="H103" s="311">
        <v>107</v>
      </c>
      <c r="I103" s="311">
        <v>31</v>
      </c>
      <c r="J103" s="311">
        <v>231</v>
      </c>
      <c r="K103" s="324">
        <f t="shared" si="43"/>
        <v>9.7449908925318768E-2</v>
      </c>
      <c r="L103" s="324">
        <f t="shared" si="36"/>
        <v>7.4879227053140096E-2</v>
      </c>
      <c r="M103" s="324">
        <f t="shared" si="36"/>
        <v>0.11036789297658862</v>
      </c>
      <c r="N103" s="311">
        <v>1054</v>
      </c>
      <c r="O103" s="311">
        <v>283</v>
      </c>
      <c r="P103" s="311">
        <v>2538</v>
      </c>
      <c r="Q103" s="323">
        <f t="shared" si="44"/>
        <v>8.765801729873586E-2</v>
      </c>
      <c r="R103" s="323">
        <f t="shared" si="37"/>
        <v>7.0785392696348176E-2</v>
      </c>
      <c r="S103" s="323">
        <f t="shared" si="38"/>
        <v>9.9163866531218253E-2</v>
      </c>
      <c r="T103" s="311">
        <v>257</v>
      </c>
      <c r="U103" s="311">
        <v>80</v>
      </c>
      <c r="V103" s="311">
        <v>538</v>
      </c>
      <c r="W103" s="324">
        <f t="shared" si="45"/>
        <v>0.15198107628622118</v>
      </c>
      <c r="X103" s="324">
        <f t="shared" si="39"/>
        <v>0.1444043321299639</v>
      </c>
      <c r="Y103" s="324">
        <f t="shared" si="40"/>
        <v>0.16651191581553698</v>
      </c>
      <c r="Z103" s="311">
        <v>1311</v>
      </c>
      <c r="AA103" s="311">
        <v>363</v>
      </c>
      <c r="AB103" s="311">
        <v>3076</v>
      </c>
      <c r="AC103" s="324">
        <f t="shared" si="46"/>
        <v>9.5588771418155305E-2</v>
      </c>
      <c r="AD103" s="324">
        <f t="shared" si="41"/>
        <v>7.9745166959578201E-2</v>
      </c>
      <c r="AE103" s="324">
        <f t="shared" si="42"/>
        <v>0.10671292281006071</v>
      </c>
    </row>
    <row r="104" spans="2:31">
      <c r="B104" s="315" t="s">
        <v>261</v>
      </c>
      <c r="C104" s="316" t="s">
        <v>540</v>
      </c>
      <c r="D104" s="313">
        <v>18</v>
      </c>
      <c r="E104" s="327" t="s">
        <v>514</v>
      </c>
      <c r="F104" s="327">
        <v>2016</v>
      </c>
      <c r="G104" s="327" t="s">
        <v>691</v>
      </c>
      <c r="H104" s="311">
        <v>172</v>
      </c>
      <c r="I104" s="311">
        <v>54</v>
      </c>
      <c r="J104" s="311">
        <v>369</v>
      </c>
      <c r="K104" s="324">
        <f t="shared" si="43"/>
        <v>0.15664845173041894</v>
      </c>
      <c r="L104" s="324">
        <f t="shared" si="36"/>
        <v>0.13043478260869565</v>
      </c>
      <c r="M104" s="324">
        <f t="shared" si="36"/>
        <v>0.17630195891065456</v>
      </c>
      <c r="N104" s="311">
        <v>2106</v>
      </c>
      <c r="O104" s="311">
        <v>605</v>
      </c>
      <c r="P104" s="311">
        <v>4956</v>
      </c>
      <c r="Q104" s="323">
        <f t="shared" si="44"/>
        <v>0.17514970059880239</v>
      </c>
      <c r="R104" s="323">
        <f t="shared" si="37"/>
        <v>0.15132566283141571</v>
      </c>
      <c r="S104" s="323">
        <f t="shared" si="38"/>
        <v>0.19363913417207157</v>
      </c>
      <c r="T104" s="311">
        <v>73</v>
      </c>
      <c r="U104" s="311">
        <v>17</v>
      </c>
      <c r="V104" s="311">
        <v>162</v>
      </c>
      <c r="W104" s="324">
        <f t="shared" si="45"/>
        <v>4.3169722057953872E-2</v>
      </c>
      <c r="X104" s="324">
        <f t="shared" si="39"/>
        <v>3.0685920577617327E-2</v>
      </c>
      <c r="Y104" s="324">
        <f t="shared" si="40"/>
        <v>5.0139275766016712E-2</v>
      </c>
      <c r="Z104" s="311">
        <v>2179</v>
      </c>
      <c r="AA104" s="311">
        <v>622</v>
      </c>
      <c r="AB104" s="311">
        <v>5118</v>
      </c>
      <c r="AC104" s="324">
        <f t="shared" si="46"/>
        <v>0.15887714181553045</v>
      </c>
      <c r="AD104" s="324">
        <f t="shared" si="41"/>
        <v>0.1366432337434095</v>
      </c>
      <c r="AE104" s="324">
        <f t="shared" si="42"/>
        <v>0.1775542064180399</v>
      </c>
    </row>
    <row r="105" spans="2:31">
      <c r="B105" s="315" t="s">
        <v>257</v>
      </c>
      <c r="C105" s="316" t="s">
        <v>536</v>
      </c>
      <c r="D105" s="313">
        <v>23</v>
      </c>
      <c r="E105" s="327" t="s">
        <v>514</v>
      </c>
      <c r="F105" s="327">
        <v>2016</v>
      </c>
      <c r="G105" s="327" t="s">
        <v>691</v>
      </c>
      <c r="H105" s="311">
        <v>69</v>
      </c>
      <c r="I105" s="311">
        <v>25</v>
      </c>
      <c r="J105" s="311">
        <v>134</v>
      </c>
      <c r="K105" s="324">
        <f t="shared" si="43"/>
        <v>6.2841530054644809E-2</v>
      </c>
      <c r="L105" s="324">
        <f t="shared" si="36"/>
        <v>6.0386473429951688E-2</v>
      </c>
      <c r="M105" s="324">
        <f t="shared" si="36"/>
        <v>6.4022933588150976E-2</v>
      </c>
      <c r="N105" s="311">
        <v>554</v>
      </c>
      <c r="O105" s="311">
        <v>175</v>
      </c>
      <c r="P105" s="311">
        <v>1232</v>
      </c>
      <c r="Q105" s="323">
        <f t="shared" si="44"/>
        <v>4.6074517631403862E-2</v>
      </c>
      <c r="R105" s="323">
        <f t="shared" si="37"/>
        <v>4.3771885942971489E-2</v>
      </c>
      <c r="S105" s="323">
        <f t="shared" si="38"/>
        <v>4.8136281941079939E-2</v>
      </c>
      <c r="T105" s="311">
        <v>144</v>
      </c>
      <c r="U105" s="311">
        <v>44</v>
      </c>
      <c r="V105" s="311">
        <v>301</v>
      </c>
      <c r="W105" s="324">
        <f t="shared" si="45"/>
        <v>8.5156712004730933E-2</v>
      </c>
      <c r="X105" s="324">
        <f t="shared" si="39"/>
        <v>7.9422382671480149E-2</v>
      </c>
      <c r="Y105" s="324">
        <f t="shared" si="40"/>
        <v>9.3160012380068088E-2</v>
      </c>
      <c r="Z105" s="311">
        <v>698</v>
      </c>
      <c r="AA105" s="311">
        <v>219</v>
      </c>
      <c r="AB105" s="311">
        <v>1533</v>
      </c>
      <c r="AC105" s="324">
        <f t="shared" si="46"/>
        <v>5.0893182646737152E-2</v>
      </c>
      <c r="AD105" s="324">
        <f t="shared" si="41"/>
        <v>4.8110720562390158E-2</v>
      </c>
      <c r="AE105" s="324">
        <f t="shared" si="42"/>
        <v>5.3183000867302689E-2</v>
      </c>
    </row>
    <row r="106" spans="2:31">
      <c r="B106" s="315" t="s">
        <v>259</v>
      </c>
      <c r="C106" s="316" t="s">
        <v>538</v>
      </c>
      <c r="D106" s="313">
        <v>27</v>
      </c>
      <c r="E106" s="327" t="s">
        <v>514</v>
      </c>
      <c r="F106" s="327">
        <v>2016</v>
      </c>
      <c r="G106" s="327" t="s">
        <v>691</v>
      </c>
      <c r="H106" s="311">
        <v>74</v>
      </c>
      <c r="I106" s="311">
        <v>20</v>
      </c>
      <c r="J106" s="311">
        <v>143</v>
      </c>
      <c r="K106" s="324">
        <f t="shared" si="43"/>
        <v>6.7395264116575593E-2</v>
      </c>
      <c r="L106" s="324">
        <f t="shared" si="36"/>
        <v>4.8309178743961352E-2</v>
      </c>
      <c r="M106" s="324">
        <f t="shared" si="36"/>
        <v>6.8322981366459631E-2</v>
      </c>
      <c r="N106" s="311">
        <v>1069</v>
      </c>
      <c r="O106" s="311">
        <v>258</v>
      </c>
      <c r="P106" s="311">
        <v>2226</v>
      </c>
      <c r="Q106" s="323">
        <f t="shared" si="44"/>
        <v>8.8905522288755826E-2</v>
      </c>
      <c r="R106" s="323">
        <f t="shared" si="37"/>
        <v>6.4532266133066535E-2</v>
      </c>
      <c r="S106" s="323">
        <f t="shared" si="38"/>
        <v>8.697350941626944E-2</v>
      </c>
      <c r="T106" s="311">
        <v>1160</v>
      </c>
      <c r="U106" s="311">
        <v>397</v>
      </c>
      <c r="V106" s="311">
        <v>2099</v>
      </c>
      <c r="W106" s="324">
        <f t="shared" si="45"/>
        <v>0.68598462448255471</v>
      </c>
      <c r="X106" s="324">
        <f t="shared" si="39"/>
        <v>0.71660649819494582</v>
      </c>
      <c r="Y106" s="324">
        <f t="shared" si="40"/>
        <v>0.64964407304240168</v>
      </c>
      <c r="Z106" s="311">
        <v>2229</v>
      </c>
      <c r="AA106" s="311">
        <v>655</v>
      </c>
      <c r="AB106" s="311">
        <v>4325</v>
      </c>
      <c r="AC106" s="324">
        <f t="shared" si="46"/>
        <v>0.16252278527160044</v>
      </c>
      <c r="AD106" s="324">
        <f t="shared" si="41"/>
        <v>0.14389279437609842</v>
      </c>
      <c r="AE106" s="324">
        <f t="shared" si="42"/>
        <v>0.15004336513443192</v>
      </c>
    </row>
    <row r="107" spans="2:31">
      <c r="B107" s="328" t="s">
        <v>7</v>
      </c>
      <c r="C107" s="329"/>
      <c r="D107" s="330">
        <v>99</v>
      </c>
      <c r="E107" s="334" t="s">
        <v>514</v>
      </c>
      <c r="F107" s="334">
        <v>2016</v>
      </c>
      <c r="G107" s="334" t="s">
        <v>691</v>
      </c>
      <c r="H107" s="332">
        <v>1098</v>
      </c>
      <c r="I107" s="332">
        <v>414</v>
      </c>
      <c r="J107" s="332">
        <v>2093</v>
      </c>
      <c r="K107" s="333">
        <f t="shared" ref="K107" si="47">H107/H$107</f>
        <v>1</v>
      </c>
      <c r="L107" s="335">
        <f t="shared" ref="L107" si="48">I107/I$107</f>
        <v>1</v>
      </c>
      <c r="M107" s="335">
        <f t="shared" ref="M107" si="49">J107/J$107</f>
        <v>1</v>
      </c>
      <c r="N107" s="332">
        <v>12024</v>
      </c>
      <c r="O107" s="332">
        <v>3998</v>
      </c>
      <c r="P107" s="332">
        <v>25594</v>
      </c>
      <c r="Q107" s="335">
        <f t="shared" si="44"/>
        <v>1</v>
      </c>
      <c r="R107" s="335">
        <f t="shared" si="37"/>
        <v>1</v>
      </c>
      <c r="S107" s="335">
        <f t="shared" si="38"/>
        <v>1</v>
      </c>
      <c r="T107" s="332">
        <v>1691</v>
      </c>
      <c r="U107" s="332">
        <v>554</v>
      </c>
      <c r="V107" s="332">
        <v>3231</v>
      </c>
      <c r="W107" s="333">
        <f t="shared" si="45"/>
        <v>1</v>
      </c>
      <c r="X107" s="333">
        <f t="shared" si="39"/>
        <v>1</v>
      </c>
      <c r="Y107" s="333">
        <f t="shared" si="40"/>
        <v>1</v>
      </c>
      <c r="Z107" s="332">
        <v>13715</v>
      </c>
      <c r="AA107" s="332">
        <v>4552</v>
      </c>
      <c r="AB107" s="332">
        <v>28825</v>
      </c>
      <c r="AC107" s="333">
        <f t="shared" si="46"/>
        <v>1</v>
      </c>
      <c r="AD107" s="333">
        <f t="shared" si="41"/>
        <v>1</v>
      </c>
      <c r="AE107" s="333">
        <f t="shared" si="42"/>
        <v>1</v>
      </c>
    </row>
    <row r="108" spans="2:31">
      <c r="B108" s="219"/>
      <c r="C108" s="322"/>
      <c r="D108" s="325"/>
      <c r="E108" s="327"/>
      <c r="F108" s="311"/>
      <c r="G108" s="311"/>
      <c r="H108" s="311"/>
      <c r="I108" s="324"/>
      <c r="J108" s="323"/>
      <c r="K108" s="323"/>
    </row>
    <row r="109" spans="2:31">
      <c r="B109" s="219" t="s">
        <v>662</v>
      </c>
      <c r="C109" s="322"/>
      <c r="D109" s="325"/>
      <c r="E109" s="327"/>
      <c r="F109" s="311"/>
      <c r="G109" s="311"/>
      <c r="H109" s="311"/>
      <c r="I109" s="324"/>
      <c r="J109" s="323"/>
      <c r="K109" s="323"/>
      <c r="M109" s="310"/>
    </row>
    <row r="110" spans="2:31">
      <c r="B110" s="219" t="s">
        <v>663</v>
      </c>
      <c r="C110" s="322"/>
      <c r="D110" s="325"/>
      <c r="E110" s="327"/>
      <c r="F110" s="311"/>
      <c r="G110" s="311"/>
      <c r="H110" s="311"/>
      <c r="I110" s="324"/>
      <c r="J110" s="323"/>
      <c r="K110" s="323"/>
    </row>
    <row r="111" spans="2:31">
      <c r="C111" s="322"/>
      <c r="D111" s="325"/>
      <c r="E111" s="327"/>
      <c r="F111" s="311"/>
      <c r="G111" s="311"/>
      <c r="H111" s="311"/>
      <c r="I111" s="324"/>
      <c r="J111" s="323"/>
      <c r="K111" s="323"/>
    </row>
    <row r="114" spans="2:31" ht="21">
      <c r="B114" s="326" t="s">
        <v>692</v>
      </c>
    </row>
    <row r="115" spans="2:31">
      <c r="B115" s="17" t="s">
        <v>639</v>
      </c>
    </row>
    <row r="116" spans="2:31">
      <c r="B116" s="27" t="s">
        <v>647</v>
      </c>
    </row>
    <row r="118" spans="2:31" ht="90" customHeight="1" thickBot="1">
      <c r="B118" s="314" t="s">
        <v>640</v>
      </c>
      <c r="C118" s="314" t="s">
        <v>644</v>
      </c>
      <c r="D118" s="314" t="s">
        <v>643</v>
      </c>
      <c r="E118" s="314" t="s">
        <v>499</v>
      </c>
      <c r="F118" s="314" t="s">
        <v>690</v>
      </c>
      <c r="G118" s="314" t="s">
        <v>4</v>
      </c>
      <c r="H118" s="319" t="s">
        <v>665</v>
      </c>
      <c r="I118" s="319" t="s">
        <v>666</v>
      </c>
      <c r="J118" s="320" t="s">
        <v>667</v>
      </c>
      <c r="K118" s="319" t="s">
        <v>668</v>
      </c>
      <c r="L118" s="319" t="s">
        <v>669</v>
      </c>
      <c r="M118" s="321" t="s">
        <v>670</v>
      </c>
      <c r="N118" s="319" t="s">
        <v>671</v>
      </c>
      <c r="O118" s="319" t="s">
        <v>672</v>
      </c>
      <c r="P118" s="319" t="s">
        <v>673</v>
      </c>
      <c r="Q118" s="319" t="s">
        <v>674</v>
      </c>
      <c r="R118" s="319" t="s">
        <v>675</v>
      </c>
      <c r="S118" s="319" t="s">
        <v>676</v>
      </c>
      <c r="T118" s="319" t="s">
        <v>677</v>
      </c>
      <c r="U118" s="319" t="s">
        <v>678</v>
      </c>
      <c r="V118" s="321" t="s">
        <v>679</v>
      </c>
      <c r="W118" s="319" t="s">
        <v>680</v>
      </c>
      <c r="X118" s="319" t="s">
        <v>681</v>
      </c>
      <c r="Y118" s="319" t="s">
        <v>682</v>
      </c>
      <c r="Z118" s="319" t="s">
        <v>683</v>
      </c>
      <c r="AA118" s="319" t="s">
        <v>684</v>
      </c>
      <c r="AB118" s="319" t="s">
        <v>685</v>
      </c>
      <c r="AC118" s="319" t="s">
        <v>686</v>
      </c>
      <c r="AD118" s="319" t="s">
        <v>687</v>
      </c>
      <c r="AE118" s="319" t="s">
        <v>688</v>
      </c>
    </row>
    <row r="119" spans="2:31">
      <c r="B119" s="315" t="s">
        <v>641</v>
      </c>
      <c r="C119" s="316"/>
      <c r="D119" s="313">
        <v>1</v>
      </c>
      <c r="E119" s="313" t="s">
        <v>501</v>
      </c>
      <c r="F119" s="313">
        <v>2016</v>
      </c>
      <c r="G119" s="313" t="s">
        <v>691</v>
      </c>
      <c r="H119" s="317">
        <v>5789</v>
      </c>
      <c r="I119" s="317">
        <v>3356</v>
      </c>
      <c r="J119" s="317">
        <v>9004</v>
      </c>
      <c r="K119" s="324">
        <f>H119/H$121</f>
        <v>0.83583598036384643</v>
      </c>
      <c r="L119" s="324">
        <f t="shared" ref="L119:M121" si="50">I119/I$121</f>
        <v>0.89780631353665064</v>
      </c>
      <c r="M119" s="324">
        <f t="shared" si="50"/>
        <v>0.78857943597827995</v>
      </c>
      <c r="N119" s="311">
        <v>88924</v>
      </c>
      <c r="O119" s="311">
        <v>49350</v>
      </c>
      <c r="P119" s="311">
        <v>150527</v>
      </c>
      <c r="Q119" s="324">
        <f>N119/N$121</f>
        <v>0.84232262953490578</v>
      </c>
      <c r="R119" s="324">
        <f t="shared" ref="R119:R121" si="51">O119/O$121</f>
        <v>0.90912440358860047</v>
      </c>
      <c r="S119" s="324">
        <f t="shared" ref="S119:S121" si="52">P119/P$121</f>
        <v>0.79670893847652113</v>
      </c>
      <c r="T119" s="311">
        <v>8335</v>
      </c>
      <c r="U119" s="311">
        <v>4226</v>
      </c>
      <c r="V119" s="311">
        <v>13631</v>
      </c>
      <c r="W119" s="324">
        <f>T119/T$121</f>
        <v>0.73931169061557567</v>
      </c>
      <c r="X119" s="324">
        <f t="shared" ref="X119:X121" si="53">U119/U$121</f>
        <v>0.81994567326348466</v>
      </c>
      <c r="Y119" s="324">
        <f t="shared" ref="Y119:Y121" si="54">V119/V$121</f>
        <v>0.69556564780323515</v>
      </c>
      <c r="Z119" s="311">
        <v>97259</v>
      </c>
      <c r="AA119" s="311">
        <v>53576</v>
      </c>
      <c r="AB119" s="311">
        <v>164158</v>
      </c>
      <c r="AC119" s="324">
        <f>Z119/Z$121</f>
        <v>0.83238334873848896</v>
      </c>
      <c r="AD119" s="324">
        <f t="shared" ref="AD119:AD121" si="55">AA119/AA$121</f>
        <v>0.90139138920201223</v>
      </c>
      <c r="AE119" s="324">
        <f t="shared" ref="AE119:AE121" si="56">AB119/AB$121</f>
        <v>0.78720394374031932</v>
      </c>
    </row>
    <row r="120" spans="2:31">
      <c r="B120" s="315" t="s">
        <v>642</v>
      </c>
      <c r="C120" s="316"/>
      <c r="D120" s="313">
        <v>2</v>
      </c>
      <c r="E120" s="327" t="s">
        <v>501</v>
      </c>
      <c r="F120" s="327">
        <v>2016</v>
      </c>
      <c r="G120" s="327" t="s">
        <v>691</v>
      </c>
      <c r="H120" s="311">
        <v>1137</v>
      </c>
      <c r="I120" s="311">
        <v>382</v>
      </c>
      <c r="J120" s="311">
        <v>2414</v>
      </c>
      <c r="K120" s="324">
        <f>H120/H$121</f>
        <v>0.16416401963615362</v>
      </c>
      <c r="L120" s="324">
        <f t="shared" si="50"/>
        <v>0.10219368646334938</v>
      </c>
      <c r="M120" s="324">
        <f t="shared" si="50"/>
        <v>0.2114205640217201</v>
      </c>
      <c r="N120" s="311">
        <v>16646</v>
      </c>
      <c r="O120" s="311">
        <v>4933</v>
      </c>
      <c r="P120" s="311">
        <v>38409</v>
      </c>
      <c r="Q120" s="324">
        <f>N120/N$121</f>
        <v>0.15767737046509425</v>
      </c>
      <c r="R120" s="324">
        <f t="shared" si="51"/>
        <v>9.0875596411399515E-2</v>
      </c>
      <c r="S120" s="324">
        <f t="shared" si="52"/>
        <v>0.20329106152347884</v>
      </c>
      <c r="T120" s="311">
        <v>2939</v>
      </c>
      <c r="U120" s="311">
        <v>928</v>
      </c>
      <c r="V120" s="311">
        <v>5966</v>
      </c>
      <c r="W120" s="324">
        <f>T120/T$121</f>
        <v>0.26068830938442433</v>
      </c>
      <c r="X120" s="324">
        <f t="shared" si="53"/>
        <v>0.18005432673651534</v>
      </c>
      <c r="Y120" s="324">
        <f t="shared" si="54"/>
        <v>0.30443435219676479</v>
      </c>
      <c r="Z120" s="311">
        <v>19585</v>
      </c>
      <c r="AA120" s="311">
        <v>5861</v>
      </c>
      <c r="AB120" s="311">
        <v>44375</v>
      </c>
      <c r="AC120" s="324">
        <f>Z120/Z$121</f>
        <v>0.16761665126151107</v>
      </c>
      <c r="AD120" s="324">
        <f t="shared" si="55"/>
        <v>9.8608610797987786E-2</v>
      </c>
      <c r="AE120" s="324">
        <f t="shared" si="56"/>
        <v>0.21279605625968073</v>
      </c>
    </row>
    <row r="121" spans="2:31">
      <c r="B121" s="328" t="s">
        <v>7</v>
      </c>
      <c r="C121" s="329"/>
      <c r="D121" s="330">
        <v>3</v>
      </c>
      <c r="E121" s="334" t="s">
        <v>501</v>
      </c>
      <c r="F121" s="334">
        <v>2016</v>
      </c>
      <c r="G121" s="334" t="s">
        <v>691</v>
      </c>
      <c r="H121" s="332">
        <v>6926</v>
      </c>
      <c r="I121" s="332">
        <v>3738</v>
      </c>
      <c r="J121" s="332">
        <v>11418</v>
      </c>
      <c r="K121" s="333">
        <f>H121/H$121</f>
        <v>1</v>
      </c>
      <c r="L121" s="333">
        <f t="shared" si="50"/>
        <v>1</v>
      </c>
      <c r="M121" s="333">
        <f t="shared" si="50"/>
        <v>1</v>
      </c>
      <c r="N121" s="332">
        <v>105570</v>
      </c>
      <c r="O121" s="332">
        <v>54283</v>
      </c>
      <c r="P121" s="332">
        <v>188936</v>
      </c>
      <c r="Q121" s="333">
        <f>N121/N$121</f>
        <v>1</v>
      </c>
      <c r="R121" s="333">
        <f t="shared" si="51"/>
        <v>1</v>
      </c>
      <c r="S121" s="333">
        <f t="shared" si="52"/>
        <v>1</v>
      </c>
      <c r="T121" s="332">
        <v>11274</v>
      </c>
      <c r="U121" s="332">
        <v>5154</v>
      </c>
      <c r="V121" s="332">
        <v>19597</v>
      </c>
      <c r="W121" s="333">
        <f>T121/T$121</f>
        <v>1</v>
      </c>
      <c r="X121" s="333">
        <f t="shared" si="53"/>
        <v>1</v>
      </c>
      <c r="Y121" s="333">
        <f t="shared" si="54"/>
        <v>1</v>
      </c>
      <c r="Z121" s="332">
        <v>116844</v>
      </c>
      <c r="AA121" s="332">
        <v>59437</v>
      </c>
      <c r="AB121" s="332">
        <v>208533</v>
      </c>
      <c r="AC121" s="333">
        <f>Z121/Z$121</f>
        <v>1</v>
      </c>
      <c r="AD121" s="333">
        <f t="shared" si="55"/>
        <v>1</v>
      </c>
      <c r="AE121" s="333">
        <f t="shared" si="56"/>
        <v>1</v>
      </c>
    </row>
    <row r="122" spans="2:31">
      <c r="B122" s="315" t="s">
        <v>641</v>
      </c>
      <c r="C122" s="316"/>
      <c r="D122" s="313">
        <v>1</v>
      </c>
      <c r="E122" s="313" t="s">
        <v>513</v>
      </c>
      <c r="F122" s="313">
        <v>2016</v>
      </c>
      <c r="G122" s="313" t="s">
        <v>691</v>
      </c>
      <c r="H122" s="311">
        <v>5452</v>
      </c>
      <c r="I122" s="311">
        <v>3239</v>
      </c>
      <c r="J122" s="311">
        <v>8329</v>
      </c>
      <c r="K122" s="324">
        <f>H122/H$124</f>
        <v>0.93548387096774188</v>
      </c>
      <c r="L122" s="323">
        <f t="shared" ref="L122:M124" si="57">I122/I$124</f>
        <v>0.97442839951865223</v>
      </c>
      <c r="M122" s="323">
        <f t="shared" si="57"/>
        <v>0.89319034852546919</v>
      </c>
      <c r="N122" s="311">
        <v>85906</v>
      </c>
      <c r="O122" s="311">
        <v>48417</v>
      </c>
      <c r="P122" s="311">
        <v>143580</v>
      </c>
      <c r="Q122" s="324">
        <f>N122/N$124</f>
        <v>0.91832895046287388</v>
      </c>
      <c r="R122" s="324">
        <f t="shared" ref="R122:R124" si="58">O122/O$124</f>
        <v>0.96285174505319682</v>
      </c>
      <c r="S122" s="324">
        <f t="shared" ref="S122:S124" si="59">P122/P$124</f>
        <v>0.87901458289968293</v>
      </c>
      <c r="T122" s="311">
        <v>8013</v>
      </c>
      <c r="U122" s="311">
        <v>4136</v>
      </c>
      <c r="V122" s="311">
        <v>12956</v>
      </c>
      <c r="W122" s="324">
        <f>T122/T$124</f>
        <v>0.83616821454659296</v>
      </c>
      <c r="X122" s="324">
        <f t="shared" ref="X122:X124" si="60">U122/U$124</f>
        <v>0.89913043478260868</v>
      </c>
      <c r="Y122" s="324">
        <f t="shared" ref="Y122:Y124" si="61">V122/V$124</f>
        <v>0.79164120738115606</v>
      </c>
      <c r="Z122" s="311">
        <v>93919</v>
      </c>
      <c r="AA122" s="311">
        <v>52553</v>
      </c>
      <c r="AB122" s="311">
        <v>156536</v>
      </c>
      <c r="AC122" s="324">
        <f>Z122/Z$124</f>
        <v>0.91069437306674161</v>
      </c>
      <c r="AD122" s="324">
        <f t="shared" ref="AD122:AD124" si="62">AA122/AA$124</f>
        <v>0.95751115969754941</v>
      </c>
      <c r="AE122" s="324">
        <f t="shared" ref="AE122:AE124" si="63">AB122/AB$124</f>
        <v>0.87105749326685511</v>
      </c>
    </row>
    <row r="123" spans="2:31">
      <c r="B123" s="315" t="s">
        <v>642</v>
      </c>
      <c r="C123" s="316"/>
      <c r="D123" s="313">
        <v>2</v>
      </c>
      <c r="E123" s="327" t="s">
        <v>513</v>
      </c>
      <c r="F123" s="327">
        <v>2016</v>
      </c>
      <c r="G123" s="327" t="s">
        <v>691</v>
      </c>
      <c r="H123" s="311">
        <v>376</v>
      </c>
      <c r="I123" s="311">
        <v>85</v>
      </c>
      <c r="J123" s="311">
        <v>996</v>
      </c>
      <c r="K123" s="324">
        <f t="shared" ref="K123:K124" si="64">H123/H$124</f>
        <v>6.4516129032258063E-2</v>
      </c>
      <c r="L123" s="323">
        <f t="shared" si="57"/>
        <v>2.5571600481347774E-2</v>
      </c>
      <c r="M123" s="323">
        <f t="shared" si="57"/>
        <v>0.10680965147453084</v>
      </c>
      <c r="N123" s="311">
        <v>7640</v>
      </c>
      <c r="O123" s="311">
        <v>1868</v>
      </c>
      <c r="P123" s="311">
        <v>19762</v>
      </c>
      <c r="Q123" s="324">
        <f t="shared" ref="Q123:Q124" si="65">N123/N$124</f>
        <v>8.1671049537126117E-2</v>
      </c>
      <c r="R123" s="324">
        <f t="shared" si="58"/>
        <v>3.7148254946803225E-2</v>
      </c>
      <c r="S123" s="324">
        <f t="shared" si="59"/>
        <v>0.12098541710031713</v>
      </c>
      <c r="T123" s="311">
        <v>1570</v>
      </c>
      <c r="U123" s="311">
        <v>464</v>
      </c>
      <c r="V123" s="311">
        <v>3410</v>
      </c>
      <c r="W123" s="324">
        <f t="shared" ref="W123:W124" si="66">T123/T$124</f>
        <v>0.16383178545340707</v>
      </c>
      <c r="X123" s="324">
        <f t="shared" si="60"/>
        <v>0.10086956521739131</v>
      </c>
      <c r="Y123" s="324">
        <f t="shared" si="61"/>
        <v>0.20835879261884394</v>
      </c>
      <c r="Z123" s="311">
        <v>9210</v>
      </c>
      <c r="AA123" s="311">
        <v>2332</v>
      </c>
      <c r="AB123" s="311">
        <v>23172</v>
      </c>
      <c r="AC123" s="324">
        <f t="shared" ref="AC123:AC124" si="67">Z123/Z$124</f>
        <v>8.9305626933258345E-2</v>
      </c>
      <c r="AD123" s="324">
        <f t="shared" si="62"/>
        <v>4.2488840302450578E-2</v>
      </c>
      <c r="AE123" s="324">
        <f t="shared" si="63"/>
        <v>0.12894250673314489</v>
      </c>
    </row>
    <row r="124" spans="2:31">
      <c r="B124" s="328" t="s">
        <v>7</v>
      </c>
      <c r="C124" s="329"/>
      <c r="D124" s="330">
        <v>3</v>
      </c>
      <c r="E124" s="334" t="s">
        <v>513</v>
      </c>
      <c r="F124" s="334">
        <v>2016</v>
      </c>
      <c r="G124" s="334" t="s">
        <v>691</v>
      </c>
      <c r="H124" s="332">
        <v>5828</v>
      </c>
      <c r="I124" s="332">
        <v>3324</v>
      </c>
      <c r="J124" s="332">
        <v>9325</v>
      </c>
      <c r="K124" s="333">
        <f t="shared" si="64"/>
        <v>1</v>
      </c>
      <c r="L124" s="335">
        <f t="shared" si="57"/>
        <v>1</v>
      </c>
      <c r="M124" s="335">
        <f t="shared" si="57"/>
        <v>1</v>
      </c>
      <c r="N124" s="332">
        <v>93546</v>
      </c>
      <c r="O124" s="332">
        <v>50285</v>
      </c>
      <c r="P124" s="332">
        <v>163342</v>
      </c>
      <c r="Q124" s="333">
        <f t="shared" si="65"/>
        <v>1</v>
      </c>
      <c r="R124" s="333">
        <f t="shared" si="58"/>
        <v>1</v>
      </c>
      <c r="S124" s="333">
        <f t="shared" si="59"/>
        <v>1</v>
      </c>
      <c r="T124" s="332">
        <v>9583</v>
      </c>
      <c r="U124" s="332">
        <v>4600</v>
      </c>
      <c r="V124" s="332">
        <v>16366</v>
      </c>
      <c r="W124" s="333">
        <f t="shared" si="66"/>
        <v>1</v>
      </c>
      <c r="X124" s="333">
        <f t="shared" si="60"/>
        <v>1</v>
      </c>
      <c r="Y124" s="333">
        <f t="shared" si="61"/>
        <v>1</v>
      </c>
      <c r="Z124" s="332">
        <v>103129</v>
      </c>
      <c r="AA124" s="332">
        <v>54885</v>
      </c>
      <c r="AB124" s="332">
        <v>179708</v>
      </c>
      <c r="AC124" s="333">
        <f t="shared" si="67"/>
        <v>1</v>
      </c>
      <c r="AD124" s="333">
        <f t="shared" si="62"/>
        <v>1</v>
      </c>
      <c r="AE124" s="333">
        <f t="shared" si="63"/>
        <v>1</v>
      </c>
    </row>
    <row r="125" spans="2:31">
      <c r="B125" s="312" t="s">
        <v>641</v>
      </c>
      <c r="C125" s="322"/>
      <c r="D125" s="327">
        <v>1</v>
      </c>
      <c r="E125" s="327" t="s">
        <v>514</v>
      </c>
      <c r="F125" s="327">
        <v>2016</v>
      </c>
      <c r="G125" s="327" t="s">
        <v>691</v>
      </c>
      <c r="H125" s="311">
        <v>337</v>
      </c>
      <c r="I125" s="311">
        <v>117</v>
      </c>
      <c r="J125" s="311">
        <v>675</v>
      </c>
      <c r="K125" s="324">
        <f>H125/H$127</f>
        <v>0.30692167577413482</v>
      </c>
      <c r="L125" s="323">
        <f t="shared" ref="L125:M127" si="68">I125/I$127</f>
        <v>0.28260869565217389</v>
      </c>
      <c r="M125" s="323">
        <f t="shared" si="68"/>
        <v>0.32250358337314861</v>
      </c>
      <c r="N125" s="311">
        <v>3018</v>
      </c>
      <c r="O125" s="311">
        <v>933</v>
      </c>
      <c r="P125" s="311">
        <v>6947</v>
      </c>
      <c r="Q125" s="324">
        <f>N125/N$127</f>
        <v>0.25099800399201599</v>
      </c>
      <c r="R125" s="324">
        <f t="shared" ref="R125:R127" si="69">O125/O$127</f>
        <v>0.23336668334167082</v>
      </c>
      <c r="S125" s="324">
        <f t="shared" ref="S125:S127" si="70">P125/P$127</f>
        <v>0.27143080409470971</v>
      </c>
      <c r="T125" s="311">
        <v>322</v>
      </c>
      <c r="U125" s="311">
        <v>90</v>
      </c>
      <c r="V125" s="311">
        <v>675</v>
      </c>
      <c r="W125" s="324">
        <f>T125/T$127</f>
        <v>0.19041986989946777</v>
      </c>
      <c r="X125" s="324">
        <f t="shared" ref="X125:X127" si="71">U125/U$127</f>
        <v>0.16245487364620939</v>
      </c>
      <c r="Y125" s="324">
        <f t="shared" ref="Y125:Y127" si="72">V125/V$127</f>
        <v>0.20891364902506965</v>
      </c>
      <c r="Z125" s="311">
        <v>3340</v>
      </c>
      <c r="AA125" s="311">
        <v>1023</v>
      </c>
      <c r="AB125" s="311">
        <v>7622</v>
      </c>
      <c r="AC125" s="324">
        <f>Z125/Z$127</f>
        <v>0.24352898286547575</v>
      </c>
      <c r="AD125" s="324">
        <f t="shared" ref="AD125:AD127" si="73">AA125/AA$127</f>
        <v>0.22473637961335677</v>
      </c>
      <c r="AE125" s="324">
        <f t="shared" ref="AE125:AE127" si="74">AB125/AB$127</f>
        <v>0.2644232437120555</v>
      </c>
    </row>
    <row r="126" spans="2:31">
      <c r="B126" s="312" t="s">
        <v>642</v>
      </c>
      <c r="C126" s="322"/>
      <c r="D126" s="327">
        <v>2</v>
      </c>
      <c r="E126" s="327" t="s">
        <v>514</v>
      </c>
      <c r="F126" s="327">
        <v>2016</v>
      </c>
      <c r="G126" s="327" t="s">
        <v>691</v>
      </c>
      <c r="H126" s="311">
        <v>761</v>
      </c>
      <c r="I126" s="311">
        <v>297</v>
      </c>
      <c r="J126" s="311">
        <v>1418</v>
      </c>
      <c r="K126" s="324">
        <f t="shared" ref="K126:K127" si="75">H126/H$127</f>
        <v>0.69307832422586524</v>
      </c>
      <c r="L126" s="323">
        <f t="shared" si="68"/>
        <v>0.71739130434782605</v>
      </c>
      <c r="M126" s="323">
        <f t="shared" si="68"/>
        <v>0.67749641662685145</v>
      </c>
      <c r="N126" s="311">
        <v>9006</v>
      </c>
      <c r="O126" s="311">
        <v>3065</v>
      </c>
      <c r="P126" s="311">
        <v>18647</v>
      </c>
      <c r="Q126" s="324">
        <f t="shared" ref="Q126:Q127" si="76">N126/N$127</f>
        <v>0.74900199600798401</v>
      </c>
      <c r="R126" s="324">
        <f t="shared" si="69"/>
        <v>0.76663331665832912</v>
      </c>
      <c r="S126" s="324">
        <f t="shared" si="70"/>
        <v>0.72856919590529035</v>
      </c>
      <c r="T126" s="311">
        <v>1369</v>
      </c>
      <c r="U126" s="311">
        <v>464</v>
      </c>
      <c r="V126" s="311">
        <v>2556</v>
      </c>
      <c r="W126" s="324">
        <f t="shared" ref="W126:W127" si="77">T126/T$127</f>
        <v>0.8095801301005322</v>
      </c>
      <c r="X126" s="324">
        <f t="shared" si="71"/>
        <v>0.83754512635379064</v>
      </c>
      <c r="Y126" s="324">
        <f t="shared" si="72"/>
        <v>0.79108635097493041</v>
      </c>
      <c r="Z126" s="311">
        <v>10375</v>
      </c>
      <c r="AA126" s="311">
        <v>3529</v>
      </c>
      <c r="AB126" s="311">
        <v>21203</v>
      </c>
      <c r="AC126" s="324">
        <f t="shared" ref="AC126:AC127" si="78">Z126/Z$127</f>
        <v>0.75647101713452425</v>
      </c>
      <c r="AD126" s="324">
        <f t="shared" si="73"/>
        <v>0.7752636203866432</v>
      </c>
      <c r="AE126" s="324">
        <f t="shared" si="74"/>
        <v>0.7355767562879445</v>
      </c>
    </row>
    <row r="127" spans="2:31">
      <c r="B127" s="328" t="s">
        <v>7</v>
      </c>
      <c r="C127" s="329"/>
      <c r="D127" s="330">
        <v>3</v>
      </c>
      <c r="E127" s="334" t="s">
        <v>514</v>
      </c>
      <c r="F127" s="334">
        <v>2016</v>
      </c>
      <c r="G127" s="334" t="s">
        <v>691</v>
      </c>
      <c r="H127" s="332">
        <v>1098</v>
      </c>
      <c r="I127" s="332">
        <v>414</v>
      </c>
      <c r="J127" s="332">
        <v>2093</v>
      </c>
      <c r="K127" s="333">
        <f t="shared" si="75"/>
        <v>1</v>
      </c>
      <c r="L127" s="335">
        <f t="shared" si="68"/>
        <v>1</v>
      </c>
      <c r="M127" s="335">
        <f t="shared" si="68"/>
        <v>1</v>
      </c>
      <c r="N127" s="332">
        <v>12024</v>
      </c>
      <c r="O127" s="332">
        <v>3998</v>
      </c>
      <c r="P127" s="332">
        <v>25594</v>
      </c>
      <c r="Q127" s="333">
        <f t="shared" si="76"/>
        <v>1</v>
      </c>
      <c r="R127" s="333">
        <f t="shared" si="69"/>
        <v>1</v>
      </c>
      <c r="S127" s="333">
        <f t="shared" si="70"/>
        <v>1</v>
      </c>
      <c r="T127" s="332">
        <v>1691</v>
      </c>
      <c r="U127" s="332">
        <v>554</v>
      </c>
      <c r="V127" s="332">
        <v>3231</v>
      </c>
      <c r="W127" s="333">
        <f t="shared" si="77"/>
        <v>1</v>
      </c>
      <c r="X127" s="333">
        <f t="shared" si="71"/>
        <v>1</v>
      </c>
      <c r="Y127" s="333">
        <f t="shared" si="72"/>
        <v>1</v>
      </c>
      <c r="Z127" s="332">
        <v>13715</v>
      </c>
      <c r="AA127" s="332">
        <v>4552</v>
      </c>
      <c r="AB127" s="332">
        <v>28825</v>
      </c>
      <c r="AC127" s="333">
        <f t="shared" si="78"/>
        <v>1</v>
      </c>
      <c r="AD127" s="333">
        <f t="shared" si="73"/>
        <v>1</v>
      </c>
      <c r="AE127" s="333">
        <f t="shared" si="74"/>
        <v>1</v>
      </c>
    </row>
    <row r="130" spans="2:31" ht="21">
      <c r="B130" s="326" t="s">
        <v>693</v>
      </c>
    </row>
    <row r="131" spans="2:31">
      <c r="B131" s="17" t="s">
        <v>639</v>
      </c>
    </row>
    <row r="132" spans="2:31">
      <c r="B132" s="27" t="s">
        <v>647</v>
      </c>
    </row>
    <row r="134" spans="2:31" ht="89.1" customHeight="1" thickBot="1">
      <c r="B134" s="314" t="s">
        <v>645</v>
      </c>
      <c r="C134" s="314" t="s">
        <v>644</v>
      </c>
      <c r="D134" s="314" t="s">
        <v>646</v>
      </c>
      <c r="E134" s="314" t="s">
        <v>499</v>
      </c>
      <c r="F134" s="314" t="s">
        <v>690</v>
      </c>
      <c r="G134" s="314" t="s">
        <v>4</v>
      </c>
      <c r="H134" s="319" t="s">
        <v>665</v>
      </c>
      <c r="I134" s="319" t="s">
        <v>666</v>
      </c>
      <c r="J134" s="320" t="s">
        <v>667</v>
      </c>
      <c r="K134" s="319" t="s">
        <v>668</v>
      </c>
      <c r="L134" s="319" t="s">
        <v>669</v>
      </c>
      <c r="M134" s="321" t="s">
        <v>670</v>
      </c>
      <c r="N134" s="319" t="s">
        <v>671</v>
      </c>
      <c r="O134" s="319" t="s">
        <v>672</v>
      </c>
      <c r="P134" s="319" t="s">
        <v>673</v>
      </c>
      <c r="Q134" s="319" t="s">
        <v>674</v>
      </c>
      <c r="R134" s="319" t="s">
        <v>675</v>
      </c>
      <c r="S134" s="319" t="s">
        <v>676</v>
      </c>
      <c r="T134" s="319" t="s">
        <v>677</v>
      </c>
      <c r="U134" s="319" t="s">
        <v>678</v>
      </c>
      <c r="V134" s="321" t="s">
        <v>679</v>
      </c>
      <c r="W134" s="319" t="s">
        <v>680</v>
      </c>
      <c r="X134" s="319" t="s">
        <v>681</v>
      </c>
      <c r="Y134" s="319" t="s">
        <v>682</v>
      </c>
      <c r="Z134" s="319" t="s">
        <v>683</v>
      </c>
      <c r="AA134" s="319" t="s">
        <v>684</v>
      </c>
      <c r="AB134" s="319" t="s">
        <v>685</v>
      </c>
      <c r="AC134" s="319" t="s">
        <v>686</v>
      </c>
      <c r="AD134" s="319" t="s">
        <v>687</v>
      </c>
      <c r="AE134" s="319" t="s">
        <v>688</v>
      </c>
    </row>
    <row r="135" spans="2:31">
      <c r="B135" s="315" t="s">
        <v>648</v>
      </c>
      <c r="C135" s="316"/>
      <c r="D135" s="313">
        <v>1</v>
      </c>
      <c r="E135" s="313" t="s">
        <v>501</v>
      </c>
      <c r="F135" s="313">
        <v>2016</v>
      </c>
      <c r="G135" s="313" t="s">
        <v>691</v>
      </c>
      <c r="H135" s="317">
        <v>53</v>
      </c>
      <c r="I135" s="317">
        <v>30</v>
      </c>
      <c r="J135" s="317">
        <v>98</v>
      </c>
      <c r="K135" s="324">
        <f>H135/H$149</f>
        <v>7.6523245740687269E-3</v>
      </c>
      <c r="L135" s="324">
        <f t="shared" ref="L135:M149" si="79">I135/I$149</f>
        <v>8.0256821829855531E-3</v>
      </c>
      <c r="M135" s="324">
        <f t="shared" si="79"/>
        <v>8.582939218777369E-3</v>
      </c>
      <c r="N135" s="311">
        <v>2234</v>
      </c>
      <c r="O135" s="311">
        <v>1170</v>
      </c>
      <c r="P135" s="311">
        <v>4366</v>
      </c>
      <c r="Q135" s="324">
        <f>N135/N$149</f>
        <v>2.1161314767452876E-2</v>
      </c>
      <c r="R135" s="324">
        <f t="shared" ref="R135:R149" si="80">O135/O$149</f>
        <v>2.1553709264410588E-2</v>
      </c>
      <c r="S135" s="324">
        <f t="shared" ref="S135:S149" si="81">P135/P$149</f>
        <v>2.3108354151670406E-2</v>
      </c>
      <c r="T135" s="311">
        <v>300</v>
      </c>
      <c r="U135" s="311">
        <v>113</v>
      </c>
      <c r="V135" s="311">
        <v>602</v>
      </c>
      <c r="W135" s="324">
        <f>T135/T$149</f>
        <v>2.6609898882384245E-2</v>
      </c>
      <c r="X135" s="324">
        <f t="shared" ref="X135:X149" si="82">U135/U$149</f>
        <v>2.1924718665114473E-2</v>
      </c>
      <c r="Y135" s="324">
        <f t="shared" ref="Y135:Y149" si="83">V135/V$149</f>
        <v>3.071898760014288E-2</v>
      </c>
      <c r="Z135" s="311">
        <v>2534</v>
      </c>
      <c r="AA135" s="311">
        <v>1283</v>
      </c>
      <c r="AB135" s="311">
        <v>4968</v>
      </c>
      <c r="AC135" s="324">
        <f>Z135/Z$149</f>
        <v>2.1687035705727293E-2</v>
      </c>
      <c r="AD135" s="324">
        <f t="shared" ref="AD135:AD149" si="84">AA135/AA$149</f>
        <v>2.1585880848629641E-2</v>
      </c>
      <c r="AE135" s="324">
        <f t="shared" ref="AE135:AE149" si="85">AB135/AB$149</f>
        <v>2.3823567492914789E-2</v>
      </c>
    </row>
    <row r="136" spans="2:31">
      <c r="B136" s="315" t="s">
        <v>649</v>
      </c>
      <c r="C136" s="316"/>
      <c r="D136" s="313">
        <v>2</v>
      </c>
      <c r="E136" s="327" t="s">
        <v>501</v>
      </c>
      <c r="F136" s="313">
        <v>2016</v>
      </c>
      <c r="G136" s="313" t="s">
        <v>691</v>
      </c>
      <c r="H136" s="311">
        <v>95</v>
      </c>
      <c r="I136" s="311">
        <v>47</v>
      </c>
      <c r="J136" s="311">
        <v>174</v>
      </c>
      <c r="K136" s="324">
        <f t="shared" ref="K136:K149" si="86">H136/H$149</f>
        <v>1.3716430840311869E-2</v>
      </c>
      <c r="L136" s="324">
        <f t="shared" si="79"/>
        <v>1.2573568753344035E-2</v>
      </c>
      <c r="M136" s="324">
        <f t="shared" si="79"/>
        <v>1.5239096163951655E-2</v>
      </c>
      <c r="N136" s="311">
        <v>3560</v>
      </c>
      <c r="O136" s="311">
        <v>1607</v>
      </c>
      <c r="P136" s="311">
        <v>7072</v>
      </c>
      <c r="Q136" s="324">
        <f t="shared" ref="Q136:Q149" si="87">N136/N$149</f>
        <v>3.3721701240882827E-2</v>
      </c>
      <c r="R136" s="324">
        <f t="shared" si="80"/>
        <v>2.9604111784536594E-2</v>
      </c>
      <c r="S136" s="324">
        <f t="shared" si="81"/>
        <v>3.7430664351949867E-2</v>
      </c>
      <c r="T136" s="311">
        <v>434</v>
      </c>
      <c r="U136" s="311">
        <v>150</v>
      </c>
      <c r="V136" s="311">
        <v>834</v>
      </c>
      <c r="W136" s="324">
        <f t="shared" ref="W136:W149" si="88">T136/T$149</f>
        <v>3.8495653716515879E-2</v>
      </c>
      <c r="X136" s="324">
        <f t="shared" si="82"/>
        <v>2.9103608847497089E-2</v>
      </c>
      <c r="Y136" s="324">
        <f t="shared" si="83"/>
        <v>4.2557534316477012E-2</v>
      </c>
      <c r="Z136" s="311">
        <v>3994</v>
      </c>
      <c r="AA136" s="311">
        <v>1757</v>
      </c>
      <c r="AB136" s="311">
        <v>7906</v>
      </c>
      <c r="AC136" s="324">
        <f t="shared" ref="AC136:AC149" si="89">Z136/Z$149</f>
        <v>3.4182328574851942E-2</v>
      </c>
      <c r="AD136" s="324">
        <f t="shared" si="84"/>
        <v>2.9560711341420326E-2</v>
      </c>
      <c r="AE136" s="324">
        <f t="shared" si="85"/>
        <v>3.7912464693837425E-2</v>
      </c>
    </row>
    <row r="137" spans="2:31">
      <c r="B137" s="219" t="s">
        <v>650</v>
      </c>
      <c r="C137" s="322"/>
      <c r="D137" s="325">
        <v>3</v>
      </c>
      <c r="E137" s="327" t="s">
        <v>501</v>
      </c>
      <c r="F137" s="313">
        <v>2016</v>
      </c>
      <c r="G137" s="313" t="s">
        <v>691</v>
      </c>
      <c r="H137" s="311">
        <v>168</v>
      </c>
      <c r="I137" s="311">
        <v>86</v>
      </c>
      <c r="J137" s="311">
        <v>284</v>
      </c>
      <c r="K137" s="324">
        <f t="shared" si="86"/>
        <v>2.4256425064972567E-2</v>
      </c>
      <c r="L137" s="324">
        <f t="shared" si="79"/>
        <v>2.3006955591225255E-2</v>
      </c>
      <c r="M137" s="324">
        <f t="shared" si="79"/>
        <v>2.487300753196707E-2</v>
      </c>
      <c r="N137" s="311">
        <v>5624</v>
      </c>
      <c r="O137" s="311">
        <v>2598</v>
      </c>
      <c r="P137" s="311">
        <v>10116</v>
      </c>
      <c r="Q137" s="324">
        <f t="shared" si="87"/>
        <v>5.3272710050203655E-2</v>
      </c>
      <c r="R137" s="324">
        <f t="shared" si="80"/>
        <v>4.786028775122967E-2</v>
      </c>
      <c r="S137" s="324">
        <f t="shared" si="81"/>
        <v>5.3541940127873992E-2</v>
      </c>
      <c r="T137" s="311">
        <v>663</v>
      </c>
      <c r="U137" s="311">
        <v>274</v>
      </c>
      <c r="V137" s="311">
        <v>1156</v>
      </c>
      <c r="W137" s="324">
        <f t="shared" si="88"/>
        <v>5.8807876530069185E-2</v>
      </c>
      <c r="X137" s="324">
        <f t="shared" si="82"/>
        <v>5.3162592161428018E-2</v>
      </c>
      <c r="Y137" s="324">
        <f t="shared" si="83"/>
        <v>5.898862070725111E-2</v>
      </c>
      <c r="Z137" s="311">
        <v>6287</v>
      </c>
      <c r="AA137" s="311">
        <v>2872</v>
      </c>
      <c r="AB137" s="311">
        <v>11272</v>
      </c>
      <c r="AC137" s="324">
        <f t="shared" si="89"/>
        <v>5.3806785115196328E-2</v>
      </c>
      <c r="AD137" s="324">
        <f t="shared" si="84"/>
        <v>4.8320069990073523E-2</v>
      </c>
      <c r="AE137" s="324">
        <f t="shared" si="85"/>
        <v>5.4053794843022446E-2</v>
      </c>
    </row>
    <row r="138" spans="2:31">
      <c r="B138" s="315" t="s">
        <v>651</v>
      </c>
      <c r="C138" s="316"/>
      <c r="D138" s="313">
        <v>4</v>
      </c>
      <c r="E138" s="327" t="s">
        <v>501</v>
      </c>
      <c r="F138" s="313">
        <v>2016</v>
      </c>
      <c r="G138" s="313" t="s">
        <v>691</v>
      </c>
      <c r="H138" s="311">
        <v>309</v>
      </c>
      <c r="I138" s="311">
        <v>175</v>
      </c>
      <c r="J138" s="311">
        <v>497</v>
      </c>
      <c r="K138" s="324">
        <f t="shared" si="86"/>
        <v>4.4614496101645973E-2</v>
      </c>
      <c r="L138" s="324">
        <f t="shared" si="79"/>
        <v>4.6816479400749067E-2</v>
      </c>
      <c r="M138" s="324">
        <f t="shared" si="79"/>
        <v>4.3527763180942369E-2</v>
      </c>
      <c r="N138" s="311">
        <v>8836</v>
      </c>
      <c r="O138" s="311">
        <v>4606</v>
      </c>
      <c r="P138" s="311">
        <v>15764</v>
      </c>
      <c r="Q138" s="324">
        <f t="shared" si="87"/>
        <v>8.3698020270910292E-2</v>
      </c>
      <c r="R138" s="324">
        <f t="shared" si="80"/>
        <v>8.4851611001602711E-2</v>
      </c>
      <c r="S138" s="324">
        <f t="shared" si="81"/>
        <v>8.3435660752847529E-2</v>
      </c>
      <c r="T138" s="311">
        <v>976</v>
      </c>
      <c r="U138" s="311">
        <v>468</v>
      </c>
      <c r="V138" s="311">
        <v>1636</v>
      </c>
      <c r="W138" s="324">
        <f t="shared" si="88"/>
        <v>8.6570871030690083E-2</v>
      </c>
      <c r="X138" s="324">
        <f t="shared" si="82"/>
        <v>9.0803259604190917E-2</v>
      </c>
      <c r="Y138" s="324">
        <f t="shared" si="83"/>
        <v>8.3482165637597597E-2</v>
      </c>
      <c r="Z138" s="311">
        <v>9812</v>
      </c>
      <c r="AA138" s="311">
        <v>5074</v>
      </c>
      <c r="AB138" s="311">
        <v>17400</v>
      </c>
      <c r="AC138" s="324">
        <f t="shared" si="89"/>
        <v>8.397521481633631E-2</v>
      </c>
      <c r="AD138" s="324">
        <f t="shared" si="84"/>
        <v>8.5367700254050508E-2</v>
      </c>
      <c r="AE138" s="324">
        <f t="shared" si="85"/>
        <v>8.3440031074218463E-2</v>
      </c>
    </row>
    <row r="139" spans="2:31">
      <c r="B139" s="315" t="s">
        <v>652</v>
      </c>
      <c r="C139" s="316"/>
      <c r="D139" s="313">
        <v>5</v>
      </c>
      <c r="E139" s="327" t="s">
        <v>501</v>
      </c>
      <c r="F139" s="313">
        <v>2016</v>
      </c>
      <c r="G139" s="313" t="s">
        <v>691</v>
      </c>
      <c r="H139" s="311">
        <v>562</v>
      </c>
      <c r="I139" s="311">
        <v>324</v>
      </c>
      <c r="J139" s="311">
        <v>897</v>
      </c>
      <c r="K139" s="324">
        <f t="shared" si="86"/>
        <v>8.1143517181634414E-2</v>
      </c>
      <c r="L139" s="324">
        <f t="shared" si="79"/>
        <v>8.6677367576243974E-2</v>
      </c>
      <c r="M139" s="324">
        <f t="shared" si="79"/>
        <v>7.8560168155543883E-2</v>
      </c>
      <c r="N139" s="311">
        <v>13845</v>
      </c>
      <c r="O139" s="311">
        <v>7247</v>
      </c>
      <c r="P139" s="311">
        <v>24194</v>
      </c>
      <c r="Q139" s="324">
        <f t="shared" si="87"/>
        <v>0.13114521170787155</v>
      </c>
      <c r="R139" s="324">
        <f t="shared" si="80"/>
        <v>0.13350404362323379</v>
      </c>
      <c r="S139" s="324">
        <f t="shared" si="81"/>
        <v>0.12805394419274252</v>
      </c>
      <c r="T139" s="311">
        <v>1502</v>
      </c>
      <c r="U139" s="311">
        <v>717</v>
      </c>
      <c r="V139" s="311">
        <v>2516</v>
      </c>
      <c r="W139" s="324">
        <f t="shared" si="88"/>
        <v>0.1332268937378038</v>
      </c>
      <c r="X139" s="324">
        <f t="shared" si="82"/>
        <v>0.13911525029103608</v>
      </c>
      <c r="Y139" s="324">
        <f t="shared" si="83"/>
        <v>0.12838699800989947</v>
      </c>
      <c r="Z139" s="311">
        <v>15347</v>
      </c>
      <c r="AA139" s="311">
        <v>7964</v>
      </c>
      <c r="AB139" s="311">
        <v>26710</v>
      </c>
      <c r="AC139" s="324">
        <f t="shared" si="89"/>
        <v>0.13134606826195611</v>
      </c>
      <c r="AD139" s="324">
        <f t="shared" si="84"/>
        <v>0.13399061190840722</v>
      </c>
      <c r="AE139" s="324">
        <f t="shared" si="85"/>
        <v>0.12808524310301009</v>
      </c>
    </row>
    <row r="140" spans="2:31">
      <c r="B140" s="219" t="s">
        <v>653</v>
      </c>
      <c r="C140" s="322"/>
      <c r="D140" s="325">
        <v>6</v>
      </c>
      <c r="E140" s="327" t="s">
        <v>501</v>
      </c>
      <c r="F140" s="313">
        <v>2016</v>
      </c>
      <c r="G140" s="313" t="s">
        <v>691</v>
      </c>
      <c r="H140" s="311">
        <v>814</v>
      </c>
      <c r="I140" s="311">
        <v>486</v>
      </c>
      <c r="J140" s="311">
        <v>1258</v>
      </c>
      <c r="K140" s="324">
        <f t="shared" si="86"/>
        <v>0.11752815477909327</v>
      </c>
      <c r="L140" s="324">
        <f t="shared" si="79"/>
        <v>0.13001605136436598</v>
      </c>
      <c r="M140" s="324">
        <f t="shared" si="79"/>
        <v>0.11017691364512174</v>
      </c>
      <c r="N140" s="311">
        <v>16868</v>
      </c>
      <c r="O140" s="311">
        <v>9402</v>
      </c>
      <c r="P140" s="311">
        <v>28824</v>
      </c>
      <c r="Q140" s="324">
        <f t="shared" si="87"/>
        <v>0.15978024059865492</v>
      </c>
      <c r="R140" s="324">
        <f t="shared" si="80"/>
        <v>0.17320339701195586</v>
      </c>
      <c r="S140" s="324">
        <f t="shared" si="81"/>
        <v>0.15255959690053775</v>
      </c>
      <c r="T140" s="311">
        <v>1773</v>
      </c>
      <c r="U140" s="311">
        <v>866</v>
      </c>
      <c r="V140" s="311">
        <v>2941</v>
      </c>
      <c r="W140" s="324">
        <f t="shared" si="88"/>
        <v>0.1572645023948909</v>
      </c>
      <c r="X140" s="324">
        <f t="shared" si="82"/>
        <v>0.16802483507954988</v>
      </c>
      <c r="Y140" s="324">
        <f t="shared" si="83"/>
        <v>0.1500739909169771</v>
      </c>
      <c r="Z140" s="311">
        <v>18641</v>
      </c>
      <c r="AA140" s="311">
        <v>10268</v>
      </c>
      <c r="AB140" s="311">
        <v>31765</v>
      </c>
      <c r="AC140" s="324">
        <f t="shared" si="89"/>
        <v>0.15953750299544692</v>
      </c>
      <c r="AD140" s="324">
        <f t="shared" si="84"/>
        <v>0.17275434493665562</v>
      </c>
      <c r="AE140" s="324">
        <f t="shared" si="85"/>
        <v>0.15232601075129595</v>
      </c>
    </row>
    <row r="141" spans="2:31">
      <c r="B141" s="312" t="s">
        <v>654</v>
      </c>
      <c r="C141" s="322"/>
      <c r="D141" s="327">
        <v>7</v>
      </c>
      <c r="E141" s="327" t="s">
        <v>501</v>
      </c>
      <c r="F141" s="313">
        <v>2016</v>
      </c>
      <c r="G141" s="313" t="s">
        <v>691</v>
      </c>
      <c r="H141" s="311">
        <v>985</v>
      </c>
      <c r="I141" s="311">
        <v>588</v>
      </c>
      <c r="J141" s="311">
        <v>1484</v>
      </c>
      <c r="K141" s="324">
        <f t="shared" si="86"/>
        <v>0.14221773029165463</v>
      </c>
      <c r="L141" s="324">
        <f t="shared" si="79"/>
        <v>0.15730337078651685</v>
      </c>
      <c r="M141" s="324">
        <f t="shared" si="79"/>
        <v>0.12997022245577158</v>
      </c>
      <c r="N141" s="311">
        <v>17399</v>
      </c>
      <c r="O141" s="311">
        <v>9578</v>
      </c>
      <c r="P141" s="311">
        <v>29492</v>
      </c>
      <c r="Q141" s="324">
        <f t="shared" si="87"/>
        <v>0.16481007862082031</v>
      </c>
      <c r="R141" s="324">
        <f t="shared" si="80"/>
        <v>0.17644566438848258</v>
      </c>
      <c r="S141" s="324">
        <f t="shared" si="81"/>
        <v>0.15609518567133845</v>
      </c>
      <c r="T141" s="311">
        <v>1750</v>
      </c>
      <c r="U141" s="311">
        <v>851</v>
      </c>
      <c r="V141" s="311">
        <v>2891</v>
      </c>
      <c r="W141" s="324">
        <f t="shared" si="88"/>
        <v>0.15522441014724145</v>
      </c>
      <c r="X141" s="324">
        <f t="shared" si="82"/>
        <v>0.16511447419480016</v>
      </c>
      <c r="Y141" s="324">
        <f t="shared" si="83"/>
        <v>0.14752257998673265</v>
      </c>
      <c r="Z141" s="311">
        <v>19149</v>
      </c>
      <c r="AA141" s="311">
        <v>10429</v>
      </c>
      <c r="AB141" s="311">
        <v>32383</v>
      </c>
      <c r="AC141" s="324">
        <f t="shared" si="89"/>
        <v>0.16388518024032042</v>
      </c>
      <c r="AD141" s="324">
        <f t="shared" si="84"/>
        <v>0.17546309537829971</v>
      </c>
      <c r="AE141" s="324">
        <f t="shared" si="85"/>
        <v>0.15528957047565614</v>
      </c>
    </row>
    <row r="142" spans="2:31">
      <c r="B142" s="312" t="s">
        <v>655</v>
      </c>
      <c r="C142" s="322"/>
      <c r="D142" s="327">
        <v>8</v>
      </c>
      <c r="E142" s="327" t="s">
        <v>501</v>
      </c>
      <c r="F142" s="313">
        <v>2016</v>
      </c>
      <c r="G142" s="313" t="s">
        <v>691</v>
      </c>
      <c r="H142" s="311">
        <v>828</v>
      </c>
      <c r="I142" s="311">
        <v>474</v>
      </c>
      <c r="J142" s="311">
        <v>1286</v>
      </c>
      <c r="K142" s="324">
        <f t="shared" si="86"/>
        <v>0.11954952353450765</v>
      </c>
      <c r="L142" s="324">
        <f t="shared" si="79"/>
        <v>0.12680577849117175</v>
      </c>
      <c r="M142" s="324">
        <f t="shared" si="79"/>
        <v>0.11262918199334385</v>
      </c>
      <c r="N142" s="311">
        <v>12142</v>
      </c>
      <c r="O142" s="311">
        <v>6298</v>
      </c>
      <c r="P142" s="311">
        <v>20420</v>
      </c>
      <c r="Q142" s="324">
        <f t="shared" si="87"/>
        <v>0.11501373496258407</v>
      </c>
      <c r="R142" s="324">
        <f t="shared" si="80"/>
        <v>0.11602159055321187</v>
      </c>
      <c r="S142" s="324">
        <f t="shared" si="81"/>
        <v>0.10807892619723081</v>
      </c>
      <c r="T142" s="311">
        <v>1272</v>
      </c>
      <c r="U142" s="311">
        <v>605</v>
      </c>
      <c r="V142" s="311">
        <v>2146</v>
      </c>
      <c r="W142" s="324">
        <f t="shared" si="88"/>
        <v>0.11282597126130921</v>
      </c>
      <c r="X142" s="324">
        <f t="shared" si="82"/>
        <v>0.11738455568490493</v>
      </c>
      <c r="Y142" s="324">
        <f t="shared" si="83"/>
        <v>0.10950655712609073</v>
      </c>
      <c r="Z142" s="311">
        <v>13414</v>
      </c>
      <c r="AA142" s="311">
        <v>6903</v>
      </c>
      <c r="AB142" s="311">
        <v>22566</v>
      </c>
      <c r="AC142" s="324">
        <f t="shared" si="89"/>
        <v>0.11480264284002602</v>
      </c>
      <c r="AD142" s="324">
        <f t="shared" si="84"/>
        <v>0.1161397782526036</v>
      </c>
      <c r="AE142" s="324">
        <f t="shared" si="85"/>
        <v>0.10821308857590885</v>
      </c>
    </row>
    <row r="143" spans="2:31">
      <c r="B143" s="219" t="s">
        <v>656</v>
      </c>
      <c r="C143" s="322"/>
      <c r="D143" s="325">
        <v>9</v>
      </c>
      <c r="E143" s="327" t="s">
        <v>501</v>
      </c>
      <c r="F143" s="313">
        <v>2016</v>
      </c>
      <c r="G143" s="313" t="s">
        <v>691</v>
      </c>
      <c r="H143" s="311">
        <v>765</v>
      </c>
      <c r="I143" s="311">
        <v>416</v>
      </c>
      <c r="J143" s="311">
        <v>1246</v>
      </c>
      <c r="K143" s="324">
        <f t="shared" si="86"/>
        <v>0.11045336413514294</v>
      </c>
      <c r="L143" s="324">
        <f t="shared" si="79"/>
        <v>0.11128945960406635</v>
      </c>
      <c r="M143" s="324">
        <f t="shared" si="79"/>
        <v>0.1091259414958837</v>
      </c>
      <c r="N143" s="311">
        <v>8907</v>
      </c>
      <c r="O143" s="311">
        <v>4288</v>
      </c>
      <c r="P143" s="311">
        <v>16080</v>
      </c>
      <c r="Q143" s="324">
        <f t="shared" si="87"/>
        <v>8.4370559818130145E-2</v>
      </c>
      <c r="R143" s="324">
        <f t="shared" si="80"/>
        <v>7.8993423355378289E-2</v>
      </c>
      <c r="S143" s="324">
        <f t="shared" si="81"/>
        <v>8.5108184782148447E-2</v>
      </c>
      <c r="T143" s="311">
        <v>919</v>
      </c>
      <c r="U143" s="311">
        <v>410</v>
      </c>
      <c r="V143" s="311">
        <v>1667</v>
      </c>
      <c r="W143" s="324">
        <f t="shared" si="88"/>
        <v>8.1514990243037072E-2</v>
      </c>
      <c r="X143" s="324">
        <f t="shared" si="82"/>
        <v>7.9549864183158708E-2</v>
      </c>
      <c r="Y143" s="324">
        <f t="shared" si="83"/>
        <v>8.5064040414349132E-2</v>
      </c>
      <c r="Z143" s="311">
        <v>9826</v>
      </c>
      <c r="AA143" s="311">
        <v>4698</v>
      </c>
      <c r="AB143" s="311">
        <v>17747</v>
      </c>
      <c r="AC143" s="324">
        <f t="shared" si="89"/>
        <v>8.4095032693163541E-2</v>
      </c>
      <c r="AD143" s="324">
        <f t="shared" si="84"/>
        <v>7.9041674377912749E-2</v>
      </c>
      <c r="AE143" s="324">
        <f t="shared" si="85"/>
        <v>8.5104036291618113E-2</v>
      </c>
    </row>
    <row r="144" spans="2:31">
      <c r="B144" s="219" t="s">
        <v>657</v>
      </c>
      <c r="C144" s="322"/>
      <c r="D144" s="325">
        <v>10</v>
      </c>
      <c r="E144" s="327" t="s">
        <v>501</v>
      </c>
      <c r="F144" s="313">
        <v>2016</v>
      </c>
      <c r="G144" s="313" t="s">
        <v>691</v>
      </c>
      <c r="H144" s="311">
        <v>964</v>
      </c>
      <c r="I144" s="311">
        <v>509</v>
      </c>
      <c r="J144" s="311">
        <v>1635</v>
      </c>
      <c r="K144" s="324">
        <f t="shared" si="86"/>
        <v>0.13918567715853306</v>
      </c>
      <c r="L144" s="324">
        <f t="shared" si="79"/>
        <v>0.13616907437132156</v>
      </c>
      <c r="M144" s="324">
        <f t="shared" si="79"/>
        <v>0.14319495533368365</v>
      </c>
      <c r="N144" s="311">
        <v>8285</v>
      </c>
      <c r="O144" s="311">
        <v>4208</v>
      </c>
      <c r="P144" s="311">
        <v>16403</v>
      </c>
      <c r="Q144" s="324">
        <f t="shared" si="87"/>
        <v>7.8478734488964669E-2</v>
      </c>
      <c r="R144" s="324">
        <f t="shared" si="80"/>
        <v>7.7519665456957057E-2</v>
      </c>
      <c r="S144" s="324">
        <f t="shared" si="81"/>
        <v>8.6817758394376929E-2</v>
      </c>
      <c r="T144" s="311">
        <v>917</v>
      </c>
      <c r="U144" s="311">
        <v>412</v>
      </c>
      <c r="V144" s="311">
        <v>1696</v>
      </c>
      <c r="W144" s="324">
        <f t="shared" si="88"/>
        <v>8.133759091715452E-2</v>
      </c>
      <c r="X144" s="324">
        <f t="shared" si="82"/>
        <v>7.9937912301125333E-2</v>
      </c>
      <c r="Y144" s="324">
        <f t="shared" si="83"/>
        <v>8.6543858753890895E-2</v>
      </c>
      <c r="Z144" s="311">
        <v>9202</v>
      </c>
      <c r="AA144" s="311">
        <v>4620</v>
      </c>
      <c r="AB144" s="311">
        <v>18099</v>
      </c>
      <c r="AC144" s="324">
        <f t="shared" si="89"/>
        <v>7.8754578754578752E-2</v>
      </c>
      <c r="AD144" s="324">
        <f t="shared" si="84"/>
        <v>7.7729360499352251E-2</v>
      </c>
      <c r="AE144" s="324">
        <f t="shared" si="85"/>
        <v>8.6792018529441378E-2</v>
      </c>
    </row>
    <row r="145" spans="2:31">
      <c r="B145" s="219" t="s">
        <v>658</v>
      </c>
      <c r="C145" s="322"/>
      <c r="D145" s="325">
        <v>11</v>
      </c>
      <c r="E145" s="327" t="s">
        <v>501</v>
      </c>
      <c r="F145" s="313">
        <v>2016</v>
      </c>
      <c r="G145" s="313" t="s">
        <v>691</v>
      </c>
      <c r="H145" s="311">
        <v>791</v>
      </c>
      <c r="I145" s="311">
        <v>367</v>
      </c>
      <c r="J145" s="311">
        <v>1409</v>
      </c>
      <c r="K145" s="324">
        <f t="shared" si="86"/>
        <v>0.1142073346809125</v>
      </c>
      <c r="L145" s="324">
        <f t="shared" si="79"/>
        <v>9.8180845371856604E-2</v>
      </c>
      <c r="M145" s="324">
        <f t="shared" si="79"/>
        <v>0.1234016465230338</v>
      </c>
      <c r="N145" s="311">
        <v>5126</v>
      </c>
      <c r="O145" s="311">
        <v>2342</v>
      </c>
      <c r="P145" s="311">
        <v>10681</v>
      </c>
      <c r="Q145" s="324">
        <f t="shared" si="87"/>
        <v>4.8555460831675668E-2</v>
      </c>
      <c r="R145" s="324">
        <f t="shared" si="80"/>
        <v>4.3144262476281711E-2</v>
      </c>
      <c r="S145" s="324">
        <f t="shared" si="81"/>
        <v>5.6532370749883556E-2</v>
      </c>
      <c r="T145" s="311">
        <v>549</v>
      </c>
      <c r="U145" s="311">
        <v>218</v>
      </c>
      <c r="V145" s="311">
        <v>1045</v>
      </c>
      <c r="W145" s="324">
        <f t="shared" si="88"/>
        <v>4.869611495476317E-2</v>
      </c>
      <c r="X145" s="324">
        <f t="shared" si="82"/>
        <v>4.2297244858362434E-2</v>
      </c>
      <c r="Y145" s="324">
        <f t="shared" si="83"/>
        <v>5.3324488442108485E-2</v>
      </c>
      <c r="Z145" s="311">
        <v>5675</v>
      </c>
      <c r="AA145" s="311">
        <v>2560</v>
      </c>
      <c r="AB145" s="311">
        <v>11726</v>
      </c>
      <c r="AC145" s="324">
        <f t="shared" si="89"/>
        <v>4.8569032213892027E-2</v>
      </c>
      <c r="AD145" s="324">
        <f t="shared" si="84"/>
        <v>4.3070814475831554E-2</v>
      </c>
      <c r="AE145" s="324">
        <f t="shared" si="85"/>
        <v>5.623090829748769E-2</v>
      </c>
    </row>
    <row r="146" spans="2:31">
      <c r="B146" s="219" t="s">
        <v>659</v>
      </c>
      <c r="C146" s="322"/>
      <c r="D146" s="325">
        <v>12</v>
      </c>
      <c r="E146" s="327" t="s">
        <v>501</v>
      </c>
      <c r="F146" s="313">
        <v>2016</v>
      </c>
      <c r="G146" s="313" t="s">
        <v>691</v>
      </c>
      <c r="H146" s="311">
        <v>379</v>
      </c>
      <c r="I146" s="311">
        <v>152</v>
      </c>
      <c r="J146" s="311">
        <v>718</v>
      </c>
      <c r="K146" s="324">
        <f t="shared" si="86"/>
        <v>5.4721339878717877E-2</v>
      </c>
      <c r="L146" s="324">
        <f t="shared" si="79"/>
        <v>4.0663456393793471E-2</v>
      </c>
      <c r="M146" s="324">
        <f t="shared" si="79"/>
        <v>6.2883166929409706E-2</v>
      </c>
      <c r="N146" s="311">
        <v>2032</v>
      </c>
      <c r="O146" s="311">
        <v>659</v>
      </c>
      <c r="P146" s="311">
        <v>3862</v>
      </c>
      <c r="Q146" s="324">
        <f t="shared" si="87"/>
        <v>1.9247892393672444E-2</v>
      </c>
      <c r="R146" s="324">
        <f t="shared" si="80"/>
        <v>1.2140080688244938E-2</v>
      </c>
      <c r="S146" s="324">
        <f t="shared" si="81"/>
        <v>2.0440784180886649E-2</v>
      </c>
      <c r="T146" s="311">
        <v>164</v>
      </c>
      <c r="U146" s="311">
        <v>55</v>
      </c>
      <c r="V146" s="311">
        <v>345</v>
      </c>
      <c r="W146" s="324">
        <f t="shared" si="88"/>
        <v>1.4546744722370055E-2</v>
      </c>
      <c r="X146" s="324">
        <f t="shared" si="82"/>
        <v>1.0671323244082266E-2</v>
      </c>
      <c r="Y146" s="324">
        <f t="shared" si="83"/>
        <v>1.7604735418686533E-2</v>
      </c>
      <c r="Z146" s="311">
        <v>2196</v>
      </c>
      <c r="AA146" s="311">
        <v>714</v>
      </c>
      <c r="AB146" s="311">
        <v>4207</v>
      </c>
      <c r="AC146" s="324">
        <f t="shared" si="89"/>
        <v>1.8794289822327205E-2</v>
      </c>
      <c r="AD146" s="324">
        <f t="shared" si="84"/>
        <v>1.2012719349899894E-2</v>
      </c>
      <c r="AE146" s="324">
        <f t="shared" si="85"/>
        <v>2.0174264984438913E-2</v>
      </c>
    </row>
    <row r="147" spans="2:31">
      <c r="B147" s="219" t="s">
        <v>660</v>
      </c>
      <c r="C147" s="322"/>
      <c r="D147" s="325">
        <v>13</v>
      </c>
      <c r="E147" s="327" t="s">
        <v>501</v>
      </c>
      <c r="F147" s="313">
        <v>2016</v>
      </c>
      <c r="G147" s="313" t="s">
        <v>691</v>
      </c>
      <c r="H147" s="311">
        <v>183</v>
      </c>
      <c r="I147" s="311">
        <v>74</v>
      </c>
      <c r="J147" s="311">
        <v>366</v>
      </c>
      <c r="K147" s="324">
        <f t="shared" si="86"/>
        <v>2.6422177302916548E-2</v>
      </c>
      <c r="L147" s="324">
        <f t="shared" si="79"/>
        <v>1.9796682718031033E-2</v>
      </c>
      <c r="M147" s="324">
        <f t="shared" si="79"/>
        <v>3.2054650551760377E-2</v>
      </c>
      <c r="N147" s="311">
        <v>634</v>
      </c>
      <c r="O147" s="311">
        <v>254</v>
      </c>
      <c r="P147" s="311">
        <v>1464</v>
      </c>
      <c r="Q147" s="324">
        <f t="shared" si="87"/>
        <v>6.0054939850336274E-3</v>
      </c>
      <c r="R147" s="324">
        <f t="shared" si="80"/>
        <v>4.6791813274874271E-3</v>
      </c>
      <c r="S147" s="324">
        <f t="shared" si="81"/>
        <v>7.7486556294194863E-3</v>
      </c>
      <c r="T147" s="311">
        <v>53</v>
      </c>
      <c r="U147" s="311">
        <v>15</v>
      </c>
      <c r="V147" s="311">
        <v>116</v>
      </c>
      <c r="W147" s="324">
        <f t="shared" si="88"/>
        <v>4.7010821358878839E-3</v>
      </c>
      <c r="X147" s="324">
        <f t="shared" si="82"/>
        <v>2.9103608847497091E-3</v>
      </c>
      <c r="Y147" s="324">
        <f t="shared" si="83"/>
        <v>5.9192733581670664E-3</v>
      </c>
      <c r="Z147" s="311">
        <v>687</v>
      </c>
      <c r="AA147" s="311">
        <v>269</v>
      </c>
      <c r="AB147" s="311">
        <v>1580</v>
      </c>
      <c r="AC147" s="324">
        <f t="shared" si="89"/>
        <v>5.8796343843072812E-3</v>
      </c>
      <c r="AD147" s="324">
        <f t="shared" si="84"/>
        <v>4.5258004273432371E-3</v>
      </c>
      <c r="AE147" s="324">
        <f t="shared" si="85"/>
        <v>7.5767384538658151E-3</v>
      </c>
    </row>
    <row r="148" spans="2:31">
      <c r="B148" s="219" t="s">
        <v>661</v>
      </c>
      <c r="C148" s="322"/>
      <c r="D148" s="325">
        <v>14</v>
      </c>
      <c r="E148" s="327" t="s">
        <v>501</v>
      </c>
      <c r="F148" s="313">
        <v>2016</v>
      </c>
      <c r="G148" s="313" t="s">
        <v>691</v>
      </c>
      <c r="H148" s="311">
        <v>30</v>
      </c>
      <c r="I148" s="311">
        <v>10</v>
      </c>
      <c r="J148" s="311">
        <v>66</v>
      </c>
      <c r="K148" s="324">
        <f t="shared" si="86"/>
        <v>4.3315044758879583E-3</v>
      </c>
      <c r="L148" s="324">
        <f t="shared" si="79"/>
        <v>2.6752273943285178E-3</v>
      </c>
      <c r="M148" s="324">
        <f t="shared" si="79"/>
        <v>5.7803468208092483E-3</v>
      </c>
      <c r="N148" s="311">
        <v>78</v>
      </c>
      <c r="O148" s="311">
        <v>26</v>
      </c>
      <c r="P148" s="311">
        <v>198</v>
      </c>
      <c r="Q148" s="324">
        <f t="shared" si="87"/>
        <v>7.3884626314293835E-4</v>
      </c>
      <c r="R148" s="324">
        <f t="shared" si="80"/>
        <v>4.7897131698690197E-4</v>
      </c>
      <c r="S148" s="324">
        <f t="shared" si="81"/>
        <v>1.0479739170936189E-3</v>
      </c>
      <c r="T148" s="311">
        <v>2</v>
      </c>
      <c r="U148" s="311">
        <v>0</v>
      </c>
      <c r="V148" s="311">
        <v>6</v>
      </c>
      <c r="W148" s="324">
        <f t="shared" si="88"/>
        <v>1.7739932588256165E-4</v>
      </c>
      <c r="X148" s="324">
        <f t="shared" si="82"/>
        <v>0</v>
      </c>
      <c r="Y148" s="324">
        <f t="shared" si="83"/>
        <v>3.0616931162933103E-4</v>
      </c>
      <c r="Z148" s="311">
        <v>80</v>
      </c>
      <c r="AA148" s="311">
        <v>26</v>
      </c>
      <c r="AB148" s="311">
        <v>204</v>
      </c>
      <c r="AC148" s="324">
        <f t="shared" si="89"/>
        <v>6.8467358186984355E-4</v>
      </c>
      <c r="AD148" s="324">
        <f t="shared" si="84"/>
        <v>4.3743795952016422E-4</v>
      </c>
      <c r="AE148" s="324">
        <f t="shared" si="85"/>
        <v>9.7826243328394077E-4</v>
      </c>
    </row>
    <row r="149" spans="2:31">
      <c r="B149" s="328" t="s">
        <v>7</v>
      </c>
      <c r="C149" s="329"/>
      <c r="D149" s="330">
        <v>99</v>
      </c>
      <c r="E149" s="334" t="s">
        <v>501</v>
      </c>
      <c r="F149" s="334">
        <v>2016</v>
      </c>
      <c r="G149" s="334" t="s">
        <v>691</v>
      </c>
      <c r="H149" s="332">
        <v>6926</v>
      </c>
      <c r="I149" s="332">
        <v>3738</v>
      </c>
      <c r="J149" s="332">
        <v>11418</v>
      </c>
      <c r="K149" s="333">
        <f t="shared" si="86"/>
        <v>1</v>
      </c>
      <c r="L149" s="333">
        <f t="shared" si="79"/>
        <v>1</v>
      </c>
      <c r="M149" s="333">
        <f t="shared" si="79"/>
        <v>1</v>
      </c>
      <c r="N149" s="332">
        <v>105570</v>
      </c>
      <c r="O149" s="332">
        <v>54283</v>
      </c>
      <c r="P149" s="332">
        <v>188936</v>
      </c>
      <c r="Q149" s="333">
        <f t="shared" si="87"/>
        <v>1</v>
      </c>
      <c r="R149" s="333">
        <f t="shared" si="80"/>
        <v>1</v>
      </c>
      <c r="S149" s="333">
        <f t="shared" si="81"/>
        <v>1</v>
      </c>
      <c r="T149" s="332">
        <v>11274</v>
      </c>
      <c r="U149" s="332">
        <v>5154</v>
      </c>
      <c r="V149" s="332">
        <v>19597</v>
      </c>
      <c r="W149" s="333">
        <f t="shared" si="88"/>
        <v>1</v>
      </c>
      <c r="X149" s="333">
        <f t="shared" si="82"/>
        <v>1</v>
      </c>
      <c r="Y149" s="333">
        <f t="shared" si="83"/>
        <v>1</v>
      </c>
      <c r="Z149" s="332">
        <v>116844</v>
      </c>
      <c r="AA149" s="332">
        <v>59437</v>
      </c>
      <c r="AB149" s="332">
        <v>208533</v>
      </c>
      <c r="AC149" s="333">
        <f t="shared" si="89"/>
        <v>1</v>
      </c>
      <c r="AD149" s="333">
        <f t="shared" si="84"/>
        <v>1</v>
      </c>
      <c r="AE149" s="333">
        <f t="shared" si="85"/>
        <v>1</v>
      </c>
    </row>
    <row r="150" spans="2:31">
      <c r="B150" s="315" t="s">
        <v>648</v>
      </c>
      <c r="C150" s="316"/>
      <c r="D150" s="313">
        <v>1</v>
      </c>
      <c r="E150" s="313" t="s">
        <v>513</v>
      </c>
      <c r="F150" s="313">
        <v>2016</v>
      </c>
      <c r="G150" s="313" t="s">
        <v>691</v>
      </c>
      <c r="H150" s="311">
        <v>53</v>
      </c>
      <c r="I150" s="311">
        <v>30</v>
      </c>
      <c r="J150" s="311">
        <v>97</v>
      </c>
      <c r="K150" s="324">
        <f>H150/H$164</f>
        <v>9.0940288263555245E-3</v>
      </c>
      <c r="L150" s="324">
        <f t="shared" ref="L150:M164" si="90">I150/I$164</f>
        <v>9.0252707581227436E-3</v>
      </c>
      <c r="M150" s="324">
        <f t="shared" si="90"/>
        <v>1.0402144772117962E-2</v>
      </c>
      <c r="N150" s="311">
        <v>2234</v>
      </c>
      <c r="O150" s="311">
        <v>1170</v>
      </c>
      <c r="P150" s="311">
        <v>4313</v>
      </c>
      <c r="Q150" s="324">
        <f>N150/N$164</f>
        <v>2.3881299040044469E-2</v>
      </c>
      <c r="R150" s="324">
        <f t="shared" ref="R150:R164" si="91">O150/O$164</f>
        <v>2.3267375957044846E-2</v>
      </c>
      <c r="S150" s="324">
        <f t="shared" ref="S150:S164" si="92">P150/P$164</f>
        <v>2.6404721382130743E-2</v>
      </c>
      <c r="T150" s="311">
        <v>274</v>
      </c>
      <c r="U150" s="311">
        <v>107</v>
      </c>
      <c r="V150" s="311">
        <v>547</v>
      </c>
      <c r="W150" s="324">
        <f>T150/T$164</f>
        <v>2.8592298862569133E-2</v>
      </c>
      <c r="X150" s="324">
        <f t="shared" ref="X150:X164" si="93">U150/U$164</f>
        <v>2.326086956521739E-2</v>
      </c>
      <c r="Y150" s="324">
        <f t="shared" ref="Y150:Y164" si="94">V150/V$164</f>
        <v>3.3422950018330684E-2</v>
      </c>
      <c r="Z150" s="311">
        <v>2508</v>
      </c>
      <c r="AA150" s="311">
        <v>1277</v>
      </c>
      <c r="AB150" s="311">
        <v>4860</v>
      </c>
      <c r="AC150" s="324">
        <f>Z150/Z$164</f>
        <v>2.4319056715375889E-2</v>
      </c>
      <c r="AD150" s="324">
        <f t="shared" ref="AD150:AD164" si="95">AA150/AA$164</f>
        <v>2.3266830645895964E-2</v>
      </c>
      <c r="AE150" s="324">
        <f t="shared" ref="AE150:AE164" si="96">AB150/AB$164</f>
        <v>2.7043871168784917E-2</v>
      </c>
    </row>
    <row r="151" spans="2:31">
      <c r="B151" s="315" t="s">
        <v>649</v>
      </c>
      <c r="C151" s="316"/>
      <c r="D151" s="313">
        <v>2</v>
      </c>
      <c r="E151" s="313" t="s">
        <v>513</v>
      </c>
      <c r="F151" s="313">
        <v>2016</v>
      </c>
      <c r="G151" s="313" t="s">
        <v>691</v>
      </c>
      <c r="H151" s="311">
        <v>94</v>
      </c>
      <c r="I151" s="311">
        <v>47</v>
      </c>
      <c r="J151" s="311">
        <v>170</v>
      </c>
      <c r="K151" s="324">
        <f t="shared" ref="K151:K164" si="97">H151/H$164</f>
        <v>1.6129032258064516E-2</v>
      </c>
      <c r="L151" s="324">
        <f t="shared" si="90"/>
        <v>1.4139590854392299E-2</v>
      </c>
      <c r="M151" s="324">
        <f t="shared" si="90"/>
        <v>1.8230563002680965E-2</v>
      </c>
      <c r="N151" s="311">
        <v>3514</v>
      </c>
      <c r="O151" s="311">
        <v>1607</v>
      </c>
      <c r="P151" s="311">
        <v>6888</v>
      </c>
      <c r="Q151" s="324">
        <f t="shared" ref="Q151:Q164" si="98">N151/N$164</f>
        <v>3.7564406815898059E-2</v>
      </c>
      <c r="R151" s="324">
        <f t="shared" si="91"/>
        <v>3.1957840310231682E-2</v>
      </c>
      <c r="S151" s="324">
        <f t="shared" si="92"/>
        <v>4.216919102251717E-2</v>
      </c>
      <c r="T151" s="311">
        <v>394</v>
      </c>
      <c r="U151" s="311">
        <v>138</v>
      </c>
      <c r="V151" s="311">
        <v>748</v>
      </c>
      <c r="W151" s="324">
        <f t="shared" ref="W151:W164" si="99">T151/T$164</f>
        <v>4.1114473546905977E-2</v>
      </c>
      <c r="X151" s="324">
        <f t="shared" si="93"/>
        <v>0.03</v>
      </c>
      <c r="Y151" s="324">
        <f t="shared" si="94"/>
        <v>4.5704509348649641E-2</v>
      </c>
      <c r="Z151" s="311">
        <v>3908</v>
      </c>
      <c r="AA151" s="311">
        <v>1745</v>
      </c>
      <c r="AB151" s="311">
        <v>7636</v>
      </c>
      <c r="AC151" s="324">
        <f t="shared" ref="AC151:AC164" si="100">Z151/Z$164</f>
        <v>3.7894287736718088E-2</v>
      </c>
      <c r="AD151" s="324">
        <f t="shared" si="95"/>
        <v>3.1793750569372323E-2</v>
      </c>
      <c r="AE151" s="324">
        <f t="shared" si="96"/>
        <v>4.2491152313753423E-2</v>
      </c>
    </row>
    <row r="152" spans="2:31">
      <c r="B152" s="219" t="s">
        <v>650</v>
      </c>
      <c r="C152" s="322"/>
      <c r="D152" s="325">
        <v>3</v>
      </c>
      <c r="E152" s="313" t="s">
        <v>513</v>
      </c>
      <c r="F152" s="313">
        <v>2016</v>
      </c>
      <c r="G152" s="313" t="s">
        <v>691</v>
      </c>
      <c r="H152" s="311">
        <v>165</v>
      </c>
      <c r="I152" s="311">
        <v>86</v>
      </c>
      <c r="J152" s="311">
        <v>276</v>
      </c>
      <c r="K152" s="324">
        <f t="shared" si="97"/>
        <v>2.8311599176389843E-2</v>
      </c>
      <c r="L152" s="324">
        <f t="shared" si="90"/>
        <v>2.5872442839951864E-2</v>
      </c>
      <c r="M152" s="324">
        <f t="shared" si="90"/>
        <v>2.9597855227882039E-2</v>
      </c>
      <c r="N152" s="311">
        <v>5501</v>
      </c>
      <c r="O152" s="311">
        <v>2598</v>
      </c>
      <c r="P152" s="311">
        <v>9788</v>
      </c>
      <c r="Q152" s="324">
        <f t="shared" si="98"/>
        <v>5.8805293652320782E-2</v>
      </c>
      <c r="R152" s="324">
        <f t="shared" si="91"/>
        <v>5.1665506612309835E-2</v>
      </c>
      <c r="S152" s="324">
        <f t="shared" si="92"/>
        <v>5.9923351005864996E-2</v>
      </c>
      <c r="T152" s="311">
        <v>594</v>
      </c>
      <c r="U152" s="311">
        <v>253</v>
      </c>
      <c r="V152" s="311">
        <v>1023</v>
      </c>
      <c r="W152" s="324">
        <f t="shared" si="99"/>
        <v>6.1984764687467393E-2</v>
      </c>
      <c r="X152" s="324">
        <f t="shared" si="93"/>
        <v>5.5E-2</v>
      </c>
      <c r="Y152" s="324">
        <f t="shared" si="94"/>
        <v>6.2507637785653186E-2</v>
      </c>
      <c r="Z152" s="311">
        <v>6095</v>
      </c>
      <c r="AA152" s="311">
        <v>2851</v>
      </c>
      <c r="AB152" s="311">
        <v>10811</v>
      </c>
      <c r="AC152" s="324">
        <f t="shared" si="100"/>
        <v>5.9100737910771944E-2</v>
      </c>
      <c r="AD152" s="324">
        <f t="shared" si="95"/>
        <v>5.1944975858613462E-2</v>
      </c>
      <c r="AE152" s="324">
        <f t="shared" si="96"/>
        <v>6.0158701894183896E-2</v>
      </c>
    </row>
    <row r="153" spans="2:31">
      <c r="B153" s="315" t="s">
        <v>651</v>
      </c>
      <c r="C153" s="316"/>
      <c r="D153" s="313">
        <v>4</v>
      </c>
      <c r="E153" s="313" t="s">
        <v>513</v>
      </c>
      <c r="F153" s="313">
        <v>2016</v>
      </c>
      <c r="G153" s="313" t="s">
        <v>691</v>
      </c>
      <c r="H153" s="311">
        <v>301</v>
      </c>
      <c r="I153" s="311">
        <v>173</v>
      </c>
      <c r="J153" s="311">
        <v>477</v>
      </c>
      <c r="K153" s="324">
        <f t="shared" si="97"/>
        <v>5.1647220315717224E-2</v>
      </c>
      <c r="L153" s="324">
        <f t="shared" si="90"/>
        <v>5.2045728038507821E-2</v>
      </c>
      <c r="M153" s="324">
        <f t="shared" si="90"/>
        <v>5.1152815013404823E-2</v>
      </c>
      <c r="N153" s="311">
        <v>8564</v>
      </c>
      <c r="O153" s="311">
        <v>4538</v>
      </c>
      <c r="P153" s="311">
        <v>15039</v>
      </c>
      <c r="Q153" s="324">
        <f t="shared" si="98"/>
        <v>9.1548542962820431E-2</v>
      </c>
      <c r="R153" s="324">
        <f t="shared" si="91"/>
        <v>9.0245600079546587E-2</v>
      </c>
      <c r="S153" s="324">
        <f t="shared" si="92"/>
        <v>9.2070624823988936E-2</v>
      </c>
      <c r="T153" s="311">
        <v>870</v>
      </c>
      <c r="U153" s="311">
        <v>431</v>
      </c>
      <c r="V153" s="311">
        <v>1438</v>
      </c>
      <c r="W153" s="324">
        <f t="shared" si="99"/>
        <v>9.0785766461442138E-2</v>
      </c>
      <c r="X153" s="324">
        <f t="shared" si="93"/>
        <v>9.3695652173913041E-2</v>
      </c>
      <c r="Y153" s="324">
        <f t="shared" si="94"/>
        <v>8.7865086154222172E-2</v>
      </c>
      <c r="Z153" s="311">
        <v>9434</v>
      </c>
      <c r="AA153" s="311">
        <v>4969</v>
      </c>
      <c r="AB153" s="311">
        <v>16477</v>
      </c>
      <c r="AC153" s="324">
        <f t="shared" si="100"/>
        <v>9.1477663896673098E-2</v>
      </c>
      <c r="AD153" s="324">
        <f t="shared" si="95"/>
        <v>9.0534754486653907E-2</v>
      </c>
      <c r="AE153" s="324">
        <f t="shared" si="96"/>
        <v>9.1687626594252905E-2</v>
      </c>
    </row>
    <row r="154" spans="2:31">
      <c r="B154" s="315" t="s">
        <v>652</v>
      </c>
      <c r="C154" s="316"/>
      <c r="D154" s="313">
        <v>5</v>
      </c>
      <c r="E154" s="313" t="s">
        <v>513</v>
      </c>
      <c r="F154" s="313">
        <v>2016</v>
      </c>
      <c r="G154" s="313" t="s">
        <v>691</v>
      </c>
      <c r="H154" s="311">
        <v>541</v>
      </c>
      <c r="I154" s="311">
        <v>319</v>
      </c>
      <c r="J154" s="311">
        <v>849</v>
      </c>
      <c r="K154" s="324">
        <f t="shared" si="97"/>
        <v>9.2827728208647903E-2</v>
      </c>
      <c r="L154" s="324">
        <f t="shared" si="90"/>
        <v>9.5968712394705169E-2</v>
      </c>
      <c r="M154" s="324">
        <f t="shared" si="90"/>
        <v>9.1045576407506698E-2</v>
      </c>
      <c r="N154" s="311">
        <v>13236</v>
      </c>
      <c r="O154" s="311">
        <v>7109</v>
      </c>
      <c r="P154" s="311">
        <v>22682</v>
      </c>
      <c r="Q154" s="324">
        <f t="shared" si="98"/>
        <v>0.14149188634468604</v>
      </c>
      <c r="R154" s="324">
        <f t="shared" si="91"/>
        <v>0.14137416724669385</v>
      </c>
      <c r="S154" s="324">
        <f t="shared" si="92"/>
        <v>0.13886201956630873</v>
      </c>
      <c r="T154" s="311">
        <v>1329</v>
      </c>
      <c r="U154" s="311">
        <v>659</v>
      </c>
      <c r="V154" s="311">
        <v>2182</v>
      </c>
      <c r="W154" s="324">
        <f t="shared" si="99"/>
        <v>0.13868308462903056</v>
      </c>
      <c r="X154" s="324">
        <f t="shared" si="93"/>
        <v>0.14326086956521739</v>
      </c>
      <c r="Y154" s="324">
        <f t="shared" si="94"/>
        <v>0.13332518636196994</v>
      </c>
      <c r="Z154" s="311">
        <v>14565</v>
      </c>
      <c r="AA154" s="311">
        <v>7768</v>
      </c>
      <c r="AB154" s="311">
        <v>24864</v>
      </c>
      <c r="AC154" s="324">
        <f t="shared" si="100"/>
        <v>0.14123088558989227</v>
      </c>
      <c r="AD154" s="324">
        <f t="shared" si="95"/>
        <v>0.14153229479821444</v>
      </c>
      <c r="AE154" s="324">
        <f t="shared" si="96"/>
        <v>0.13835778039931446</v>
      </c>
    </row>
    <row r="155" spans="2:31">
      <c r="B155" s="219" t="s">
        <v>653</v>
      </c>
      <c r="C155" s="322"/>
      <c r="D155" s="325">
        <v>6</v>
      </c>
      <c r="E155" s="313" t="s">
        <v>513</v>
      </c>
      <c r="F155" s="313">
        <v>2016</v>
      </c>
      <c r="G155" s="313" t="s">
        <v>691</v>
      </c>
      <c r="H155" s="311">
        <v>772</v>
      </c>
      <c r="I155" s="311">
        <v>474</v>
      </c>
      <c r="J155" s="311">
        <v>1171</v>
      </c>
      <c r="K155" s="324">
        <f t="shared" si="97"/>
        <v>0.13246396705559368</v>
      </c>
      <c r="L155" s="324">
        <f t="shared" si="90"/>
        <v>0.14259927797833935</v>
      </c>
      <c r="M155" s="324">
        <f t="shared" si="90"/>
        <v>0.1255764075067024</v>
      </c>
      <c r="N155" s="311">
        <v>15818</v>
      </c>
      <c r="O155" s="311">
        <v>9120</v>
      </c>
      <c r="P155" s="311">
        <v>26497</v>
      </c>
      <c r="Q155" s="324">
        <f t="shared" si="98"/>
        <v>0.1690932803112907</v>
      </c>
      <c r="R155" s="324">
        <f t="shared" si="91"/>
        <v>0.18136621258824701</v>
      </c>
      <c r="S155" s="324">
        <f t="shared" si="92"/>
        <v>0.1622179231306094</v>
      </c>
      <c r="T155" s="311">
        <v>1549</v>
      </c>
      <c r="U155" s="311">
        <v>790</v>
      </c>
      <c r="V155" s="311">
        <v>2521</v>
      </c>
      <c r="W155" s="324">
        <f t="shared" si="99"/>
        <v>0.16164040488364811</v>
      </c>
      <c r="X155" s="324">
        <f t="shared" si="93"/>
        <v>0.17173913043478262</v>
      </c>
      <c r="Y155" s="324">
        <f t="shared" si="94"/>
        <v>0.15403886105340339</v>
      </c>
      <c r="Z155" s="311">
        <v>17367</v>
      </c>
      <c r="AA155" s="311">
        <v>9910</v>
      </c>
      <c r="AB155" s="311">
        <v>29018</v>
      </c>
      <c r="AC155" s="324">
        <f t="shared" si="100"/>
        <v>0.16840074081975001</v>
      </c>
      <c r="AD155" s="324">
        <f t="shared" si="95"/>
        <v>0.18055935137104856</v>
      </c>
      <c r="AE155" s="324">
        <f t="shared" si="96"/>
        <v>0.16147305629131703</v>
      </c>
    </row>
    <row r="156" spans="2:31">
      <c r="B156" s="312" t="s">
        <v>654</v>
      </c>
      <c r="C156" s="322"/>
      <c r="D156" s="327">
        <v>7</v>
      </c>
      <c r="E156" s="313" t="s">
        <v>513</v>
      </c>
      <c r="F156" s="313">
        <v>2016</v>
      </c>
      <c r="G156" s="313" t="s">
        <v>691</v>
      </c>
      <c r="H156" s="311">
        <v>915</v>
      </c>
      <c r="I156" s="311">
        <v>566</v>
      </c>
      <c r="J156" s="311">
        <v>1351</v>
      </c>
      <c r="K156" s="324">
        <f t="shared" si="97"/>
        <v>0.15700068634179823</v>
      </c>
      <c r="L156" s="324">
        <f t="shared" si="90"/>
        <v>0.17027677496991575</v>
      </c>
      <c r="M156" s="324">
        <f t="shared" si="90"/>
        <v>0.14487935656836462</v>
      </c>
      <c r="N156" s="311">
        <v>15915</v>
      </c>
      <c r="O156" s="311">
        <v>9146</v>
      </c>
      <c r="P156" s="311">
        <v>26425</v>
      </c>
      <c r="Q156" s="324">
        <f t="shared" si="98"/>
        <v>0.17013020332242962</v>
      </c>
      <c r="R156" s="324">
        <f t="shared" si="91"/>
        <v>0.18188326538729244</v>
      </c>
      <c r="S156" s="324">
        <f t="shared" si="92"/>
        <v>0.16177713019309178</v>
      </c>
      <c r="T156" s="311">
        <v>1518</v>
      </c>
      <c r="U156" s="311">
        <v>774</v>
      </c>
      <c r="V156" s="311">
        <v>2449</v>
      </c>
      <c r="W156" s="324">
        <f t="shared" si="99"/>
        <v>0.1584055097568611</v>
      </c>
      <c r="X156" s="324">
        <f t="shared" si="93"/>
        <v>0.16826086956521738</v>
      </c>
      <c r="Y156" s="324">
        <f t="shared" si="94"/>
        <v>0.14963949651716973</v>
      </c>
      <c r="Z156" s="311">
        <v>17433</v>
      </c>
      <c r="AA156" s="311">
        <v>9920</v>
      </c>
      <c r="AB156" s="311">
        <v>28874</v>
      </c>
      <c r="AC156" s="324">
        <f t="shared" si="100"/>
        <v>0.16904071599647044</v>
      </c>
      <c r="AD156" s="324">
        <f t="shared" si="95"/>
        <v>0.18074155051471258</v>
      </c>
      <c r="AE156" s="324">
        <f t="shared" si="96"/>
        <v>0.1606717564048345</v>
      </c>
    </row>
    <row r="157" spans="2:31">
      <c r="B157" s="312" t="s">
        <v>655</v>
      </c>
      <c r="C157" s="322"/>
      <c r="D157" s="327">
        <v>8</v>
      </c>
      <c r="E157" s="313" t="s">
        <v>513</v>
      </c>
      <c r="F157" s="313">
        <v>2016</v>
      </c>
      <c r="G157" s="313" t="s">
        <v>691</v>
      </c>
      <c r="H157" s="311">
        <v>741</v>
      </c>
      <c r="I157" s="311">
        <v>441</v>
      </c>
      <c r="J157" s="311">
        <v>1117</v>
      </c>
      <c r="K157" s="324">
        <f t="shared" si="97"/>
        <v>0.12714481811942346</v>
      </c>
      <c r="L157" s="324">
        <f t="shared" si="90"/>
        <v>0.13267148014440433</v>
      </c>
      <c r="M157" s="324">
        <f t="shared" si="90"/>
        <v>0.11978552278820376</v>
      </c>
      <c r="N157" s="311">
        <v>10634</v>
      </c>
      <c r="O157" s="311">
        <v>5777</v>
      </c>
      <c r="P157" s="311">
        <v>17345</v>
      </c>
      <c r="Q157" s="324">
        <f t="shared" si="98"/>
        <v>0.11367669381908366</v>
      </c>
      <c r="R157" s="324">
        <f t="shared" si="91"/>
        <v>0.11488515461867356</v>
      </c>
      <c r="S157" s="324">
        <f t="shared" si="92"/>
        <v>0.10618824307281655</v>
      </c>
      <c r="T157" s="311">
        <v>1077</v>
      </c>
      <c r="U157" s="311">
        <v>541</v>
      </c>
      <c r="V157" s="311">
        <v>1779</v>
      </c>
      <c r="W157" s="324">
        <f t="shared" si="99"/>
        <v>0.1123865177919232</v>
      </c>
      <c r="X157" s="324">
        <f t="shared" si="93"/>
        <v>0.11760869565217391</v>
      </c>
      <c r="Y157" s="324">
        <f t="shared" si="94"/>
        <v>0.10870096541610656</v>
      </c>
      <c r="Z157" s="311">
        <v>11711</v>
      </c>
      <c r="AA157" s="311">
        <v>6318</v>
      </c>
      <c r="AB157" s="311">
        <v>19124</v>
      </c>
      <c r="AC157" s="324">
        <f t="shared" si="100"/>
        <v>0.11355680749352752</v>
      </c>
      <c r="AD157" s="324">
        <f t="shared" si="95"/>
        <v>0.11511341896693085</v>
      </c>
      <c r="AE157" s="324">
        <f t="shared" si="96"/>
        <v>0.10641707659091415</v>
      </c>
    </row>
    <row r="158" spans="2:31">
      <c r="B158" s="219" t="s">
        <v>656</v>
      </c>
      <c r="C158" s="322"/>
      <c r="D158" s="325">
        <v>9</v>
      </c>
      <c r="E158" s="313" t="s">
        <v>513</v>
      </c>
      <c r="F158" s="313">
        <v>2016</v>
      </c>
      <c r="G158" s="313" t="s">
        <v>691</v>
      </c>
      <c r="H158" s="311">
        <v>647</v>
      </c>
      <c r="I158" s="311">
        <v>373</v>
      </c>
      <c r="J158" s="311">
        <v>1024</v>
      </c>
      <c r="K158" s="324">
        <f t="shared" si="97"/>
        <v>0.11101578586135896</v>
      </c>
      <c r="L158" s="324">
        <f t="shared" si="90"/>
        <v>0.11221419975932612</v>
      </c>
      <c r="M158" s="324">
        <f t="shared" si="90"/>
        <v>0.10981233243967828</v>
      </c>
      <c r="N158" s="311">
        <v>7293</v>
      </c>
      <c r="O158" s="311">
        <v>3742</v>
      </c>
      <c r="P158" s="311">
        <v>12836</v>
      </c>
      <c r="Q158" s="324">
        <f t="shared" si="98"/>
        <v>7.7961644538515812E-2</v>
      </c>
      <c r="R158" s="324">
        <f t="shared" si="91"/>
        <v>7.4415829770309236E-2</v>
      </c>
      <c r="S158" s="324">
        <f t="shared" si="92"/>
        <v>7.8583585360776781E-2</v>
      </c>
      <c r="T158" s="311">
        <v>748</v>
      </c>
      <c r="U158" s="311">
        <v>353</v>
      </c>
      <c r="V158" s="311">
        <v>1344</v>
      </c>
      <c r="W158" s="324">
        <f t="shared" si="99"/>
        <v>7.8054888865699681E-2</v>
      </c>
      <c r="X158" s="324">
        <f t="shared" si="93"/>
        <v>7.6739130434782615E-2</v>
      </c>
      <c r="Y158" s="324">
        <f t="shared" si="94"/>
        <v>8.2121471343028232E-2</v>
      </c>
      <c r="Z158" s="311">
        <v>8041</v>
      </c>
      <c r="AA158" s="311">
        <v>4095</v>
      </c>
      <c r="AB158" s="311">
        <v>14180</v>
      </c>
      <c r="AC158" s="324">
        <f t="shared" si="100"/>
        <v>7.7970309030437612E-2</v>
      </c>
      <c r="AD158" s="324">
        <f t="shared" si="95"/>
        <v>7.4610549330418149E-2</v>
      </c>
      <c r="AE158" s="324">
        <f t="shared" si="96"/>
        <v>7.890578048834776E-2</v>
      </c>
    </row>
    <row r="159" spans="2:31">
      <c r="B159" s="219" t="s">
        <v>657</v>
      </c>
      <c r="C159" s="322"/>
      <c r="D159" s="325">
        <v>10</v>
      </c>
      <c r="E159" s="313" t="s">
        <v>513</v>
      </c>
      <c r="F159" s="313">
        <v>2016</v>
      </c>
      <c r="G159" s="313" t="s">
        <v>691</v>
      </c>
      <c r="H159" s="311">
        <v>755</v>
      </c>
      <c r="I159" s="311">
        <v>424</v>
      </c>
      <c r="J159" s="311">
        <v>1253</v>
      </c>
      <c r="K159" s="324">
        <f t="shared" si="97"/>
        <v>0.12954701441317776</v>
      </c>
      <c r="L159" s="324">
        <f t="shared" si="90"/>
        <v>0.12755716004813478</v>
      </c>
      <c r="M159" s="324">
        <f t="shared" si="90"/>
        <v>0.13436997319034852</v>
      </c>
      <c r="N159" s="311">
        <v>6184</v>
      </c>
      <c r="O159" s="311">
        <v>3406</v>
      </c>
      <c r="P159" s="311">
        <v>11925</v>
      </c>
      <c r="Q159" s="324">
        <f t="shared" si="98"/>
        <v>6.6106514442092659E-2</v>
      </c>
      <c r="R159" s="324">
        <f t="shared" si="91"/>
        <v>6.7733916674952765E-2</v>
      </c>
      <c r="S159" s="324">
        <f t="shared" si="92"/>
        <v>7.3006330276352685E-2</v>
      </c>
      <c r="T159" s="311">
        <v>709</v>
      </c>
      <c r="U159" s="311">
        <v>342</v>
      </c>
      <c r="V159" s="311">
        <v>1311</v>
      </c>
      <c r="W159" s="324">
        <f t="shared" si="99"/>
        <v>7.3985182093290205E-2</v>
      </c>
      <c r="X159" s="324">
        <f t="shared" si="93"/>
        <v>7.4347826086956517E-2</v>
      </c>
      <c r="Y159" s="324">
        <f t="shared" si="94"/>
        <v>8.0105095930587802E-2</v>
      </c>
      <c r="Z159" s="311">
        <v>6893</v>
      </c>
      <c r="AA159" s="311">
        <v>3748</v>
      </c>
      <c r="AB159" s="311">
        <v>13236</v>
      </c>
      <c r="AC159" s="324">
        <f t="shared" si="100"/>
        <v>6.6838619592937007E-2</v>
      </c>
      <c r="AD159" s="324">
        <f t="shared" si="95"/>
        <v>6.8288239045276491E-2</v>
      </c>
      <c r="AE159" s="324">
        <f t="shared" si="96"/>
        <v>7.3652814565851266E-2</v>
      </c>
    </row>
    <row r="160" spans="2:31">
      <c r="B160" s="219" t="s">
        <v>658</v>
      </c>
      <c r="C160" s="322"/>
      <c r="D160" s="325">
        <v>11</v>
      </c>
      <c r="E160" s="313" t="s">
        <v>513</v>
      </c>
      <c r="F160" s="313">
        <v>2016</v>
      </c>
      <c r="G160" s="313" t="s">
        <v>691</v>
      </c>
      <c r="H160" s="311">
        <v>549</v>
      </c>
      <c r="I160" s="311">
        <v>270</v>
      </c>
      <c r="J160" s="311">
        <v>935</v>
      </c>
      <c r="K160" s="324">
        <f t="shared" si="97"/>
        <v>9.4200411805078932E-2</v>
      </c>
      <c r="L160" s="324">
        <f t="shared" si="90"/>
        <v>8.1227436823104696E-2</v>
      </c>
      <c r="M160" s="324">
        <f t="shared" si="90"/>
        <v>0.1002680965147453</v>
      </c>
      <c r="N160" s="311">
        <v>3368</v>
      </c>
      <c r="O160" s="311">
        <v>1632</v>
      </c>
      <c r="P160" s="311">
        <v>6775</v>
      </c>
      <c r="Q160" s="324">
        <f t="shared" si="98"/>
        <v>3.6003677335214763E-2</v>
      </c>
      <c r="R160" s="324">
        <f t="shared" si="91"/>
        <v>3.2455006463159991E-2</v>
      </c>
      <c r="S160" s="324">
        <f t="shared" si="92"/>
        <v>4.147739099557983E-2</v>
      </c>
      <c r="T160" s="311">
        <v>399</v>
      </c>
      <c r="U160" s="311">
        <v>171</v>
      </c>
      <c r="V160" s="311">
        <v>748</v>
      </c>
      <c r="W160" s="324">
        <f t="shared" si="99"/>
        <v>4.1636230825420013E-2</v>
      </c>
      <c r="X160" s="324">
        <f t="shared" si="93"/>
        <v>3.7173913043478259E-2</v>
      </c>
      <c r="Y160" s="324">
        <f t="shared" si="94"/>
        <v>4.5704509348649641E-2</v>
      </c>
      <c r="Z160" s="311">
        <v>3767</v>
      </c>
      <c r="AA160" s="311">
        <v>1803</v>
      </c>
      <c r="AB160" s="311">
        <v>7523</v>
      </c>
      <c r="AC160" s="324">
        <f t="shared" si="100"/>
        <v>3.6527068040997195E-2</v>
      </c>
      <c r="AD160" s="324">
        <f t="shared" si="95"/>
        <v>3.2850505602623668E-2</v>
      </c>
      <c r="AE160" s="324">
        <f t="shared" si="96"/>
        <v>4.1862354486166445E-2</v>
      </c>
    </row>
    <row r="161" spans="2:31">
      <c r="B161" s="219" t="s">
        <v>659</v>
      </c>
      <c r="C161" s="322"/>
      <c r="D161" s="325">
        <v>12</v>
      </c>
      <c r="E161" s="313" t="s">
        <v>513</v>
      </c>
      <c r="F161" s="313">
        <v>2016</v>
      </c>
      <c r="G161" s="313" t="s">
        <v>691</v>
      </c>
      <c r="H161" s="311">
        <v>198</v>
      </c>
      <c r="I161" s="311">
        <v>81</v>
      </c>
      <c r="J161" s="311">
        <v>393</v>
      </c>
      <c r="K161" s="324">
        <f t="shared" si="97"/>
        <v>3.3973919011667811E-2</v>
      </c>
      <c r="L161" s="324">
        <f t="shared" si="90"/>
        <v>2.4368231046931407E-2</v>
      </c>
      <c r="M161" s="324">
        <f t="shared" si="90"/>
        <v>4.2144772117962463E-2</v>
      </c>
      <c r="N161" s="311">
        <v>999</v>
      </c>
      <c r="O161" s="311">
        <v>324</v>
      </c>
      <c r="P161" s="311">
        <v>2012</v>
      </c>
      <c r="Q161" s="324">
        <f t="shared" si="98"/>
        <v>1.0679238021935732E-2</v>
      </c>
      <c r="R161" s="324">
        <f t="shared" si="91"/>
        <v>6.4432733419508802E-3</v>
      </c>
      <c r="S161" s="324">
        <f t="shared" si="92"/>
        <v>1.2317713753964076E-2</v>
      </c>
      <c r="T161" s="311">
        <v>95</v>
      </c>
      <c r="U161" s="311">
        <v>33</v>
      </c>
      <c r="V161" s="311">
        <v>210</v>
      </c>
      <c r="W161" s="324">
        <f t="shared" si="99"/>
        <v>9.9133882917666703E-3</v>
      </c>
      <c r="X161" s="324">
        <f t="shared" si="93"/>
        <v>7.1739130434782606E-3</v>
      </c>
      <c r="Y161" s="324">
        <f t="shared" si="94"/>
        <v>1.2831479897348161E-2</v>
      </c>
      <c r="Z161" s="311">
        <v>1094</v>
      </c>
      <c r="AA161" s="311">
        <v>357</v>
      </c>
      <c r="AB161" s="311">
        <v>2222</v>
      </c>
      <c r="AC161" s="324">
        <f t="shared" si="100"/>
        <v>1.0608073383820265E-2</v>
      </c>
      <c r="AD161" s="324">
        <f t="shared" si="95"/>
        <v>6.5045094288056849E-3</v>
      </c>
      <c r="AE161" s="324">
        <f t="shared" si="96"/>
        <v>1.2364502415028825E-2</v>
      </c>
    </row>
    <row r="162" spans="2:31">
      <c r="B162" s="219" t="s">
        <v>660</v>
      </c>
      <c r="C162" s="322"/>
      <c r="D162" s="325">
        <v>13</v>
      </c>
      <c r="E162" s="313" t="s">
        <v>513</v>
      </c>
      <c r="F162" s="313">
        <v>2016</v>
      </c>
      <c r="G162" s="313" t="s">
        <v>691</v>
      </c>
      <c r="H162" s="311">
        <v>85</v>
      </c>
      <c r="I162" s="311">
        <v>36</v>
      </c>
      <c r="J162" s="311">
        <v>181</v>
      </c>
      <c r="K162" s="324">
        <f t="shared" si="97"/>
        <v>1.4584763212079615E-2</v>
      </c>
      <c r="L162" s="324">
        <f t="shared" si="90"/>
        <v>1.0830324909747292E-2</v>
      </c>
      <c r="M162" s="324">
        <f t="shared" si="90"/>
        <v>1.9410187667560322E-2</v>
      </c>
      <c r="N162" s="311">
        <v>261</v>
      </c>
      <c r="O162" s="311">
        <v>108</v>
      </c>
      <c r="P162" s="311">
        <v>724</v>
      </c>
      <c r="Q162" s="324">
        <f t="shared" si="98"/>
        <v>2.7900711949201463E-3</v>
      </c>
      <c r="R162" s="324">
        <f t="shared" si="91"/>
        <v>2.1477577806502932E-3</v>
      </c>
      <c r="S162" s="324">
        <f t="shared" si="92"/>
        <v>4.4324178717047667E-3</v>
      </c>
      <c r="T162" s="311">
        <v>27</v>
      </c>
      <c r="U162" s="311">
        <v>8</v>
      </c>
      <c r="V162" s="311">
        <v>64</v>
      </c>
      <c r="W162" s="324">
        <f t="shared" si="99"/>
        <v>2.8174893039757906E-3</v>
      </c>
      <c r="X162" s="324">
        <f t="shared" si="93"/>
        <v>1.7391304347826088E-3</v>
      </c>
      <c r="Y162" s="324">
        <f t="shared" si="94"/>
        <v>3.9105462544299155E-3</v>
      </c>
      <c r="Z162" s="311">
        <v>288</v>
      </c>
      <c r="AA162" s="311">
        <v>116</v>
      </c>
      <c r="AB162" s="311">
        <v>788</v>
      </c>
      <c r="AC162" s="324">
        <f t="shared" si="100"/>
        <v>2.7926189529618247E-3</v>
      </c>
      <c r="AD162" s="324">
        <f t="shared" si="95"/>
        <v>2.1135100665026873E-3</v>
      </c>
      <c r="AE162" s="324">
        <f t="shared" si="96"/>
        <v>4.384891045473769E-3</v>
      </c>
    </row>
    <row r="163" spans="2:31">
      <c r="B163" s="219" t="s">
        <v>661</v>
      </c>
      <c r="C163" s="322"/>
      <c r="D163" s="325">
        <v>14</v>
      </c>
      <c r="E163" s="313" t="s">
        <v>513</v>
      </c>
      <c r="F163" s="313">
        <v>2016</v>
      </c>
      <c r="G163" s="313" t="s">
        <v>691</v>
      </c>
      <c r="H163" s="311">
        <v>12</v>
      </c>
      <c r="I163" s="311">
        <v>4</v>
      </c>
      <c r="J163" s="311">
        <v>31</v>
      </c>
      <c r="K163" s="324">
        <f t="shared" si="97"/>
        <v>2.0590253946465341E-3</v>
      </c>
      <c r="L163" s="324">
        <f t="shared" si="90"/>
        <v>1.2033694344163659E-3</v>
      </c>
      <c r="M163" s="324">
        <f t="shared" si="90"/>
        <v>3.3243967828418229E-3</v>
      </c>
      <c r="N163" s="311">
        <v>25</v>
      </c>
      <c r="O163" s="311">
        <v>8</v>
      </c>
      <c r="P163" s="311">
        <v>93</v>
      </c>
      <c r="Q163" s="324">
        <f t="shared" si="98"/>
        <v>2.6724819874714042E-4</v>
      </c>
      <c r="R163" s="324">
        <f t="shared" si="91"/>
        <v>1.5909316893705878E-4</v>
      </c>
      <c r="S163" s="324">
        <f t="shared" si="92"/>
        <v>5.6935754429356805E-4</v>
      </c>
      <c r="T163" s="311">
        <v>0</v>
      </c>
      <c r="U163" s="311">
        <v>0</v>
      </c>
      <c r="V163" s="311">
        <v>2</v>
      </c>
      <c r="W163" s="324">
        <f t="shared" si="99"/>
        <v>0</v>
      </c>
      <c r="X163" s="324">
        <f t="shared" si="93"/>
        <v>0</v>
      </c>
      <c r="Y163" s="324">
        <f t="shared" si="94"/>
        <v>1.2220457045093486E-4</v>
      </c>
      <c r="Z163" s="311">
        <v>25</v>
      </c>
      <c r="AA163" s="311">
        <v>8</v>
      </c>
      <c r="AB163" s="311">
        <v>95</v>
      </c>
      <c r="AC163" s="324">
        <f t="shared" si="100"/>
        <v>2.4241483966682504E-4</v>
      </c>
      <c r="AD163" s="324">
        <f t="shared" si="95"/>
        <v>1.4575931493121983E-4</v>
      </c>
      <c r="AE163" s="324">
        <f t="shared" si="96"/>
        <v>5.2863534177665988E-4</v>
      </c>
    </row>
    <row r="164" spans="2:31">
      <c r="B164" s="328" t="s">
        <v>7</v>
      </c>
      <c r="C164" s="329"/>
      <c r="D164" s="330">
        <v>99</v>
      </c>
      <c r="E164" s="331" t="s">
        <v>513</v>
      </c>
      <c r="F164" s="331">
        <v>2016</v>
      </c>
      <c r="G164" s="331" t="s">
        <v>691</v>
      </c>
      <c r="H164" s="332">
        <v>5828</v>
      </c>
      <c r="I164" s="332">
        <v>3324</v>
      </c>
      <c r="J164" s="332">
        <v>9325</v>
      </c>
      <c r="K164" s="333">
        <f t="shared" si="97"/>
        <v>1</v>
      </c>
      <c r="L164" s="333">
        <f t="shared" si="90"/>
        <v>1</v>
      </c>
      <c r="M164" s="333">
        <f t="shared" si="90"/>
        <v>1</v>
      </c>
      <c r="N164" s="332">
        <v>93546</v>
      </c>
      <c r="O164" s="332">
        <v>50285</v>
      </c>
      <c r="P164" s="332">
        <v>163342</v>
      </c>
      <c r="Q164" s="333">
        <f t="shared" si="98"/>
        <v>1</v>
      </c>
      <c r="R164" s="333">
        <f t="shared" si="91"/>
        <v>1</v>
      </c>
      <c r="S164" s="333">
        <f t="shared" si="92"/>
        <v>1</v>
      </c>
      <c r="T164" s="332">
        <v>9583</v>
      </c>
      <c r="U164" s="332">
        <v>4600</v>
      </c>
      <c r="V164" s="332">
        <v>16366</v>
      </c>
      <c r="W164" s="333">
        <f t="shared" si="99"/>
        <v>1</v>
      </c>
      <c r="X164" s="333">
        <f t="shared" si="93"/>
        <v>1</v>
      </c>
      <c r="Y164" s="333">
        <f t="shared" si="94"/>
        <v>1</v>
      </c>
      <c r="Z164" s="332">
        <v>103129</v>
      </c>
      <c r="AA164" s="332">
        <v>54885</v>
      </c>
      <c r="AB164" s="332">
        <v>179708</v>
      </c>
      <c r="AC164" s="333">
        <f t="shared" si="100"/>
        <v>1</v>
      </c>
      <c r="AD164" s="333">
        <f t="shared" si="95"/>
        <v>1</v>
      </c>
      <c r="AE164" s="333">
        <f t="shared" si="96"/>
        <v>1</v>
      </c>
    </row>
    <row r="165" spans="2:31">
      <c r="B165" s="315" t="s">
        <v>648</v>
      </c>
      <c r="C165" s="316"/>
      <c r="D165" s="313">
        <v>1</v>
      </c>
      <c r="E165" s="313" t="s">
        <v>514</v>
      </c>
      <c r="F165" s="313">
        <v>2016</v>
      </c>
      <c r="G165" s="313" t="s">
        <v>691</v>
      </c>
      <c r="H165" s="311">
        <v>0</v>
      </c>
      <c r="I165" s="311">
        <v>0</v>
      </c>
      <c r="J165" s="311">
        <v>1</v>
      </c>
      <c r="K165" s="324">
        <f>H165/H$179</f>
        <v>0</v>
      </c>
      <c r="L165" s="324">
        <f t="shared" ref="L165:M179" si="101">I165/I$179</f>
        <v>0</v>
      </c>
      <c r="M165" s="324">
        <f t="shared" si="101"/>
        <v>4.7778308647873863E-4</v>
      </c>
      <c r="N165" s="311">
        <v>0</v>
      </c>
      <c r="O165" s="311">
        <v>0</v>
      </c>
      <c r="P165" s="311">
        <v>53</v>
      </c>
      <c r="Q165" s="324">
        <f>N165/N$179</f>
        <v>0</v>
      </c>
      <c r="R165" s="324">
        <f t="shared" ref="R165:R179" si="102">O165/O$179</f>
        <v>0</v>
      </c>
      <c r="S165" s="324">
        <f t="shared" ref="S165:S179" si="103">P165/P$179</f>
        <v>2.0707978432445103E-3</v>
      </c>
      <c r="T165" s="311">
        <v>26</v>
      </c>
      <c r="U165" s="311">
        <v>6</v>
      </c>
      <c r="V165" s="311">
        <v>55</v>
      </c>
      <c r="W165" s="324">
        <f>T165/T$179</f>
        <v>1.537551744529864E-2</v>
      </c>
      <c r="X165" s="324">
        <f t="shared" ref="X165:X179" si="104">U165/U$179</f>
        <v>1.0830324909747292E-2</v>
      </c>
      <c r="Y165" s="324">
        <f t="shared" ref="Y165:Y179" si="105">V165/V$179</f>
        <v>1.7022593624264934E-2</v>
      </c>
      <c r="Z165" s="311">
        <v>26</v>
      </c>
      <c r="AA165" s="311">
        <v>6</v>
      </c>
      <c r="AB165" s="311">
        <v>108</v>
      </c>
      <c r="AC165" s="324">
        <f>Z165/Z$179</f>
        <v>1.8957345971563982E-3</v>
      </c>
      <c r="AD165" s="324">
        <f t="shared" ref="AD165:AD179" si="106">AA165/AA$179</f>
        <v>1.3181019332161687E-3</v>
      </c>
      <c r="AE165" s="324">
        <f t="shared" ref="AE165:AE179" si="107">AB165/AB$179</f>
        <v>3.7467476149176063E-3</v>
      </c>
    </row>
    <row r="166" spans="2:31">
      <c r="B166" s="315" t="s">
        <v>649</v>
      </c>
      <c r="C166" s="316"/>
      <c r="D166" s="313">
        <v>2</v>
      </c>
      <c r="E166" s="313" t="s">
        <v>514</v>
      </c>
      <c r="F166" s="313">
        <v>2016</v>
      </c>
      <c r="G166" s="313" t="s">
        <v>691</v>
      </c>
      <c r="H166" s="311">
        <v>1</v>
      </c>
      <c r="I166" s="311">
        <v>0</v>
      </c>
      <c r="J166" s="311">
        <v>4</v>
      </c>
      <c r="K166" s="324">
        <f t="shared" ref="K166:K179" si="108">H166/H$179</f>
        <v>9.1074681238615665E-4</v>
      </c>
      <c r="L166" s="324">
        <f t="shared" si="101"/>
        <v>0</v>
      </c>
      <c r="M166" s="324">
        <f t="shared" si="101"/>
        <v>1.9111323459149545E-3</v>
      </c>
      <c r="N166" s="311">
        <v>46</v>
      </c>
      <c r="O166" s="311">
        <v>0</v>
      </c>
      <c r="P166" s="311">
        <v>184</v>
      </c>
      <c r="Q166" s="324">
        <f t="shared" ref="Q166:Q179" si="109">N166/N$179</f>
        <v>3.8256819693945443E-3</v>
      </c>
      <c r="R166" s="324">
        <f t="shared" si="102"/>
        <v>0</v>
      </c>
      <c r="S166" s="324">
        <f t="shared" si="103"/>
        <v>7.1891849652262248E-3</v>
      </c>
      <c r="T166" s="311">
        <v>40</v>
      </c>
      <c r="U166" s="311">
        <v>12</v>
      </c>
      <c r="V166" s="311">
        <v>86</v>
      </c>
      <c r="W166" s="324">
        <f t="shared" ref="W166:W179" si="110">T166/T$179</f>
        <v>2.365464222353637E-2</v>
      </c>
      <c r="X166" s="324">
        <f t="shared" si="104"/>
        <v>2.1660649819494584E-2</v>
      </c>
      <c r="Y166" s="324">
        <f t="shared" si="105"/>
        <v>2.661714639430517E-2</v>
      </c>
      <c r="Z166" s="311">
        <v>86</v>
      </c>
      <c r="AA166" s="311">
        <v>12</v>
      </c>
      <c r="AB166" s="311">
        <v>270</v>
      </c>
      <c r="AC166" s="324">
        <f t="shared" ref="AC166:AC179" si="111">Z166/Z$179</f>
        <v>6.2705067444403934E-3</v>
      </c>
      <c r="AD166" s="324">
        <f t="shared" si="106"/>
        <v>2.6362038664323375E-3</v>
      </c>
      <c r="AE166" s="324">
        <f t="shared" si="107"/>
        <v>9.366869037294015E-3</v>
      </c>
    </row>
    <row r="167" spans="2:31">
      <c r="B167" s="219" t="s">
        <v>650</v>
      </c>
      <c r="C167" s="322"/>
      <c r="D167" s="325">
        <v>3</v>
      </c>
      <c r="E167" s="313" t="s">
        <v>514</v>
      </c>
      <c r="F167" s="313">
        <v>2016</v>
      </c>
      <c r="G167" s="313" t="s">
        <v>691</v>
      </c>
      <c r="H167" s="311">
        <v>3</v>
      </c>
      <c r="I167" s="311">
        <v>0</v>
      </c>
      <c r="J167" s="311">
        <v>8</v>
      </c>
      <c r="K167" s="324">
        <f t="shared" si="108"/>
        <v>2.7322404371584699E-3</v>
      </c>
      <c r="L167" s="324">
        <f t="shared" si="101"/>
        <v>0</v>
      </c>
      <c r="M167" s="324">
        <f t="shared" si="101"/>
        <v>3.822264691829909E-3</v>
      </c>
      <c r="N167" s="311">
        <v>123</v>
      </c>
      <c r="O167" s="311">
        <v>0</v>
      </c>
      <c r="P167" s="311">
        <v>328</v>
      </c>
      <c r="Q167" s="324">
        <f t="shared" si="109"/>
        <v>1.0229540918163672E-2</v>
      </c>
      <c r="R167" s="324">
        <f t="shared" si="102"/>
        <v>0</v>
      </c>
      <c r="S167" s="324">
        <f t="shared" si="103"/>
        <v>1.2815503633664139E-2</v>
      </c>
      <c r="T167" s="311">
        <v>69</v>
      </c>
      <c r="U167" s="311">
        <v>21</v>
      </c>
      <c r="V167" s="311">
        <v>133</v>
      </c>
      <c r="W167" s="324">
        <f t="shared" si="110"/>
        <v>4.0804257835600238E-2</v>
      </c>
      <c r="X167" s="324">
        <f t="shared" si="104"/>
        <v>3.7906137184115521E-2</v>
      </c>
      <c r="Y167" s="324">
        <f t="shared" si="105"/>
        <v>4.1163726400495204E-2</v>
      </c>
      <c r="Z167" s="311">
        <v>192</v>
      </c>
      <c r="AA167" s="311">
        <v>21</v>
      </c>
      <c r="AB167" s="311">
        <v>461</v>
      </c>
      <c r="AC167" s="324">
        <f t="shared" si="111"/>
        <v>1.3999270871308787E-2</v>
      </c>
      <c r="AD167" s="324">
        <f t="shared" si="106"/>
        <v>4.6133567662565902E-3</v>
      </c>
      <c r="AE167" s="324">
        <f t="shared" si="107"/>
        <v>1.5993061578490893E-2</v>
      </c>
    </row>
    <row r="168" spans="2:31">
      <c r="B168" s="315" t="s">
        <v>651</v>
      </c>
      <c r="C168" s="316"/>
      <c r="D168" s="313">
        <v>4</v>
      </c>
      <c r="E168" s="313" t="s">
        <v>514</v>
      </c>
      <c r="F168" s="313">
        <v>2016</v>
      </c>
      <c r="G168" s="313" t="s">
        <v>691</v>
      </c>
      <c r="H168" s="311">
        <v>8</v>
      </c>
      <c r="I168" s="311">
        <v>2</v>
      </c>
      <c r="J168" s="311">
        <v>20</v>
      </c>
      <c r="K168" s="324">
        <f t="shared" si="108"/>
        <v>7.2859744990892532E-3</v>
      </c>
      <c r="L168" s="324">
        <f t="shared" si="101"/>
        <v>4.830917874396135E-3</v>
      </c>
      <c r="M168" s="324">
        <f t="shared" si="101"/>
        <v>9.5556617295747739E-3</v>
      </c>
      <c r="N168" s="311">
        <v>272</v>
      </c>
      <c r="O168" s="311">
        <v>68</v>
      </c>
      <c r="P168" s="311">
        <v>725</v>
      </c>
      <c r="Q168" s="324">
        <f t="shared" si="109"/>
        <v>2.262142381902861E-2</v>
      </c>
      <c r="R168" s="324">
        <f t="shared" si="102"/>
        <v>1.7008504252126064E-2</v>
      </c>
      <c r="S168" s="324">
        <f t="shared" si="103"/>
        <v>2.8326951629288114E-2</v>
      </c>
      <c r="T168" s="311">
        <v>106</v>
      </c>
      <c r="U168" s="311">
        <v>37</v>
      </c>
      <c r="V168" s="311">
        <v>198</v>
      </c>
      <c r="W168" s="324">
        <f t="shared" si="110"/>
        <v>6.2684801892371383E-2</v>
      </c>
      <c r="X168" s="324">
        <f t="shared" si="104"/>
        <v>6.6787003610108309E-2</v>
      </c>
      <c r="Y168" s="324">
        <f t="shared" si="105"/>
        <v>6.1281337047353758E-2</v>
      </c>
      <c r="Z168" s="311">
        <v>378</v>
      </c>
      <c r="AA168" s="311">
        <v>105</v>
      </c>
      <c r="AB168" s="311">
        <v>923</v>
      </c>
      <c r="AC168" s="324">
        <f t="shared" si="111"/>
        <v>2.7561064527889173E-2</v>
      </c>
      <c r="AD168" s="324">
        <f t="shared" si="106"/>
        <v>2.3066783831282953E-2</v>
      </c>
      <c r="AE168" s="324">
        <f t="shared" si="107"/>
        <v>3.2020815264527318E-2</v>
      </c>
    </row>
    <row r="169" spans="2:31">
      <c r="B169" s="315" t="s">
        <v>652</v>
      </c>
      <c r="C169" s="316"/>
      <c r="D169" s="313">
        <v>5</v>
      </c>
      <c r="E169" s="313" t="s">
        <v>514</v>
      </c>
      <c r="F169" s="313">
        <v>2016</v>
      </c>
      <c r="G169" s="313" t="s">
        <v>691</v>
      </c>
      <c r="H169" s="311">
        <v>21</v>
      </c>
      <c r="I169" s="311">
        <v>5</v>
      </c>
      <c r="J169" s="311">
        <v>48</v>
      </c>
      <c r="K169" s="324">
        <f t="shared" si="108"/>
        <v>1.912568306010929E-2</v>
      </c>
      <c r="L169" s="324">
        <f t="shared" si="101"/>
        <v>1.2077294685990338E-2</v>
      </c>
      <c r="M169" s="324">
        <f t="shared" si="101"/>
        <v>2.2933588150979456E-2</v>
      </c>
      <c r="N169" s="311">
        <v>609</v>
      </c>
      <c r="O169" s="311">
        <v>138</v>
      </c>
      <c r="P169" s="311">
        <v>1512</v>
      </c>
      <c r="Q169" s="324">
        <f t="shared" si="109"/>
        <v>5.0648702594810378E-2</v>
      </c>
      <c r="R169" s="324">
        <f t="shared" si="102"/>
        <v>3.4517258629314658E-2</v>
      </c>
      <c r="S169" s="324">
        <f t="shared" si="103"/>
        <v>5.9076346018598111E-2</v>
      </c>
      <c r="T169" s="311">
        <v>173</v>
      </c>
      <c r="U169" s="311">
        <v>58</v>
      </c>
      <c r="V169" s="311">
        <v>334</v>
      </c>
      <c r="W169" s="324">
        <f t="shared" si="110"/>
        <v>0.1023063276167948</v>
      </c>
      <c r="X169" s="324">
        <f t="shared" si="104"/>
        <v>0.10469314079422383</v>
      </c>
      <c r="Y169" s="324">
        <f t="shared" si="105"/>
        <v>0.10337356855462705</v>
      </c>
      <c r="Z169" s="311">
        <v>782</v>
      </c>
      <c r="AA169" s="311">
        <v>196</v>
      </c>
      <c r="AB169" s="311">
        <v>1846</v>
      </c>
      <c r="AC169" s="324">
        <f t="shared" si="111"/>
        <v>5.7017863652934743E-2</v>
      </c>
      <c r="AD169" s="324">
        <f t="shared" si="106"/>
        <v>4.3057996485061513E-2</v>
      </c>
      <c r="AE169" s="324">
        <f t="shared" si="107"/>
        <v>6.4041630529054636E-2</v>
      </c>
    </row>
    <row r="170" spans="2:31">
      <c r="B170" s="219" t="s">
        <v>653</v>
      </c>
      <c r="C170" s="322"/>
      <c r="D170" s="325">
        <v>6</v>
      </c>
      <c r="E170" s="313" t="s">
        <v>514</v>
      </c>
      <c r="F170" s="313">
        <v>2016</v>
      </c>
      <c r="G170" s="313" t="s">
        <v>691</v>
      </c>
      <c r="H170" s="311">
        <v>42</v>
      </c>
      <c r="I170" s="311">
        <v>12</v>
      </c>
      <c r="J170" s="311">
        <v>87</v>
      </c>
      <c r="K170" s="324">
        <f t="shared" si="108"/>
        <v>3.825136612021858E-2</v>
      </c>
      <c r="L170" s="324">
        <f t="shared" si="101"/>
        <v>2.8985507246376812E-2</v>
      </c>
      <c r="M170" s="324">
        <f t="shared" si="101"/>
        <v>4.1567128523650264E-2</v>
      </c>
      <c r="N170" s="311">
        <v>1050</v>
      </c>
      <c r="O170" s="311">
        <v>282</v>
      </c>
      <c r="P170" s="311">
        <v>2327</v>
      </c>
      <c r="Q170" s="324">
        <f t="shared" si="109"/>
        <v>8.7325349301397209E-2</v>
      </c>
      <c r="R170" s="324">
        <f t="shared" si="102"/>
        <v>7.0535267633816914E-2</v>
      </c>
      <c r="S170" s="324">
        <f t="shared" si="103"/>
        <v>9.0919746815659924E-2</v>
      </c>
      <c r="T170" s="311">
        <v>224</v>
      </c>
      <c r="U170" s="311">
        <v>76</v>
      </c>
      <c r="V170" s="311">
        <v>420</v>
      </c>
      <c r="W170" s="324">
        <f t="shared" si="110"/>
        <v>0.13246599645180368</v>
      </c>
      <c r="X170" s="324">
        <f t="shared" si="104"/>
        <v>0.13718411552346571</v>
      </c>
      <c r="Y170" s="324">
        <f t="shared" si="105"/>
        <v>0.12999071494893222</v>
      </c>
      <c r="Z170" s="311">
        <v>1274</v>
      </c>
      <c r="AA170" s="311">
        <v>358</v>
      </c>
      <c r="AB170" s="311">
        <v>2747</v>
      </c>
      <c r="AC170" s="324">
        <f t="shared" si="111"/>
        <v>9.2890995260663509E-2</v>
      </c>
      <c r="AD170" s="324">
        <f t="shared" si="106"/>
        <v>7.8646748681898068E-2</v>
      </c>
      <c r="AE170" s="324">
        <f t="shared" si="107"/>
        <v>9.5299219427580226E-2</v>
      </c>
    </row>
    <row r="171" spans="2:31">
      <c r="B171" s="312" t="s">
        <v>654</v>
      </c>
      <c r="C171" s="322"/>
      <c r="D171" s="327">
        <v>7</v>
      </c>
      <c r="E171" s="313" t="s">
        <v>514</v>
      </c>
      <c r="F171" s="313">
        <v>2016</v>
      </c>
      <c r="G171" s="313" t="s">
        <v>691</v>
      </c>
      <c r="H171" s="311">
        <v>70</v>
      </c>
      <c r="I171" s="311">
        <v>22</v>
      </c>
      <c r="J171" s="311">
        <v>133</v>
      </c>
      <c r="K171" s="324">
        <f t="shared" si="108"/>
        <v>6.3752276867030971E-2</v>
      </c>
      <c r="L171" s="324">
        <f t="shared" si="101"/>
        <v>5.3140096618357488E-2</v>
      </c>
      <c r="M171" s="324">
        <f t="shared" si="101"/>
        <v>6.354515050167224E-2</v>
      </c>
      <c r="N171" s="311">
        <v>1484</v>
      </c>
      <c r="O171" s="311">
        <v>432</v>
      </c>
      <c r="P171" s="311">
        <v>3067</v>
      </c>
      <c r="Q171" s="324">
        <f t="shared" si="109"/>
        <v>0.12341982701264138</v>
      </c>
      <c r="R171" s="324">
        <f t="shared" si="102"/>
        <v>0.10805402701350675</v>
      </c>
      <c r="S171" s="324">
        <f t="shared" si="103"/>
        <v>0.11983277330624365</v>
      </c>
      <c r="T171" s="311">
        <v>232</v>
      </c>
      <c r="U171" s="311">
        <v>77</v>
      </c>
      <c r="V171" s="311">
        <v>442</v>
      </c>
      <c r="W171" s="324">
        <f t="shared" si="110"/>
        <v>0.13719692489651095</v>
      </c>
      <c r="X171" s="324">
        <f t="shared" si="104"/>
        <v>0.13898916967509026</v>
      </c>
      <c r="Y171" s="324">
        <f t="shared" si="105"/>
        <v>0.1367997523986382</v>
      </c>
      <c r="Z171" s="311">
        <v>1716</v>
      </c>
      <c r="AA171" s="311">
        <v>509</v>
      </c>
      <c r="AB171" s="311">
        <v>3509</v>
      </c>
      <c r="AC171" s="324">
        <f t="shared" si="111"/>
        <v>0.12511848341232226</v>
      </c>
      <c r="AD171" s="324">
        <f t="shared" si="106"/>
        <v>0.11181898066783831</v>
      </c>
      <c r="AE171" s="324">
        <f t="shared" si="107"/>
        <v>0.12173460537727666</v>
      </c>
    </row>
    <row r="172" spans="2:31">
      <c r="B172" s="312" t="s">
        <v>655</v>
      </c>
      <c r="C172" s="322"/>
      <c r="D172" s="327">
        <v>8</v>
      </c>
      <c r="E172" s="313" t="s">
        <v>514</v>
      </c>
      <c r="F172" s="313">
        <v>2016</v>
      </c>
      <c r="G172" s="313" t="s">
        <v>691</v>
      </c>
      <c r="H172" s="311">
        <v>87</v>
      </c>
      <c r="I172" s="311">
        <v>33</v>
      </c>
      <c r="J172" s="311">
        <v>169</v>
      </c>
      <c r="K172" s="324">
        <f t="shared" si="108"/>
        <v>7.9234972677595633E-2</v>
      </c>
      <c r="L172" s="324">
        <f t="shared" si="101"/>
        <v>7.9710144927536225E-2</v>
      </c>
      <c r="M172" s="324">
        <f t="shared" si="101"/>
        <v>8.0745341614906832E-2</v>
      </c>
      <c r="N172" s="311">
        <v>1508</v>
      </c>
      <c r="O172" s="311">
        <v>521</v>
      </c>
      <c r="P172" s="311">
        <v>3075</v>
      </c>
      <c r="Q172" s="324">
        <f t="shared" si="109"/>
        <v>0.12541583499667333</v>
      </c>
      <c r="R172" s="324">
        <f t="shared" si="102"/>
        <v>0.13031515757878939</v>
      </c>
      <c r="S172" s="324">
        <f t="shared" si="103"/>
        <v>0.12014534656560132</v>
      </c>
      <c r="T172" s="311">
        <v>195</v>
      </c>
      <c r="U172" s="311">
        <v>64</v>
      </c>
      <c r="V172" s="311">
        <v>367</v>
      </c>
      <c r="W172" s="324">
        <f t="shared" si="110"/>
        <v>0.1153163808397398</v>
      </c>
      <c r="X172" s="324">
        <f t="shared" si="104"/>
        <v>0.11552346570397112</v>
      </c>
      <c r="Y172" s="324">
        <f t="shared" si="105"/>
        <v>0.11358712472918601</v>
      </c>
      <c r="Z172" s="311">
        <v>1703</v>
      </c>
      <c r="AA172" s="311">
        <v>585</v>
      </c>
      <c r="AB172" s="311">
        <v>3442</v>
      </c>
      <c r="AC172" s="324">
        <f t="shared" si="111"/>
        <v>0.12417061611374408</v>
      </c>
      <c r="AD172" s="324">
        <f t="shared" si="106"/>
        <v>0.12851493848857645</v>
      </c>
      <c r="AE172" s="324">
        <f t="shared" si="107"/>
        <v>0.11941023417172593</v>
      </c>
    </row>
    <row r="173" spans="2:31">
      <c r="B173" s="219" t="s">
        <v>656</v>
      </c>
      <c r="C173" s="322"/>
      <c r="D173" s="325">
        <v>9</v>
      </c>
      <c r="E173" s="313" t="s">
        <v>514</v>
      </c>
      <c r="F173" s="313">
        <v>2016</v>
      </c>
      <c r="G173" s="313" t="s">
        <v>691</v>
      </c>
      <c r="H173" s="311">
        <v>118</v>
      </c>
      <c r="I173" s="311">
        <v>43</v>
      </c>
      <c r="J173" s="311">
        <v>222</v>
      </c>
      <c r="K173" s="324">
        <f t="shared" si="108"/>
        <v>0.10746812386156648</v>
      </c>
      <c r="L173" s="324">
        <f t="shared" si="101"/>
        <v>0.10386473429951691</v>
      </c>
      <c r="M173" s="324">
        <f t="shared" si="101"/>
        <v>0.10606784519827998</v>
      </c>
      <c r="N173" s="311">
        <v>1614</v>
      </c>
      <c r="O173" s="311">
        <v>546</v>
      </c>
      <c r="P173" s="311">
        <v>3244</v>
      </c>
      <c r="Q173" s="324">
        <f t="shared" si="109"/>
        <v>0.1342315369261477</v>
      </c>
      <c r="R173" s="324">
        <f t="shared" si="102"/>
        <v>0.13656828414207103</v>
      </c>
      <c r="S173" s="324">
        <f t="shared" si="103"/>
        <v>0.12674845666953191</v>
      </c>
      <c r="T173" s="311">
        <v>171</v>
      </c>
      <c r="U173" s="311">
        <v>57</v>
      </c>
      <c r="V173" s="311">
        <v>323</v>
      </c>
      <c r="W173" s="324">
        <f t="shared" si="110"/>
        <v>0.10112359550561797</v>
      </c>
      <c r="X173" s="324">
        <f t="shared" si="104"/>
        <v>0.10288808664259928</v>
      </c>
      <c r="Y173" s="324">
        <f t="shared" si="105"/>
        <v>9.9969049829774059E-2</v>
      </c>
      <c r="Z173" s="311">
        <v>1785</v>
      </c>
      <c r="AA173" s="311">
        <v>603</v>
      </c>
      <c r="AB173" s="311">
        <v>3567</v>
      </c>
      <c r="AC173" s="324">
        <f t="shared" si="111"/>
        <v>0.13014947138169888</v>
      </c>
      <c r="AD173" s="324">
        <f t="shared" si="106"/>
        <v>0.13246924428822496</v>
      </c>
      <c r="AE173" s="324">
        <f t="shared" si="107"/>
        <v>0.12374674761491761</v>
      </c>
    </row>
    <row r="174" spans="2:31">
      <c r="B174" s="219" t="s">
        <v>657</v>
      </c>
      <c r="C174" s="322"/>
      <c r="D174" s="325">
        <v>10</v>
      </c>
      <c r="E174" s="313" t="s">
        <v>514</v>
      </c>
      <c r="F174" s="313">
        <v>2016</v>
      </c>
      <c r="G174" s="313" t="s">
        <v>691</v>
      </c>
      <c r="H174" s="311">
        <v>209</v>
      </c>
      <c r="I174" s="311">
        <v>85</v>
      </c>
      <c r="J174" s="311">
        <v>382</v>
      </c>
      <c r="K174" s="324">
        <f t="shared" si="108"/>
        <v>0.19034608378870674</v>
      </c>
      <c r="L174" s="324">
        <f t="shared" si="101"/>
        <v>0.20531400966183574</v>
      </c>
      <c r="M174" s="324">
        <f t="shared" si="101"/>
        <v>0.18251313903487817</v>
      </c>
      <c r="N174" s="311">
        <v>2101</v>
      </c>
      <c r="O174" s="311">
        <v>802</v>
      </c>
      <c r="P174" s="311">
        <v>4478</v>
      </c>
      <c r="Q174" s="324">
        <f t="shared" si="109"/>
        <v>0.17473386560212908</v>
      </c>
      <c r="R174" s="324">
        <f t="shared" si="102"/>
        <v>0.20060030015007504</v>
      </c>
      <c r="S174" s="324">
        <f t="shared" si="103"/>
        <v>0.17496288192545129</v>
      </c>
      <c r="T174" s="311">
        <v>208</v>
      </c>
      <c r="U174" s="311">
        <v>70</v>
      </c>
      <c r="V174" s="311">
        <v>385</v>
      </c>
      <c r="W174" s="324">
        <f t="shared" si="110"/>
        <v>0.12300413956238912</v>
      </c>
      <c r="X174" s="324">
        <f t="shared" si="104"/>
        <v>0.1263537906137184</v>
      </c>
      <c r="Y174" s="324">
        <f t="shared" si="105"/>
        <v>0.11915815536985454</v>
      </c>
      <c r="Z174" s="311">
        <v>2309</v>
      </c>
      <c r="AA174" s="311">
        <v>872</v>
      </c>
      <c r="AB174" s="311">
        <v>4863</v>
      </c>
      <c r="AC174" s="324">
        <f t="shared" si="111"/>
        <v>0.16835581480131243</v>
      </c>
      <c r="AD174" s="324">
        <f t="shared" si="106"/>
        <v>0.19156414762741653</v>
      </c>
      <c r="AE174" s="324">
        <f t="shared" si="107"/>
        <v>0.16870771899392889</v>
      </c>
    </row>
    <row r="175" spans="2:31">
      <c r="B175" s="219" t="s">
        <v>658</v>
      </c>
      <c r="C175" s="322"/>
      <c r="D175" s="325">
        <v>11</v>
      </c>
      <c r="E175" s="313" t="s">
        <v>514</v>
      </c>
      <c r="F175" s="313">
        <v>2016</v>
      </c>
      <c r="G175" s="313" t="s">
        <v>691</v>
      </c>
      <c r="H175" s="311">
        <v>242</v>
      </c>
      <c r="I175" s="311">
        <v>97</v>
      </c>
      <c r="J175" s="311">
        <v>474</v>
      </c>
      <c r="K175" s="324">
        <f t="shared" si="108"/>
        <v>0.22040072859744991</v>
      </c>
      <c r="L175" s="324">
        <f t="shared" si="101"/>
        <v>0.23429951690821257</v>
      </c>
      <c r="M175" s="324">
        <f t="shared" si="101"/>
        <v>0.22646918299092211</v>
      </c>
      <c r="N175" s="311">
        <v>1758</v>
      </c>
      <c r="O175" s="311">
        <v>710</v>
      </c>
      <c r="P175" s="311">
        <v>3906</v>
      </c>
      <c r="Q175" s="324">
        <f t="shared" si="109"/>
        <v>0.14620758483033933</v>
      </c>
      <c r="R175" s="324">
        <f t="shared" si="102"/>
        <v>0.1775887943971986</v>
      </c>
      <c r="S175" s="324">
        <f t="shared" si="103"/>
        <v>0.15261389388137844</v>
      </c>
      <c r="T175" s="311">
        <v>150</v>
      </c>
      <c r="U175" s="311">
        <v>47</v>
      </c>
      <c r="V175" s="311">
        <v>297</v>
      </c>
      <c r="W175" s="324">
        <f t="shared" si="110"/>
        <v>8.870490833826139E-2</v>
      </c>
      <c r="X175" s="324">
        <f t="shared" si="104"/>
        <v>8.4837545126353789E-2</v>
      </c>
      <c r="Y175" s="324">
        <f t="shared" si="105"/>
        <v>9.1922005571030641E-2</v>
      </c>
      <c r="Z175" s="311">
        <v>1908</v>
      </c>
      <c r="AA175" s="311">
        <v>757</v>
      </c>
      <c r="AB175" s="311">
        <v>4203</v>
      </c>
      <c r="AC175" s="324">
        <f t="shared" si="111"/>
        <v>0.13911775428363107</v>
      </c>
      <c r="AD175" s="324">
        <f t="shared" si="106"/>
        <v>0.16630052724077329</v>
      </c>
      <c r="AE175" s="324">
        <f t="shared" si="107"/>
        <v>0.14581092801387685</v>
      </c>
    </row>
    <row r="176" spans="2:31">
      <c r="B176" s="219" t="s">
        <v>659</v>
      </c>
      <c r="C176" s="322"/>
      <c r="D176" s="325">
        <v>12</v>
      </c>
      <c r="E176" s="313" t="s">
        <v>514</v>
      </c>
      <c r="F176" s="313">
        <v>2016</v>
      </c>
      <c r="G176" s="313" t="s">
        <v>691</v>
      </c>
      <c r="H176" s="311">
        <v>181</v>
      </c>
      <c r="I176" s="311">
        <v>71</v>
      </c>
      <c r="J176" s="311">
        <v>325</v>
      </c>
      <c r="K176" s="324">
        <f t="shared" si="108"/>
        <v>0.16484517304189436</v>
      </c>
      <c r="L176" s="324">
        <f t="shared" si="101"/>
        <v>0.17149758454106281</v>
      </c>
      <c r="M176" s="324">
        <f t="shared" si="101"/>
        <v>0.15527950310559005</v>
      </c>
      <c r="N176" s="311">
        <v>1033</v>
      </c>
      <c r="O176" s="311">
        <v>335</v>
      </c>
      <c r="P176" s="311">
        <v>1850</v>
      </c>
      <c r="Q176" s="324">
        <f t="shared" si="109"/>
        <v>8.5911510312707912E-2</v>
      </c>
      <c r="R176" s="324">
        <f t="shared" si="102"/>
        <v>8.3791895947973982E-2</v>
      </c>
      <c r="S176" s="324">
        <f t="shared" si="103"/>
        <v>7.228256622645933E-2</v>
      </c>
      <c r="T176" s="311">
        <v>69</v>
      </c>
      <c r="U176" s="311">
        <v>22</v>
      </c>
      <c r="V176" s="311">
        <v>135</v>
      </c>
      <c r="W176" s="324">
        <f t="shared" si="110"/>
        <v>4.0804257835600238E-2</v>
      </c>
      <c r="X176" s="324">
        <f t="shared" si="104"/>
        <v>3.9711191335740074E-2</v>
      </c>
      <c r="Y176" s="324">
        <f t="shared" si="105"/>
        <v>4.1782729805013928E-2</v>
      </c>
      <c r="Z176" s="311">
        <v>1102</v>
      </c>
      <c r="AA176" s="311">
        <v>357</v>
      </c>
      <c r="AB176" s="311">
        <v>1985</v>
      </c>
      <c r="AC176" s="324">
        <f t="shared" si="111"/>
        <v>8.0349981771782722E-2</v>
      </c>
      <c r="AD176" s="324">
        <f t="shared" si="106"/>
        <v>7.8427065026362042E-2</v>
      </c>
      <c r="AE176" s="324">
        <f t="shared" si="107"/>
        <v>6.8863833477883787E-2</v>
      </c>
    </row>
    <row r="177" spans="2:31">
      <c r="B177" s="219" t="s">
        <v>660</v>
      </c>
      <c r="C177" s="322"/>
      <c r="D177" s="325">
        <v>13</v>
      </c>
      <c r="E177" s="313" t="s">
        <v>514</v>
      </c>
      <c r="F177" s="313">
        <v>2016</v>
      </c>
      <c r="G177" s="313" t="s">
        <v>691</v>
      </c>
      <c r="H177" s="311">
        <v>98</v>
      </c>
      <c r="I177" s="311">
        <v>38</v>
      </c>
      <c r="J177" s="311">
        <v>185</v>
      </c>
      <c r="K177" s="324">
        <f t="shared" si="108"/>
        <v>8.9253187613843349E-2</v>
      </c>
      <c r="L177" s="324">
        <f t="shared" si="101"/>
        <v>9.1787439613526575E-2</v>
      </c>
      <c r="M177" s="324">
        <f t="shared" si="101"/>
        <v>8.8389870998566655E-2</v>
      </c>
      <c r="N177" s="311">
        <v>373</v>
      </c>
      <c r="O177" s="311">
        <v>146</v>
      </c>
      <c r="P177" s="311">
        <v>740</v>
      </c>
      <c r="Q177" s="324">
        <f t="shared" si="109"/>
        <v>3.1021290751829675E-2</v>
      </c>
      <c r="R177" s="324">
        <f t="shared" si="102"/>
        <v>3.651825912956478E-2</v>
      </c>
      <c r="S177" s="324">
        <f t="shared" si="103"/>
        <v>2.8913026490583731E-2</v>
      </c>
      <c r="T177" s="311">
        <v>26</v>
      </c>
      <c r="U177" s="311">
        <v>7</v>
      </c>
      <c r="V177" s="311">
        <v>52</v>
      </c>
      <c r="W177" s="324">
        <f t="shared" si="110"/>
        <v>1.537551744529864E-2</v>
      </c>
      <c r="X177" s="324">
        <f t="shared" si="104"/>
        <v>1.263537906137184E-2</v>
      </c>
      <c r="Y177" s="324">
        <f t="shared" si="105"/>
        <v>1.6094088517486844E-2</v>
      </c>
      <c r="Z177" s="311">
        <v>399</v>
      </c>
      <c r="AA177" s="311">
        <v>153</v>
      </c>
      <c r="AB177" s="311">
        <v>792</v>
      </c>
      <c r="AC177" s="324">
        <f t="shared" si="111"/>
        <v>2.9092234779438571E-2</v>
      </c>
      <c r="AD177" s="324">
        <f t="shared" si="106"/>
        <v>3.3611599297012303E-2</v>
      </c>
      <c r="AE177" s="324">
        <f t="shared" si="107"/>
        <v>2.7476149176062444E-2</v>
      </c>
    </row>
    <row r="178" spans="2:31">
      <c r="B178" s="219" t="s">
        <v>661</v>
      </c>
      <c r="C178" s="322"/>
      <c r="D178" s="325">
        <v>14</v>
      </c>
      <c r="E178" s="313" t="s">
        <v>514</v>
      </c>
      <c r="F178" s="313">
        <v>2016</v>
      </c>
      <c r="G178" s="313" t="s">
        <v>691</v>
      </c>
      <c r="H178" s="311">
        <v>18</v>
      </c>
      <c r="I178" s="311">
        <v>6</v>
      </c>
      <c r="J178" s="311">
        <v>35</v>
      </c>
      <c r="K178" s="324">
        <f t="shared" si="108"/>
        <v>1.6393442622950821E-2</v>
      </c>
      <c r="L178" s="324">
        <f t="shared" si="101"/>
        <v>1.4492753623188406E-2</v>
      </c>
      <c r="M178" s="324">
        <f t="shared" si="101"/>
        <v>1.6722408026755852E-2</v>
      </c>
      <c r="N178" s="311">
        <v>53</v>
      </c>
      <c r="O178" s="311">
        <v>18</v>
      </c>
      <c r="P178" s="311">
        <v>105</v>
      </c>
      <c r="Q178" s="324">
        <f t="shared" si="109"/>
        <v>4.4078509647371925E-3</v>
      </c>
      <c r="R178" s="324">
        <f t="shared" si="102"/>
        <v>4.5022511255627812E-3</v>
      </c>
      <c r="S178" s="324">
        <f t="shared" si="103"/>
        <v>4.1025240290693136E-3</v>
      </c>
      <c r="T178" s="311">
        <v>2</v>
      </c>
      <c r="U178" s="311">
        <v>0</v>
      </c>
      <c r="V178" s="311">
        <v>4</v>
      </c>
      <c r="W178" s="324">
        <f t="shared" si="110"/>
        <v>1.1827321111768185E-3</v>
      </c>
      <c r="X178" s="324">
        <f t="shared" si="104"/>
        <v>0</v>
      </c>
      <c r="Y178" s="324">
        <f t="shared" si="105"/>
        <v>1.2380068090374497E-3</v>
      </c>
      <c r="Z178" s="311">
        <v>55</v>
      </c>
      <c r="AA178" s="311">
        <v>18</v>
      </c>
      <c r="AB178" s="311">
        <v>109</v>
      </c>
      <c r="AC178" s="324">
        <f t="shared" si="111"/>
        <v>4.0102078016769956E-3</v>
      </c>
      <c r="AD178" s="324">
        <f t="shared" si="106"/>
        <v>3.9543057996485062E-3</v>
      </c>
      <c r="AE178" s="324">
        <f t="shared" si="107"/>
        <v>3.7814397224631398E-3</v>
      </c>
    </row>
    <row r="179" spans="2:31">
      <c r="B179" s="328" t="s">
        <v>7</v>
      </c>
      <c r="C179" s="329"/>
      <c r="D179" s="330">
        <v>99</v>
      </c>
      <c r="E179" s="331" t="s">
        <v>514</v>
      </c>
      <c r="F179" s="331">
        <v>2016</v>
      </c>
      <c r="G179" s="331" t="s">
        <v>691</v>
      </c>
      <c r="H179" s="332">
        <v>1098</v>
      </c>
      <c r="I179" s="332">
        <v>414</v>
      </c>
      <c r="J179" s="332">
        <v>2093</v>
      </c>
      <c r="K179" s="333">
        <f t="shared" si="108"/>
        <v>1</v>
      </c>
      <c r="L179" s="333">
        <f t="shared" si="101"/>
        <v>1</v>
      </c>
      <c r="M179" s="333">
        <f t="shared" si="101"/>
        <v>1</v>
      </c>
      <c r="N179" s="332">
        <v>12024</v>
      </c>
      <c r="O179" s="332">
        <v>3998</v>
      </c>
      <c r="P179" s="332">
        <v>25594</v>
      </c>
      <c r="Q179" s="333">
        <f t="shared" si="109"/>
        <v>1</v>
      </c>
      <c r="R179" s="333">
        <f t="shared" si="102"/>
        <v>1</v>
      </c>
      <c r="S179" s="333">
        <f t="shared" si="103"/>
        <v>1</v>
      </c>
      <c r="T179" s="332">
        <v>1691</v>
      </c>
      <c r="U179" s="332">
        <v>554</v>
      </c>
      <c r="V179" s="332">
        <v>3231</v>
      </c>
      <c r="W179" s="333">
        <f t="shared" si="110"/>
        <v>1</v>
      </c>
      <c r="X179" s="333">
        <f t="shared" si="104"/>
        <v>1</v>
      </c>
      <c r="Y179" s="333">
        <f t="shared" si="105"/>
        <v>1</v>
      </c>
      <c r="Z179" s="332">
        <v>13715</v>
      </c>
      <c r="AA179" s="332">
        <v>4552</v>
      </c>
      <c r="AB179" s="332">
        <v>28825</v>
      </c>
      <c r="AC179" s="333">
        <f t="shared" si="111"/>
        <v>1</v>
      </c>
      <c r="AD179" s="333">
        <f t="shared" si="106"/>
        <v>1</v>
      </c>
      <c r="AE179" s="333">
        <f t="shared" si="107"/>
        <v>1</v>
      </c>
    </row>
    <row r="188" spans="2:31">
      <c r="F188" s="310"/>
    </row>
    <row r="189" spans="2:31">
      <c r="E189" s="310"/>
      <c r="F189" s="310"/>
    </row>
    <row r="190" spans="2:31">
      <c r="E190" s="310"/>
      <c r="F190" s="310"/>
    </row>
    <row r="191" spans="2:31">
      <c r="E191" s="310"/>
      <c r="F191" s="310"/>
    </row>
    <row r="192" spans="2:31">
      <c r="E192" s="310"/>
      <c r="F192" s="310"/>
    </row>
    <row r="193" spans="5:6">
      <c r="E193" s="310"/>
      <c r="F193" s="310"/>
    </row>
    <row r="194" spans="5:6">
      <c r="E194" s="310"/>
      <c r="F194" s="310"/>
    </row>
    <row r="195" spans="5:6">
      <c r="E195" s="310"/>
      <c r="F195" s="310"/>
    </row>
    <row r="196" spans="5:6">
      <c r="E196" s="310"/>
      <c r="F196" s="310"/>
    </row>
    <row r="197" spans="5:6">
      <c r="E197" s="310"/>
      <c r="F197" s="310"/>
    </row>
    <row r="198" spans="5:6">
      <c r="F198" s="310"/>
    </row>
  </sheetData>
  <pageMargins left="0.7" right="0.7" top="0.75" bottom="0.75" header="0.3" footer="0.3"/>
  <drawing r:id="rId1"/>
  <tableParts count="3">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Q155"/>
  <sheetViews>
    <sheetView tabSelected="1" topLeftCell="BD37" workbookViewId="0">
      <selection activeCell="BE37" sqref="BE37"/>
    </sheetView>
  </sheetViews>
  <sheetFormatPr defaultColWidth="10.85546875" defaultRowHeight="15"/>
  <cols>
    <col min="1" max="1" width="8.28515625" style="1" customWidth="1"/>
    <col min="2" max="2" width="22.28515625" style="1" customWidth="1"/>
    <col min="3" max="3" width="34.140625" style="1" customWidth="1"/>
    <col min="4" max="4" width="26.140625" style="1" customWidth="1"/>
    <col min="5" max="5" width="25.140625" style="1" customWidth="1"/>
    <col min="6" max="6" width="23.85546875" style="1" customWidth="1"/>
    <col min="7" max="7" width="23.7109375" style="1" customWidth="1"/>
    <col min="8" max="8" width="30.7109375" style="1" customWidth="1"/>
    <col min="9" max="9" width="36.140625" style="1" customWidth="1"/>
    <col min="10" max="10" width="24" style="1" customWidth="1"/>
    <col min="11" max="11" width="28.7109375" style="1" customWidth="1"/>
    <col min="12" max="12" width="37.42578125" style="1" customWidth="1"/>
    <col min="13" max="13" width="28.7109375" style="1" customWidth="1"/>
    <col min="14" max="14" width="28.42578125" style="1" customWidth="1"/>
    <col min="15" max="15" width="26.7109375" style="1" customWidth="1"/>
    <col min="16" max="16" width="26.28515625" style="1" customWidth="1"/>
    <col min="17" max="17" width="28" style="1" customWidth="1"/>
    <col min="18" max="18" width="29.28515625" style="1" customWidth="1"/>
    <col min="19" max="19" width="30.28515625" style="1" customWidth="1"/>
    <col min="20" max="20" width="26.140625" style="1" customWidth="1"/>
    <col min="21" max="21" width="31.28515625" style="1" customWidth="1"/>
    <col min="22" max="22" width="30.7109375" style="1" customWidth="1"/>
    <col min="23" max="23" width="28" style="1" customWidth="1"/>
    <col min="24" max="24" width="34.28515625" style="1" customWidth="1"/>
    <col min="25" max="25" width="25.85546875" style="1" customWidth="1"/>
    <col min="26" max="26" width="26" style="1" customWidth="1"/>
    <col min="27" max="28" width="27.7109375" style="1" customWidth="1"/>
    <col min="29" max="29" width="28.140625" style="1" customWidth="1"/>
    <col min="30" max="30" width="28.42578125" style="1" customWidth="1"/>
    <col min="31" max="31" width="26.7109375" style="1" customWidth="1"/>
    <col min="32" max="32" width="31.140625" style="1" customWidth="1"/>
    <col min="33" max="33" width="26.28515625" style="1" customWidth="1"/>
    <col min="34" max="34" width="29.42578125" style="1" customWidth="1"/>
    <col min="35" max="35" width="27" style="1" customWidth="1"/>
    <col min="36" max="36" width="26" style="1" customWidth="1"/>
    <col min="37" max="37" width="24.28515625" style="1" customWidth="1"/>
    <col min="38" max="38" width="26.140625" style="1" customWidth="1"/>
    <col min="39" max="39" width="26.42578125" style="1" customWidth="1"/>
    <col min="40" max="40" width="24.42578125" style="1" customWidth="1"/>
    <col min="41" max="41" width="24" style="1" customWidth="1"/>
    <col min="42" max="42" width="24.140625" style="1" customWidth="1"/>
    <col min="43" max="43" width="30.42578125" style="1" customWidth="1"/>
    <col min="44" max="44" width="24.140625" style="1" customWidth="1"/>
    <col min="45" max="45" width="23.140625" style="1" customWidth="1"/>
    <col min="46" max="46" width="27.140625" style="1" customWidth="1"/>
    <col min="47" max="47" width="19.28515625" style="1" customWidth="1"/>
    <col min="48" max="48" width="26.28515625" style="1" customWidth="1"/>
    <col min="49" max="49" width="20.7109375" style="1" customWidth="1"/>
    <col min="50" max="50" width="24.7109375" style="1" customWidth="1"/>
    <col min="51" max="51" width="22.85546875" style="1" customWidth="1"/>
    <col min="52" max="52" width="22" style="1" customWidth="1"/>
    <col min="53" max="53" width="19.42578125" style="1" customWidth="1"/>
    <col min="54" max="54" width="22.140625" style="1" customWidth="1"/>
    <col min="55" max="55" width="23.7109375" style="1" customWidth="1"/>
    <col min="56" max="56" width="23" style="1" customWidth="1"/>
    <col min="57" max="57" width="25.42578125" style="1" customWidth="1"/>
    <col min="58" max="58" width="24.140625" style="1" customWidth="1"/>
    <col min="59" max="59" width="22.140625" style="1" customWidth="1"/>
    <col min="60" max="60" width="21.42578125" style="1" customWidth="1"/>
    <col min="61" max="61" width="20.140625" style="1" customWidth="1"/>
    <col min="62" max="62" width="20.7109375" style="1" customWidth="1"/>
    <col min="63" max="63" width="21.140625" style="1" customWidth="1"/>
    <col min="64" max="64" width="20.7109375" style="1" customWidth="1"/>
    <col min="65" max="65" width="25.42578125" style="1" customWidth="1"/>
    <col min="66" max="66" width="22.140625" style="1" customWidth="1"/>
    <col min="67" max="67" width="18.7109375" style="1" customWidth="1"/>
    <col min="68" max="68" width="20.85546875" style="1" customWidth="1"/>
    <col min="69" max="69" width="21" style="1" customWidth="1"/>
    <col min="70" max="16384" width="10.85546875" style="1"/>
  </cols>
  <sheetData>
    <row r="2" spans="2:3" ht="26.25">
      <c r="B2" s="182" t="s">
        <v>346</v>
      </c>
    </row>
    <row r="4" spans="2:3" ht="17.25">
      <c r="B4" s="3" t="s">
        <v>341</v>
      </c>
    </row>
    <row r="6" spans="2:3" ht="17.25">
      <c r="B6" s="183" t="s">
        <v>342</v>
      </c>
      <c r="C6" s="183" t="s">
        <v>343</v>
      </c>
    </row>
    <row r="7" spans="2:3" ht="17.25">
      <c r="B7" s="183" t="s">
        <v>344</v>
      </c>
      <c r="C7" s="183" t="s">
        <v>345</v>
      </c>
    </row>
    <row r="26" spans="2:27" ht="21">
      <c r="B26" s="184" t="s">
        <v>350</v>
      </c>
    </row>
    <row r="28" spans="2:27" ht="60">
      <c r="E28" s="200" t="s">
        <v>326</v>
      </c>
      <c r="F28" s="200" t="s">
        <v>326</v>
      </c>
      <c r="G28" s="200" t="s">
        <v>326</v>
      </c>
      <c r="H28" s="200" t="s">
        <v>326</v>
      </c>
      <c r="I28" s="200" t="s">
        <v>326</v>
      </c>
      <c r="J28" s="200" t="s">
        <v>326</v>
      </c>
      <c r="K28" s="200" t="s">
        <v>326</v>
      </c>
      <c r="L28" s="200" t="s">
        <v>326</v>
      </c>
      <c r="M28" s="200" t="s">
        <v>326</v>
      </c>
      <c r="N28" s="200" t="s">
        <v>327</v>
      </c>
      <c r="O28" s="200" t="s">
        <v>327</v>
      </c>
      <c r="P28" s="200" t="s">
        <v>327</v>
      </c>
      <c r="Q28" s="200" t="s">
        <v>327</v>
      </c>
      <c r="R28" s="200" t="s">
        <v>327</v>
      </c>
      <c r="S28" s="200" t="s">
        <v>327</v>
      </c>
      <c r="T28" s="201" t="s">
        <v>349</v>
      </c>
      <c r="U28" s="200" t="s">
        <v>328</v>
      </c>
      <c r="V28" s="200" t="s">
        <v>328</v>
      </c>
      <c r="W28" s="200" t="s">
        <v>328</v>
      </c>
    </row>
    <row r="30" spans="2:27" ht="65.099999999999994" customHeight="1">
      <c r="B30" s="4" t="s">
        <v>0</v>
      </c>
      <c r="C30" s="4" t="s">
        <v>75</v>
      </c>
      <c r="D30" s="4" t="s">
        <v>332</v>
      </c>
      <c r="E30" s="4" t="s">
        <v>334</v>
      </c>
      <c r="F30" s="4" t="s">
        <v>462</v>
      </c>
      <c r="G30" s="4" t="s">
        <v>463</v>
      </c>
      <c r="H30" s="4" t="s">
        <v>335</v>
      </c>
      <c r="I30" s="4" t="s">
        <v>464</v>
      </c>
      <c r="J30" s="4" t="s">
        <v>465</v>
      </c>
      <c r="K30" s="4" t="s">
        <v>336</v>
      </c>
      <c r="L30" s="4" t="s">
        <v>470</v>
      </c>
      <c r="M30" s="4" t="s">
        <v>471</v>
      </c>
      <c r="N30" s="4" t="s">
        <v>606</v>
      </c>
      <c r="O30" s="4" t="s">
        <v>610</v>
      </c>
      <c r="P30" s="4" t="s">
        <v>611</v>
      </c>
      <c r="Q30" s="4" t="s">
        <v>337</v>
      </c>
      <c r="R30" s="4" t="s">
        <v>338</v>
      </c>
      <c r="S30" s="4" t="s">
        <v>339</v>
      </c>
      <c r="T30" s="4" t="s">
        <v>324</v>
      </c>
      <c r="U30" s="195" t="s">
        <v>325</v>
      </c>
      <c r="V30" s="195" t="s">
        <v>466</v>
      </c>
      <c r="W30" s="195" t="s">
        <v>467</v>
      </c>
      <c r="X30" s="4" t="s">
        <v>340</v>
      </c>
      <c r="Y30" s="195" t="s">
        <v>333</v>
      </c>
      <c r="Z30" s="195" t="s">
        <v>468</v>
      </c>
      <c r="AA30" s="195" t="s">
        <v>469</v>
      </c>
    </row>
    <row r="31" spans="2:27">
      <c r="B31" s="1">
        <v>0</v>
      </c>
      <c r="C31" s="1" t="s">
        <v>331</v>
      </c>
      <c r="D31" s="1" t="s">
        <v>348</v>
      </c>
      <c r="E31" s="178">
        <f>'Healthcare Expenditures'!$H$22</f>
        <v>203958000</v>
      </c>
      <c r="F31" s="178">
        <f>'Healthcare Expenditures'!$I$22</f>
        <v>173742000</v>
      </c>
      <c r="G31" s="178">
        <f>'Healthcare Expenditures'!$J$22</f>
        <v>327340000</v>
      </c>
      <c r="H31" s="178">
        <f>'Healthcare Expenditures'!$H$23</f>
        <v>73953000</v>
      </c>
      <c r="I31" s="178">
        <f>'Healthcare Expenditures'!$I$23</f>
        <v>62997000.000000007</v>
      </c>
      <c r="J31" s="178">
        <f>'Healthcare Expenditures'!$J$23</f>
        <v>118690000</v>
      </c>
      <c r="K31" s="178">
        <f>'Healthcare Expenditures'!$H$24</f>
        <v>116883000</v>
      </c>
      <c r="L31" s="178">
        <f>'Healthcare Expenditures'!$I$24</f>
        <v>99567000.000000015</v>
      </c>
      <c r="M31" s="178">
        <f>'Healthcare Expenditures'!$J$24</f>
        <v>187590000</v>
      </c>
      <c r="N31" s="178">
        <f>'Mortality Costs'!$E$83</f>
        <v>63151268</v>
      </c>
      <c r="O31" s="178">
        <f>'Mortality Costs'!$E$84</f>
        <v>34083084</v>
      </c>
      <c r="P31" s="178">
        <f>'Mortality Costs'!$E$85</f>
        <v>104109324</v>
      </c>
      <c r="Q31" s="178">
        <f>'Workplace Smoking Costs'!$E$35</f>
        <v>76229997.863809526</v>
      </c>
      <c r="R31" s="178">
        <f>'Workplace Smoking Costs'!$E$36</f>
        <v>73884459.46800001</v>
      </c>
      <c r="S31" s="178">
        <f>'Workplace Smoking Costs'!$E$37</f>
        <v>243349608.56523812</v>
      </c>
      <c r="T31" s="178">
        <f>SUM($Q$31:$S$31)</f>
        <v>393464065.89704764</v>
      </c>
      <c r="U31" s="237">
        <f>$E$31+$N$31+$T$31</f>
        <v>660573333.89704764</v>
      </c>
      <c r="V31" s="237">
        <f>$F$31+$O$31+$T$31</f>
        <v>601289149.89704764</v>
      </c>
      <c r="W31" s="237">
        <f>$G$31+$P$31+$T$31</f>
        <v>824913389.89704764</v>
      </c>
      <c r="X31" s="15">
        <v>33921600000</v>
      </c>
      <c r="Y31" s="193">
        <f>$U$31/$X$31</f>
        <v>1.9473531139363936E-2</v>
      </c>
      <c r="Z31" s="193">
        <f>$V$31/$X$31</f>
        <v>1.7725848718723399E-2</v>
      </c>
      <c r="AA31" s="193">
        <f>$W$31/$X$31</f>
        <v>2.4318233511893533E-2</v>
      </c>
    </row>
    <row r="32" spans="2:27">
      <c r="E32" s="178"/>
      <c r="F32" s="178"/>
      <c r="G32" s="178"/>
      <c r="H32" s="178"/>
      <c r="I32" s="178"/>
      <c r="J32" s="178"/>
      <c r="K32" s="178"/>
      <c r="L32" s="178"/>
      <c r="M32" s="178"/>
      <c r="O32" s="179"/>
    </row>
    <row r="33" spans="2:69">
      <c r="E33" s="239"/>
      <c r="F33" s="239"/>
      <c r="G33" s="239"/>
      <c r="H33" s="239"/>
      <c r="I33" s="239"/>
      <c r="J33" s="239"/>
      <c r="K33" s="239"/>
      <c r="L33" s="239"/>
      <c r="M33" s="239"/>
      <c r="N33" s="239"/>
      <c r="O33" s="239"/>
      <c r="P33" s="239"/>
      <c r="Q33" s="239"/>
      <c r="R33" s="239"/>
      <c r="S33" s="239"/>
      <c r="T33" s="178"/>
    </row>
    <row r="34" spans="2:69">
      <c r="E34" s="239"/>
      <c r="F34" s="239"/>
      <c r="G34" s="239"/>
      <c r="H34" s="239"/>
      <c r="I34" s="239"/>
      <c r="J34" s="239"/>
      <c r="K34" s="239"/>
      <c r="L34" s="239"/>
      <c r="M34" s="239"/>
      <c r="N34" s="239"/>
      <c r="O34" s="239"/>
      <c r="P34" s="239"/>
      <c r="Q34" s="239"/>
      <c r="R34" s="239"/>
      <c r="S34" s="239"/>
    </row>
    <row r="35" spans="2:69" ht="21">
      <c r="B35" s="199" t="s">
        <v>347</v>
      </c>
      <c r="E35" s="239"/>
      <c r="F35" s="239"/>
      <c r="G35" s="239"/>
      <c r="H35" s="239"/>
      <c r="I35" s="239"/>
      <c r="J35" s="239"/>
      <c r="K35" s="239"/>
      <c r="L35" s="239"/>
      <c r="M35" s="239"/>
      <c r="N35" s="239"/>
      <c r="O35" s="239"/>
      <c r="P35" s="239"/>
      <c r="Q35" s="239"/>
      <c r="R35" s="239"/>
      <c r="S35" s="239"/>
    </row>
    <row r="38" spans="2:69" ht="120">
      <c r="B38" s="4" t="s">
        <v>0</v>
      </c>
      <c r="C38" s="4" t="s">
        <v>75</v>
      </c>
      <c r="D38" s="4" t="s">
        <v>698</v>
      </c>
      <c r="E38" s="4" t="s">
        <v>699</v>
      </c>
      <c r="F38" s="4" t="s">
        <v>700</v>
      </c>
      <c r="G38" s="358" t="s">
        <v>720</v>
      </c>
      <c r="H38" s="358" t="s">
        <v>721</v>
      </c>
      <c r="I38" s="358" t="s">
        <v>722</v>
      </c>
      <c r="J38" s="358" t="s">
        <v>723</v>
      </c>
      <c r="K38" s="358" t="s">
        <v>724</v>
      </c>
      <c r="L38" s="358" t="s">
        <v>725</v>
      </c>
      <c r="M38" s="358" t="s">
        <v>704</v>
      </c>
      <c r="N38" s="358" t="s">
        <v>705</v>
      </c>
      <c r="O38" s="358" t="s">
        <v>706</v>
      </c>
      <c r="P38" s="358" t="s">
        <v>711</v>
      </c>
      <c r="Q38" s="358" t="s">
        <v>712</v>
      </c>
      <c r="R38" s="358" t="s">
        <v>713</v>
      </c>
      <c r="S38" s="358" t="s">
        <v>714</v>
      </c>
      <c r="T38" s="359" t="s">
        <v>715</v>
      </c>
      <c r="U38" s="359" t="s">
        <v>716</v>
      </c>
      <c r="V38" s="359" t="s">
        <v>717</v>
      </c>
      <c r="W38" s="357" t="s">
        <v>332</v>
      </c>
      <c r="X38" s="4" t="s">
        <v>472</v>
      </c>
      <c r="Y38" s="4" t="s">
        <v>473</v>
      </c>
      <c r="Z38" s="4" t="s">
        <v>476</v>
      </c>
      <c r="AA38" s="358" t="s">
        <v>474</v>
      </c>
      <c r="AB38" s="358" t="s">
        <v>475</v>
      </c>
      <c r="AC38" s="358" t="s">
        <v>477</v>
      </c>
      <c r="AD38" s="358" t="s">
        <v>478</v>
      </c>
      <c r="AE38" s="4" t="s">
        <v>718</v>
      </c>
      <c r="AF38" s="4" t="s">
        <v>719</v>
      </c>
      <c r="AG38" s="358" t="s">
        <v>701</v>
      </c>
      <c r="AH38" s="358" t="s">
        <v>702</v>
      </c>
      <c r="AI38" s="358" t="s">
        <v>703</v>
      </c>
      <c r="AJ38" s="358" t="s">
        <v>707</v>
      </c>
      <c r="AK38" s="358" t="s">
        <v>708</v>
      </c>
      <c r="AL38" s="358" t="s">
        <v>709</v>
      </c>
      <c r="AM38" s="358" t="s">
        <v>710</v>
      </c>
      <c r="AN38" s="359" t="s">
        <v>482</v>
      </c>
      <c r="AO38" s="359" t="s">
        <v>483</v>
      </c>
      <c r="AP38" s="359" t="s">
        <v>484</v>
      </c>
      <c r="AQ38" s="4" t="s">
        <v>340</v>
      </c>
      <c r="AR38" s="195" t="s">
        <v>481</v>
      </c>
      <c r="AS38" s="195" t="s">
        <v>485</v>
      </c>
      <c r="AT38" s="195" t="s">
        <v>486</v>
      </c>
      <c r="AU38" s="185" t="s">
        <v>355</v>
      </c>
      <c r="AV38" s="185" t="s">
        <v>487</v>
      </c>
      <c r="AW38" s="185" t="s">
        <v>488</v>
      </c>
      <c r="AX38" s="185" t="s">
        <v>356</v>
      </c>
      <c r="AY38" s="185" t="s">
        <v>489</v>
      </c>
      <c r="AZ38" s="185" t="s">
        <v>490</v>
      </c>
      <c r="BA38" s="185" t="s">
        <v>357</v>
      </c>
      <c r="BB38" s="185" t="s">
        <v>491</v>
      </c>
      <c r="BC38" s="185" t="s">
        <v>492</v>
      </c>
      <c r="BD38" s="187" t="s">
        <v>358</v>
      </c>
      <c r="BE38" s="187" t="s">
        <v>495</v>
      </c>
      <c r="BF38" s="187" t="s">
        <v>496</v>
      </c>
      <c r="BG38" s="186" t="s">
        <v>351</v>
      </c>
      <c r="BH38" s="186" t="s">
        <v>352</v>
      </c>
      <c r="BI38" s="186" t="s">
        <v>353</v>
      </c>
      <c r="BJ38" s="186" t="s">
        <v>354</v>
      </c>
      <c r="BK38" s="191" t="s">
        <v>174</v>
      </c>
      <c r="BL38" s="191" t="s">
        <v>493</v>
      </c>
      <c r="BM38" s="191" t="s">
        <v>494</v>
      </c>
      <c r="BN38" s="196" t="s">
        <v>202</v>
      </c>
      <c r="BO38" s="191" t="s">
        <v>366</v>
      </c>
      <c r="BP38" s="191" t="s">
        <v>367</v>
      </c>
      <c r="BQ38" s="191" t="s">
        <v>368</v>
      </c>
    </row>
    <row r="39" spans="2:69">
      <c r="B39" s="202">
        <v>1</v>
      </c>
      <c r="C39" s="203" t="s">
        <v>242</v>
      </c>
      <c r="D39" s="351">
        <f>'Healthcare Expenditures'!$J35</f>
        <v>203958000</v>
      </c>
      <c r="E39" s="351">
        <f>'Healthcare Expenditures'!$K35</f>
        <v>173742000</v>
      </c>
      <c r="F39" s="351">
        <f>'Healthcare Expenditures'!$L35</f>
        <v>327340000</v>
      </c>
      <c r="G39" s="351">
        <f>'Healthcare Expenditures'!$M35</f>
        <v>73953000</v>
      </c>
      <c r="H39" s="351">
        <f>'Healthcare Expenditures'!$N35</f>
        <v>62997000.000000007</v>
      </c>
      <c r="I39" s="351">
        <f>'Healthcare Expenditures'!$O35</f>
        <v>118690000</v>
      </c>
      <c r="J39" s="351">
        <f>'Healthcare Expenditures'!$P35</f>
        <v>116883000</v>
      </c>
      <c r="K39" s="351">
        <f>'Healthcare Expenditures'!$Q35</f>
        <v>99567000.000000015</v>
      </c>
      <c r="L39" s="351">
        <f>'Healthcare Expenditures'!$R35</f>
        <v>187590000</v>
      </c>
      <c r="M39" s="351">
        <f>'Mortality Costs'!$G130</f>
        <v>63466799</v>
      </c>
      <c r="N39" s="351">
        <f>'Mortality Costs'!$H130</f>
        <v>34253341</v>
      </c>
      <c r="O39" s="351">
        <f>'Mortality Costs'!$I130</f>
        <v>104629575</v>
      </c>
      <c r="P39" s="351">
        <f>'Workplace Smoking Costs'!$K51</f>
        <v>76229997.863809526</v>
      </c>
      <c r="Q39" s="351">
        <f>'Workplace Smoking Costs'!$K170</f>
        <v>73884459.46800001</v>
      </c>
      <c r="R39" s="351">
        <f>'Workplace Smoking Costs'!$K289</f>
        <v>243349608.56523812</v>
      </c>
      <c r="S39" s="351">
        <f>P39+Q39+R39</f>
        <v>393464065.89704764</v>
      </c>
      <c r="T39" s="205">
        <f>D39+M39+S39</f>
        <v>660888864.89704764</v>
      </c>
      <c r="U39" s="205">
        <f>E39+N39+S39</f>
        <v>601459406.89704764</v>
      </c>
      <c r="V39" s="205">
        <f>F39+O39+S39</f>
        <v>825433640.89704764</v>
      </c>
      <c r="W39" s="354">
        <f>'Intervention Impacts'!$C$63</f>
        <v>-6.5972442588726504E-2</v>
      </c>
      <c r="X39" s="204">
        <f>'Healthcare Expenditures'!$Z35</f>
        <v>190502392.55448851</v>
      </c>
      <c r="Y39" s="204">
        <f>'Healthcare Expenditures'!$AA35</f>
        <v>162279815.87974951</v>
      </c>
      <c r="Z39" s="204">
        <f>'Healthcare Expenditures'!$AB35</f>
        <v>305744580.64300627</v>
      </c>
      <c r="AA39" s="204">
        <f>'Healthcare Expenditures'!$AC35</f>
        <v>69074139.953235909</v>
      </c>
      <c r="AB39" s="204">
        <f>'Healthcare Expenditures'!$AD35</f>
        <v>58840934.034238003</v>
      </c>
      <c r="AC39" s="204">
        <f>'Healthcare Expenditures'!$AE35</f>
        <v>110859730.78914405</v>
      </c>
      <c r="AD39" s="204">
        <f>'Healthcare Expenditures'!$AF35</f>
        <v>109171942.99290188</v>
      </c>
      <c r="AE39" s="204">
        <f>'Healthcare Expenditures'!$AG35</f>
        <v>92998321.808768287</v>
      </c>
      <c r="AF39" s="204">
        <f>'Healthcare Expenditures'!$AH35</f>
        <v>175214229.49478081</v>
      </c>
      <c r="AG39" s="204">
        <f>'Mortality Costs'!$K130</f>
        <v>56639973</v>
      </c>
      <c r="AH39" s="204">
        <f>'Mortality Costs'!$L130</f>
        <v>30010649</v>
      </c>
      <c r="AI39" s="204">
        <f>'Mortality Costs'!$M130</f>
        <v>94421417</v>
      </c>
      <c r="AJ39" s="204">
        <f>'Workplace Smoking Costs'!$S51</f>
        <v>71200918.706200615</v>
      </c>
      <c r="AK39" s="204">
        <f>'Workplace Smoking Costs'!$S170</f>
        <v>69010121.20754829</v>
      </c>
      <c r="AL39" s="204">
        <f>'Workplace Smoking Costs'!$S289</f>
        <v>227295240.48517892</v>
      </c>
      <c r="AM39" s="204">
        <f>tblTotalCosts_All[[#This Row],[Cost of Excess Absenteeism
Intervention Scenario]]+tblTotalCosts_All[[#This Row],[Cost of Presenteeism
Intervention Scenario]]+tblTotalCosts_All[[#This Row],[Cost of Smoking Breaks
Intervention Scenario]]</f>
        <v>367506280.39892781</v>
      </c>
      <c r="AN39" s="205">
        <f>tblTotalCosts_All[[#This Row],[Smoking-Attributable Healthcare Cost:
Intervention Scenario
Total]]+tblTotalCosts_All[[#This Row],[Cost of Premature Mortality Associated with Tobacco Use
Intervention Scenario]]+tblTotalCosts_All[[#This Row],[Workplace Costs
Intervention Scenario]]</f>
        <v>614648645.95341635</v>
      </c>
      <c r="AO39" s="205">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559796745.27867734</v>
      </c>
      <c r="AP39" s="205">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767672278.04193401</v>
      </c>
      <c r="AQ39" s="204">
        <f>tblTotalCosts_Base[Gross Domestic Product (GDP)]</f>
        <v>33921600000</v>
      </c>
      <c r="AR39" s="206">
        <f>tblTotalCosts_All[[#This Row],[Total Economic Cost
(Intervention Scenario)]]/tblTotalCosts_All[[#This Row],[Gross Domestic Product (GDP)]]</f>
        <v>1.8119683209324333E-2</v>
      </c>
      <c r="AS39" s="206">
        <f>tblTotalCosts_All[[#This Row],[Total Economic Cost
(Intervention Scenario) - Lower Bound]]/tblTotalCosts_All[[#This Row],[Gross Domestic Product (GDP)]]</f>
        <v>1.6502663355463108E-2</v>
      </c>
      <c r="AT39" s="206">
        <f>tblTotalCosts_All[[#This Row],[Total Economic Cost
(Intervention Scenario) - Upper Bound]]/tblTotalCosts_All[[#This Row],[Gross Domestic Product (GDP)]]</f>
        <v>2.2630780329994282E-2</v>
      </c>
      <c r="AU39" s="207">
        <f>'Healthcare Expenditures'!$AL35</f>
        <v>13455607.44551149</v>
      </c>
      <c r="AV39" s="207">
        <f>'Healthcare Expenditures'!$AM35</f>
        <v>11462184.120250493</v>
      </c>
      <c r="AW39" s="207">
        <f>'Healthcare Expenditures'!$AN35</f>
        <v>21595419.356993735</v>
      </c>
      <c r="AX39" s="207">
        <f>'Healthcare Expenditures'!$AO35</f>
        <v>4878860.0467640907</v>
      </c>
      <c r="AY39" s="207">
        <f>'Healthcare Expenditures'!$AP35</f>
        <v>4156065.9657620043</v>
      </c>
      <c r="AZ39" s="207">
        <f>'Healthcare Expenditures'!$AQ35</f>
        <v>7830269.2108559459</v>
      </c>
      <c r="BA39" s="207">
        <f>'Healthcare Expenditures'!$AR35</f>
        <v>7711057.0070981234</v>
      </c>
      <c r="BB39" s="207">
        <f>'Healthcare Expenditures'!$AS35</f>
        <v>6568678.1912317276</v>
      </c>
      <c r="BC39" s="207">
        <f>'Healthcare Expenditures'!$AT35</f>
        <v>12375770.505219191</v>
      </c>
      <c r="BD39" s="208">
        <f>'Mortality Costs'!$N130</f>
        <v>6826826</v>
      </c>
      <c r="BE39" s="208">
        <f>'Mortality Costs'!$O130</f>
        <v>4242692</v>
      </c>
      <c r="BF39" s="208">
        <f>'Mortality Costs'!$P130</f>
        <v>10208158</v>
      </c>
      <c r="BG39" s="208">
        <f>'Workplace Smoking Costs'!$V51</f>
        <v>5029079.1576089114</v>
      </c>
      <c r="BH39" s="208">
        <f>'Workplace Smoking Costs'!$V170</f>
        <v>4874338.2604517192</v>
      </c>
      <c r="BI39" s="208">
        <f>'Workplace Smoking Costs'!$V289</f>
        <v>16054368.080059201</v>
      </c>
      <c r="BJ39" s="208">
        <f>BG39+BH39+BI39</f>
        <v>25957785.498119831</v>
      </c>
      <c r="BK39" s="208">
        <f>AU39+BD39+BJ39</f>
        <v>46240218.943631321</v>
      </c>
      <c r="BL39" s="208">
        <f>AV39+BE39+BJ39</f>
        <v>41662661.618370324</v>
      </c>
      <c r="BM39" s="208">
        <f t="shared" ref="BM39:BM56" si="0">AW39+BF39+BJ39</f>
        <v>57761362.855113566</v>
      </c>
      <c r="BN39" s="209">
        <f>SUM('Intervention Costs'!$E$42+'Intervention Costs'!$D$42+'Intervention Costs'!$G$42+'Intervention Costs'!$F$42)</f>
        <v>977845.09626223892</v>
      </c>
      <c r="BO39" s="166">
        <f t="shared" ref="BO39:BO56" si="1">BK39/$BN39</f>
        <v>47.287877313474404</v>
      </c>
      <c r="BP39" s="166">
        <f t="shared" ref="BP39:BP56" si="2">BL39/$BN39</f>
        <v>42.606606892670058</v>
      </c>
      <c r="BQ39" s="216">
        <f t="shared" ref="BQ39:BQ56" si="3">BM39/$BN39</f>
        <v>59.070054220145209</v>
      </c>
    </row>
    <row r="40" spans="2:69">
      <c r="B40" s="210">
        <v>2</v>
      </c>
      <c r="C40" s="211" t="s">
        <v>242</v>
      </c>
      <c r="D40" s="352">
        <f>'Healthcare Expenditures'!$J36</f>
        <v>203958000</v>
      </c>
      <c r="E40" s="352">
        <f>'Healthcare Expenditures'!$K36</f>
        <v>173742000</v>
      </c>
      <c r="F40" s="352">
        <f>'Healthcare Expenditures'!$L36</f>
        <v>327340000</v>
      </c>
      <c r="G40" s="352">
        <f>'Healthcare Expenditures'!$M36</f>
        <v>73953000</v>
      </c>
      <c r="H40" s="352">
        <f>'Healthcare Expenditures'!$N36</f>
        <v>62997000.000000007</v>
      </c>
      <c r="I40" s="352">
        <f>'Healthcare Expenditures'!$O36</f>
        <v>118690000</v>
      </c>
      <c r="J40" s="352">
        <f>'Healthcare Expenditures'!$P36</f>
        <v>116883000</v>
      </c>
      <c r="K40" s="352">
        <f>'Healthcare Expenditures'!$Q36</f>
        <v>99567000.000000015</v>
      </c>
      <c r="L40" s="352">
        <f>'Healthcare Expenditures'!$R36</f>
        <v>187590000</v>
      </c>
      <c r="M40" s="352">
        <f>'Mortality Costs'!$G131</f>
        <v>63784156</v>
      </c>
      <c r="N40" s="352">
        <f>'Mortality Costs'!$H131</f>
        <v>34424628</v>
      </c>
      <c r="O40" s="352">
        <f>'Mortality Costs'!$I131</f>
        <v>105152764</v>
      </c>
      <c r="P40" s="352">
        <f>'Workplace Smoking Costs'!$K52</f>
        <v>76229997.863809526</v>
      </c>
      <c r="Q40" s="352">
        <f>'Workplace Smoking Costs'!$K171</f>
        <v>73884459.46800001</v>
      </c>
      <c r="R40" s="352">
        <f>'Workplace Smoking Costs'!$K290</f>
        <v>243349608.56523812</v>
      </c>
      <c r="S40" s="352">
        <f t="shared" ref="S40:S53" si="4">P40+Q40+R40</f>
        <v>393464065.89704764</v>
      </c>
      <c r="T40" s="213">
        <f t="shared" ref="T40:T53" si="5">D40+M40+S40</f>
        <v>661206221.89704764</v>
      </c>
      <c r="U40" s="213">
        <f t="shared" ref="U40:U53" si="6">E40+N40+S40</f>
        <v>601630693.89704764</v>
      </c>
      <c r="V40" s="213">
        <f t="shared" ref="V40:V53" si="7">F40+O40+S40</f>
        <v>825956829.89704764</v>
      </c>
      <c r="W40" s="355">
        <f>'Intervention Impacts'!$C$64</f>
        <v>-6.5972442588726518E-2</v>
      </c>
      <c r="X40" s="212">
        <f>'Healthcare Expenditures'!$Z36</f>
        <v>177934484.39867249</v>
      </c>
      <c r="Y40" s="212">
        <f>'Healthcare Expenditures'!$AA36</f>
        <v>151573820.04331362</v>
      </c>
      <c r="Z40" s="212">
        <f>'Healthcare Expenditures'!$AB36</f>
        <v>285573863.84972131</v>
      </c>
      <c r="AA40" s="212">
        <f>'Healthcare Expenditures'!$AC36</f>
        <v>64517150.220805399</v>
      </c>
      <c r="AB40" s="212">
        <f>'Healthcare Expenditures'!$AD36</f>
        <v>54959053.8917972</v>
      </c>
      <c r="AC40" s="212">
        <f>'Healthcare Expenditures'!$AE36</f>
        <v>103546043.56425558</v>
      </c>
      <c r="AD40" s="212">
        <f>'Healthcare Expenditures'!$AF36</f>
        <v>101969603.25150295</v>
      </c>
      <c r="AE40" s="212">
        <f>'Healthcare Expenditures'!$AG36</f>
        <v>86862995.362391412</v>
      </c>
      <c r="AF40" s="212">
        <f>'Healthcare Expenditures'!$AH36</f>
        <v>163654918.79870844</v>
      </c>
      <c r="AG40" s="212">
        <f>'Mortality Costs'!$K131</f>
        <v>53165739</v>
      </c>
      <c r="AH40" s="212">
        <f>'Mortality Costs'!$L131</f>
        <v>28281993</v>
      </c>
      <c r="AI40" s="212">
        <f>'Mortality Costs'!$M131</f>
        <v>88677175</v>
      </c>
      <c r="AJ40" s="212">
        <f>'Workplace Smoking Costs'!$S52</f>
        <v>66503620.184591219</v>
      </c>
      <c r="AK40" s="212">
        <f>'Workplace Smoking Costs'!$S171</f>
        <v>64457354.94814226</v>
      </c>
      <c r="AL40" s="212">
        <f>'Workplace Smoking Costs'!$S290</f>
        <v>212300018.28157964</v>
      </c>
      <c r="AM40" s="212">
        <f>$AM$39+($AM$39*tblTotalCosts_All[[#This Row],[Relative Reduction in Smoking Prevalence]])</f>
        <v>343260993.41431314</v>
      </c>
      <c r="AN40" s="213">
        <f>tblTotalCosts_All[[#This Row],[Smoking-Attributable Healthcare Cost:
Intervention Scenario
Total]]+tblTotalCosts_All[[#This Row],[Cost of Premature Mortality Associated with Tobacco Use
Intervention Scenario]]+tblTotalCosts_All[[#This Row],[Workplace Costs
Intervention Scenario]]</f>
        <v>574361216.81298566</v>
      </c>
      <c r="AO40"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523116806.45762676</v>
      </c>
      <c r="AP40"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717512032.26403451</v>
      </c>
      <c r="AQ40" s="212">
        <f>tblTotalCosts_Base[Gross Domestic Product (GDP)]</f>
        <v>33921600000</v>
      </c>
      <c r="AR40" s="214">
        <f>tblTotalCosts_All[[#This Row],[Total Economic Cost
(Intervention Scenario)]]/tblTotalCosts_All[[#This Row],[Gross Domestic Product (GDP)]]</f>
        <v>1.6932020211693603E-2</v>
      </c>
      <c r="AS40" s="214">
        <f>tblTotalCosts_All[[#This Row],[Total Economic Cost
(Intervention Scenario) - Lower Bound]]/tblTotalCosts_All[[#This Row],[Gross Domestic Product (GDP)]]</f>
        <v>1.5421348239989469E-2</v>
      </c>
      <c r="AT40" s="214">
        <f>tblTotalCosts_All[[#This Row],[Total Economic Cost
(Intervention Scenario) - Upper Bound]]/tblTotalCosts_All[[#This Row],[Gross Domestic Product (GDP)]]</f>
        <v>2.1152069249800554E-2</v>
      </c>
      <c r="AU40" s="188">
        <f>'Healthcare Expenditures'!$AL36</f>
        <v>26023515.601327509</v>
      </c>
      <c r="AV40" s="188">
        <f>'Healthcare Expenditures'!$AM36</f>
        <v>22168179.956686378</v>
      </c>
      <c r="AW40" s="188">
        <f>'Healthcare Expenditures'!$AN36</f>
        <v>41766136.150278687</v>
      </c>
      <c r="AX40" s="188">
        <f>'Healthcare Expenditures'!$AO36</f>
        <v>9435849.7791946009</v>
      </c>
      <c r="AY40" s="188">
        <f>'Healthcare Expenditures'!$AP36</f>
        <v>8037946.1082028076</v>
      </c>
      <c r="AZ40" s="188">
        <f>'Healthcare Expenditures'!$AQ36</f>
        <v>15143956.43574442</v>
      </c>
      <c r="BA40" s="188">
        <f>'Healthcare Expenditures'!$AR36</f>
        <v>14913396.748497054</v>
      </c>
      <c r="BB40" s="188">
        <f>'Healthcare Expenditures'!$AS36</f>
        <v>12704004.637608603</v>
      </c>
      <c r="BC40" s="188">
        <f>'Healthcare Expenditures'!$AT36</f>
        <v>23935081.201291561</v>
      </c>
      <c r="BD40" s="166">
        <f>'Mortality Costs'!$N131</f>
        <v>10618417</v>
      </c>
      <c r="BE40" s="166">
        <f>'Mortality Costs'!$O131</f>
        <v>6142635</v>
      </c>
      <c r="BF40" s="166">
        <f>'Mortality Costs'!$P131</f>
        <v>16475589</v>
      </c>
      <c r="BG40" s="166">
        <f>'Workplace Smoking Costs'!$V52</f>
        <v>9726377.6792183071</v>
      </c>
      <c r="BH40" s="166">
        <f>'Workplace Smoking Costs'!$V171</f>
        <v>9427104.5198577493</v>
      </c>
      <c r="BI40" s="166">
        <f>'Workplace Smoking Costs'!$V290</f>
        <v>31049590.283658475</v>
      </c>
      <c r="BJ40" s="166">
        <f t="shared" ref="BJ40:BJ53" si="8">BG40+BH40+BI40</f>
        <v>50203072.482734531</v>
      </c>
      <c r="BK40" s="166">
        <f t="shared" ref="BK40:BK53" si="9">AU40+BD40+BJ40</f>
        <v>86845005.08406204</v>
      </c>
      <c r="BL40" s="166">
        <f t="shared" ref="BL40:BL56" si="10">AV40+BE40+BJ40</f>
        <v>78513887.439420909</v>
      </c>
      <c r="BM40" s="166">
        <f t="shared" si="0"/>
        <v>108444797.63301322</v>
      </c>
      <c r="BN40" s="215">
        <f>SUM('Intervention Costs'!$E$43+'Intervention Costs'!$D$43+'Intervention Costs'!$G$43+'Intervention Costs'!$F$43)</f>
        <v>1239351.5852383957</v>
      </c>
      <c r="BO40" s="166">
        <f t="shared" si="1"/>
        <v>70.072936621416389</v>
      </c>
      <c r="BP40" s="166">
        <f t="shared" si="2"/>
        <v>63.350778241283606</v>
      </c>
      <c r="BQ40" s="216">
        <f t="shared" si="3"/>
        <v>87.501237683214242</v>
      </c>
    </row>
    <row r="41" spans="2:69">
      <c r="B41" s="210">
        <v>3</v>
      </c>
      <c r="C41" s="211" t="s">
        <v>242</v>
      </c>
      <c r="D41" s="352">
        <f>'Healthcare Expenditures'!$J37</f>
        <v>203958000</v>
      </c>
      <c r="E41" s="352">
        <f>'Healthcare Expenditures'!$K37</f>
        <v>173742000</v>
      </c>
      <c r="F41" s="352">
        <f>'Healthcare Expenditures'!$L37</f>
        <v>327340000</v>
      </c>
      <c r="G41" s="352">
        <f>'Healthcare Expenditures'!$M37</f>
        <v>73953000</v>
      </c>
      <c r="H41" s="352">
        <f>'Healthcare Expenditures'!$N37</f>
        <v>62997000.000000007</v>
      </c>
      <c r="I41" s="352">
        <f>'Healthcare Expenditures'!$O37</f>
        <v>118690000</v>
      </c>
      <c r="J41" s="352">
        <f>'Healthcare Expenditures'!$P37</f>
        <v>116883000</v>
      </c>
      <c r="K41" s="352">
        <f>'Healthcare Expenditures'!$Q37</f>
        <v>99567000.000000015</v>
      </c>
      <c r="L41" s="352">
        <f>'Healthcare Expenditures'!$R37</f>
        <v>187590000</v>
      </c>
      <c r="M41" s="352">
        <f>'Mortality Costs'!$G132</f>
        <v>64103066</v>
      </c>
      <c r="N41" s="352">
        <f>'Mortality Costs'!$H132</f>
        <v>34596732</v>
      </c>
      <c r="O41" s="352">
        <f>'Mortality Costs'!$I132</f>
        <v>105678517</v>
      </c>
      <c r="P41" s="352">
        <f>'Workplace Smoking Costs'!$K53</f>
        <v>76229997.863809526</v>
      </c>
      <c r="Q41" s="352">
        <f>'Workplace Smoking Costs'!$K172</f>
        <v>73884459.46800001</v>
      </c>
      <c r="R41" s="352">
        <f>'Workplace Smoking Costs'!$K291</f>
        <v>243349608.56523812</v>
      </c>
      <c r="S41" s="352">
        <f t="shared" si="4"/>
        <v>393464065.89704764</v>
      </c>
      <c r="T41" s="213">
        <f t="shared" si="5"/>
        <v>661525131.89704764</v>
      </c>
      <c r="U41" s="213">
        <f t="shared" si="6"/>
        <v>601802797.89704764</v>
      </c>
      <c r="V41" s="213">
        <f t="shared" si="7"/>
        <v>826482582.89704764</v>
      </c>
      <c r="W41" s="355">
        <f>'Intervention Impacts'!$C$65</f>
        <v>-6.5972442588726518E-2</v>
      </c>
      <c r="X41" s="212">
        <f>'Healthcare Expenditures'!$Z37</f>
        <v>166195711.84212643</v>
      </c>
      <c r="Y41" s="212">
        <f>'Healthcare Expenditures'!$AA37</f>
        <v>141574124.90255216</v>
      </c>
      <c r="Z41" s="212">
        <f>'Healthcare Expenditures'!$AB37</f>
        <v>266733858.5120548</v>
      </c>
      <c r="AA41" s="212">
        <f>'Healthcare Expenditures'!$AC37</f>
        <v>60260796.231875077</v>
      </c>
      <c r="AB41" s="212">
        <f>'Healthcare Expenditures'!$AD37</f>
        <v>51333270.864189886</v>
      </c>
      <c r="AC41" s="212">
        <f>'Healthcare Expenditures'!$AE37</f>
        <v>96714858.149922967</v>
      </c>
      <c r="AD41" s="212">
        <f>'Healthcare Expenditures'!$AF37</f>
        <v>95242419.45519796</v>
      </c>
      <c r="AE41" s="212">
        <f>'Healthcare Expenditures'!$AG37</f>
        <v>81132431.387761235</v>
      </c>
      <c r="AF41" s="212">
        <f>'Healthcare Expenditures'!$AH37</f>
        <v>152858204.06389797</v>
      </c>
      <c r="AG41" s="212">
        <f>'Mortality Costs'!$K132</f>
        <v>49960758</v>
      </c>
      <c r="AH41" s="212">
        <f>'Mortality Costs'!$L132</f>
        <v>26563028</v>
      </c>
      <c r="AI41" s="212">
        <f>'Mortality Costs'!$M132</f>
        <v>83280339</v>
      </c>
      <c r="AJ41" s="212">
        <f>'Workplace Smoking Costs'!$S53</f>
        <v>62116213.920020796</v>
      </c>
      <c r="AK41" s="212">
        <f>'Workplace Smoking Costs'!$S172</f>
        <v>60204945.799404778</v>
      </c>
      <c r="AL41" s="212">
        <f>'Workplace Smoking Costs'!$S291</f>
        <v>198294067.51391256</v>
      </c>
      <c r="AM41" s="212">
        <f>$AM$40+($AM$40*tblTotalCosts_All[[#This Row],[Relative Reduction in Smoking Prevalence]])</f>
        <v>320615227.23333812</v>
      </c>
      <c r="AN41" s="213">
        <f>tblTotalCosts_All[[#This Row],[Smoking-Attributable Healthcare Cost:
Intervention Scenario
Total]]+tblTotalCosts_All[[#This Row],[Cost of Premature Mortality Associated with Tobacco Use
Intervention Scenario]]+tblTotalCosts_All[[#This Row],[Workplace Costs
Intervention Scenario]]</f>
        <v>536771697.07546455</v>
      </c>
      <c r="AO41"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488752380.13589025</v>
      </c>
      <c r="AP41"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670629424.74539292</v>
      </c>
      <c r="AQ41" s="212">
        <f>tblTotalCosts_Base[Gross Domestic Product (GDP)]</f>
        <v>33921600000</v>
      </c>
      <c r="AR41" s="214">
        <f>tblTotalCosts_All[[#This Row],[Total Economic Cost
(Intervention Scenario)]]/tblTotalCosts_All[[#This Row],[Gross Domestic Product (GDP)]]</f>
        <v>1.5823890885909409E-2</v>
      </c>
      <c r="AS41" s="214">
        <f>tblTotalCosts_All[[#This Row],[Total Economic Cost
(Intervention Scenario) - Lower Bound]]/tblTotalCosts_All[[#This Row],[Gross Domestic Product (GDP)]]</f>
        <v>1.4408293834485704E-2</v>
      </c>
      <c r="AT41" s="214">
        <f>tblTotalCosts_All[[#This Row],[Total Economic Cost
(Intervention Scenario) - Upper Bound]]/tblTotalCosts_All[[#This Row],[Gross Domestic Product (GDP)]]</f>
        <v>1.9769982098291145E-2</v>
      </c>
      <c r="AU41" s="188">
        <f>'Healthcare Expenditures'!$AL37</f>
        <v>37762288.157873571</v>
      </c>
      <c r="AV41" s="188">
        <f>'Healthcare Expenditures'!$AM37</f>
        <v>32167875.097447842</v>
      </c>
      <c r="AW41" s="188">
        <f>'Healthcare Expenditures'!$AN37</f>
        <v>60606141.487945199</v>
      </c>
      <c r="AX41" s="188">
        <f>'Healthcare Expenditures'!$AO37</f>
        <v>13692203.768124923</v>
      </c>
      <c r="AY41" s="188">
        <f>'Healthcare Expenditures'!$AP37</f>
        <v>11663729.135810122</v>
      </c>
      <c r="AZ41" s="188">
        <f>'Healthcare Expenditures'!$AQ37</f>
        <v>21975141.850077033</v>
      </c>
      <c r="BA41" s="188">
        <f>'Healthcare Expenditures'!$AR37</f>
        <v>21640580.54480204</v>
      </c>
      <c r="BB41" s="188">
        <f>'Healthcare Expenditures'!$AS37</f>
        <v>18434568.61223878</v>
      </c>
      <c r="BC41" s="188">
        <f>'Healthcare Expenditures'!$AT37</f>
        <v>34731795.936102033</v>
      </c>
      <c r="BD41" s="166">
        <f>'Mortality Costs'!$N132</f>
        <v>14142308</v>
      </c>
      <c r="BE41" s="166">
        <f>'Mortality Costs'!$O132</f>
        <v>8033704</v>
      </c>
      <c r="BF41" s="166">
        <f>'Mortality Costs'!$P132</f>
        <v>22398178</v>
      </c>
      <c r="BG41" s="166">
        <f>'Workplace Smoking Costs'!$V53</f>
        <v>14113783.94378873</v>
      </c>
      <c r="BH41" s="166">
        <f>'Workplace Smoking Costs'!$V172</f>
        <v>13679513.668595232</v>
      </c>
      <c r="BI41" s="166">
        <f>'Workplace Smoking Costs'!$V291</f>
        <v>45055541.05132556</v>
      </c>
      <c r="BJ41" s="166">
        <f t="shared" si="8"/>
        <v>72848838.663709521</v>
      </c>
      <c r="BK41" s="166">
        <f t="shared" si="9"/>
        <v>124753434.82158309</v>
      </c>
      <c r="BL41" s="166">
        <f t="shared" si="10"/>
        <v>113050417.76115736</v>
      </c>
      <c r="BM41" s="166">
        <f t="shared" si="0"/>
        <v>155853158.15165472</v>
      </c>
      <c r="BN41" s="215">
        <f>SUM('Intervention Costs'!$E$44+'Intervention Costs'!$D$44+'Intervention Costs'!$G$44+'Intervention Costs'!$F$44)</f>
        <v>837959.39977647236</v>
      </c>
      <c r="BO41" s="166">
        <f t="shared" si="1"/>
        <v>148.87766024805182</v>
      </c>
      <c r="BP41" s="166">
        <f t="shared" si="2"/>
        <v>134.91156945230739</v>
      </c>
      <c r="BQ41" s="216">
        <f t="shared" si="3"/>
        <v>185.99130004774565</v>
      </c>
    </row>
    <row r="42" spans="2:69">
      <c r="B42" s="210">
        <v>4</v>
      </c>
      <c r="C42" s="211" t="s">
        <v>242</v>
      </c>
      <c r="D42" s="352">
        <f>'Healthcare Expenditures'!$J38</f>
        <v>203958000</v>
      </c>
      <c r="E42" s="352">
        <f>'Healthcare Expenditures'!$K38</f>
        <v>173742000</v>
      </c>
      <c r="F42" s="352">
        <f>'Healthcare Expenditures'!$L38</f>
        <v>327340000</v>
      </c>
      <c r="G42" s="352">
        <f>'Healthcare Expenditures'!$M38</f>
        <v>73953000</v>
      </c>
      <c r="H42" s="352">
        <f>'Healthcare Expenditures'!$N38</f>
        <v>62997000.000000007</v>
      </c>
      <c r="I42" s="352">
        <f>'Healthcare Expenditures'!$O38</f>
        <v>118690000</v>
      </c>
      <c r="J42" s="352">
        <f>'Healthcare Expenditures'!$P38</f>
        <v>116883000</v>
      </c>
      <c r="K42" s="352">
        <f>'Healthcare Expenditures'!$Q38</f>
        <v>99567000.000000015</v>
      </c>
      <c r="L42" s="352">
        <f>'Healthcare Expenditures'!$R38</f>
        <v>187590000</v>
      </c>
      <c r="M42" s="352">
        <f>'Mortality Costs'!$G133</f>
        <v>64423567</v>
      </c>
      <c r="N42" s="352">
        <f>'Mortality Costs'!$H133</f>
        <v>34769710</v>
      </c>
      <c r="O42" s="352">
        <f>'Mortality Costs'!$I133</f>
        <v>106206876</v>
      </c>
      <c r="P42" s="352">
        <f>'Workplace Smoking Costs'!$K54</f>
        <v>76229997.863809526</v>
      </c>
      <c r="Q42" s="352">
        <f>'Workplace Smoking Costs'!$K173</f>
        <v>73884459.46800001</v>
      </c>
      <c r="R42" s="352">
        <f>'Workplace Smoking Costs'!$K292</f>
        <v>243349608.56523812</v>
      </c>
      <c r="S42" s="352">
        <f t="shared" si="4"/>
        <v>393464065.89704764</v>
      </c>
      <c r="T42" s="213">
        <f t="shared" si="5"/>
        <v>661845632.89704764</v>
      </c>
      <c r="U42" s="213">
        <f t="shared" si="6"/>
        <v>601975775.89704764</v>
      </c>
      <c r="V42" s="213">
        <f t="shared" si="7"/>
        <v>827010941.89704764</v>
      </c>
      <c r="W42" s="355">
        <f>'Intervention Impacts'!$C$66</f>
        <v>-6.5972442588726518E-2</v>
      </c>
      <c r="X42" s="212">
        <f>'Healthcare Expenditures'!$Z38</f>
        <v>155231374.78412923</v>
      </c>
      <c r="Y42" s="212">
        <f>'Healthcare Expenditures'!$AA38</f>
        <v>132234134.07536934</v>
      </c>
      <c r="Z42" s="212">
        <f>'Healthcare Expenditures'!$AB38</f>
        <v>249136774.34489876</v>
      </c>
      <c r="AA42" s="212">
        <f>'Healthcare Expenditures'!$AC38</f>
        <v>56285244.31211675</v>
      </c>
      <c r="AB42" s="212">
        <f>'Healthcare Expenditures'!$AD38</f>
        <v>47946689.599210568</v>
      </c>
      <c r="AC42" s="212">
        <f>'Healthcare Expenditures'!$AE38</f>
        <v>90334342.723150343</v>
      </c>
      <c r="AD42" s="212">
        <f>'Healthcare Expenditures'!$AF38</f>
        <v>88959044.405678496</v>
      </c>
      <c r="AE42" s="212">
        <f>'Healthcare Expenditures'!$AG38</f>
        <v>75779926.715948358</v>
      </c>
      <c r="AF42" s="212">
        <f>'Healthcare Expenditures'!$AH38</f>
        <v>142773774.97207662</v>
      </c>
      <c r="AG42" s="212">
        <f>'Mortality Costs'!$K133</f>
        <v>46871256</v>
      </c>
      <c r="AH42" s="212">
        <f>'Mortality Costs'!$L133</f>
        <v>24900629</v>
      </c>
      <c r="AI42" s="212">
        <f>'Mortality Costs'!$M133</f>
        <v>78115734</v>
      </c>
      <c r="AJ42" s="212">
        <f>'Workplace Smoking Costs'!$S54</f>
        <v>58018255.563353166</v>
      </c>
      <c r="AK42" s="212">
        <f>'Workplace Smoking Costs'!$S173</f>
        <v>56233078.469096147</v>
      </c>
      <c r="AL42" s="212">
        <f>'Workplace Smoking Costs'!$S292</f>
        <v>185212123.52916589</v>
      </c>
      <c r="AM42" s="212">
        <f>$AM$41+($AM$41*tblTotalCosts_All[[#This Row],[Relative Reduction in Smoking Prevalence]])</f>
        <v>299463457.56161523</v>
      </c>
      <c r="AN42" s="213">
        <f>tblTotalCosts_All[[#This Row],[Smoking-Attributable Healthcare Cost:
Intervention Scenario
Total]]+tblTotalCosts_All[[#This Row],[Cost of Premature Mortality Associated with Tobacco Use
Intervention Scenario]]+tblTotalCosts_All[[#This Row],[Workplace Costs
Intervention Scenario]]</f>
        <v>501566088.34574449</v>
      </c>
      <c r="AO42"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456598220.63698459</v>
      </c>
      <c r="AP42"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626715965.90651393</v>
      </c>
      <c r="AQ42" s="212">
        <f>tblTotalCosts_Base[Gross Domestic Product (GDP)]</f>
        <v>33921600000</v>
      </c>
      <c r="AR42" s="214">
        <f>tblTotalCosts_All[[#This Row],[Total Economic Cost
(Intervention Scenario)]]/tblTotalCosts_All[[#This Row],[Gross Domestic Product (GDP)]]</f>
        <v>1.4786038640445748E-2</v>
      </c>
      <c r="AS42" s="214">
        <f>tblTotalCosts_All[[#This Row],[Total Economic Cost
(Intervention Scenario) - Lower Bound]]/tblTotalCosts_All[[#This Row],[Gross Domestic Product (GDP)]]</f>
        <v>1.3460397523612819E-2</v>
      </c>
      <c r="AT42" s="214">
        <f>tblTotalCosts_All[[#This Row],[Total Economic Cost
(Intervention Scenario) - Upper Bound]]/tblTotalCosts_All[[#This Row],[Gross Domestic Product (GDP)]]</f>
        <v>1.8475424682400415E-2</v>
      </c>
      <c r="AU42" s="188">
        <f>'Healthcare Expenditures'!$AL38</f>
        <v>48726625.215870768</v>
      </c>
      <c r="AV42" s="188">
        <f>'Healthcare Expenditures'!$AM38</f>
        <v>41507865.924630657</v>
      </c>
      <c r="AW42" s="188">
        <f>'Healthcare Expenditures'!$AN38</f>
        <v>78203225.65510124</v>
      </c>
      <c r="AX42" s="188">
        <f>'Healthcare Expenditures'!$AO38</f>
        <v>17667755.68788325</v>
      </c>
      <c r="AY42" s="188">
        <f>'Healthcare Expenditures'!$AP38</f>
        <v>15050310.40078944</v>
      </c>
      <c r="AZ42" s="188">
        <f>'Healthcare Expenditures'!$AQ38</f>
        <v>28355657.276849657</v>
      </c>
      <c r="BA42" s="188">
        <f>'Healthcare Expenditures'!$AR38</f>
        <v>27923955.594321504</v>
      </c>
      <c r="BB42" s="188">
        <f>'Healthcare Expenditures'!$AS38</f>
        <v>23787073.284051657</v>
      </c>
      <c r="BC42" s="188">
        <f>'Healthcare Expenditures'!$AT38</f>
        <v>44816225.027923375</v>
      </c>
      <c r="BD42" s="166">
        <f>'Mortality Costs'!$N133</f>
        <v>17552312</v>
      </c>
      <c r="BE42" s="166">
        <f>'Mortality Costs'!$O133</f>
        <v>9869081</v>
      </c>
      <c r="BF42" s="166">
        <f>'Mortality Costs'!$P133</f>
        <v>28091142</v>
      </c>
      <c r="BG42" s="166">
        <f>'Workplace Smoking Costs'!$V54</f>
        <v>18211742.30045636</v>
      </c>
      <c r="BH42" s="166">
        <f>'Workplace Smoking Costs'!$V173</f>
        <v>17651380.998903863</v>
      </c>
      <c r="BI42" s="166">
        <f>'Workplace Smoking Costs'!$V292</f>
        <v>58137485.036072224</v>
      </c>
      <c r="BJ42" s="166">
        <f t="shared" si="8"/>
        <v>94000608.33543244</v>
      </c>
      <c r="BK42" s="166">
        <f t="shared" si="9"/>
        <v>160279545.55130321</v>
      </c>
      <c r="BL42" s="166">
        <f t="shared" si="10"/>
        <v>145377555.26006311</v>
      </c>
      <c r="BM42" s="166">
        <f t="shared" si="0"/>
        <v>200294975.99053368</v>
      </c>
      <c r="BN42" s="215">
        <f>SUM('Intervention Costs'!$E$45+'Intervention Costs'!$D$45+'Intervention Costs'!$G$45+'Intervention Costs'!$F$45)</f>
        <v>855330.42127871746</v>
      </c>
      <c r="BO42" s="166">
        <f t="shared" si="1"/>
        <v>187.38903886019344</v>
      </c>
      <c r="BP42" s="166">
        <f t="shared" si="2"/>
        <v>169.96654350575292</v>
      </c>
      <c r="BQ42" s="216">
        <f t="shared" si="3"/>
        <v>234.17263201172366</v>
      </c>
    </row>
    <row r="43" spans="2:69">
      <c r="B43" s="210">
        <v>5</v>
      </c>
      <c r="C43" s="211" t="s">
        <v>242</v>
      </c>
      <c r="D43" s="352">
        <f>'Healthcare Expenditures'!$J39</f>
        <v>203958000</v>
      </c>
      <c r="E43" s="352">
        <f>'Healthcare Expenditures'!$K39</f>
        <v>173742000</v>
      </c>
      <c r="F43" s="352">
        <f>'Healthcare Expenditures'!$L39</f>
        <v>327340000</v>
      </c>
      <c r="G43" s="352">
        <f>'Healthcare Expenditures'!$M39</f>
        <v>73953000</v>
      </c>
      <c r="H43" s="352">
        <f>'Healthcare Expenditures'!$N39</f>
        <v>62997000.000000007</v>
      </c>
      <c r="I43" s="352">
        <f>'Healthcare Expenditures'!$O39</f>
        <v>118690000</v>
      </c>
      <c r="J43" s="352">
        <f>'Healthcare Expenditures'!$P39</f>
        <v>116883000</v>
      </c>
      <c r="K43" s="352">
        <f>'Healthcare Expenditures'!$Q39</f>
        <v>99567000.000000015</v>
      </c>
      <c r="L43" s="352">
        <f>'Healthcare Expenditures'!$R39</f>
        <v>187590000</v>
      </c>
      <c r="M43" s="352">
        <f>'Mortality Costs'!$G134</f>
        <v>64745714</v>
      </c>
      <c r="N43" s="352">
        <f>'Mortality Costs'!$H134</f>
        <v>34943589</v>
      </c>
      <c r="O43" s="352">
        <f>'Mortality Costs'!$I134</f>
        <v>106737953</v>
      </c>
      <c r="P43" s="352">
        <f>'Workplace Smoking Costs'!$K55</f>
        <v>76229997.863809526</v>
      </c>
      <c r="Q43" s="352">
        <f>'Workplace Smoking Costs'!$K174</f>
        <v>73884459.46800001</v>
      </c>
      <c r="R43" s="352">
        <f>'Workplace Smoking Costs'!$K293</f>
        <v>243349608.56523812</v>
      </c>
      <c r="S43" s="352">
        <f t="shared" si="4"/>
        <v>393464065.89704764</v>
      </c>
      <c r="T43" s="213">
        <f t="shared" si="5"/>
        <v>662167779.89704764</v>
      </c>
      <c r="U43" s="213">
        <f t="shared" si="6"/>
        <v>602149654.89704764</v>
      </c>
      <c r="V43" s="213">
        <f t="shared" si="7"/>
        <v>827542018.89704764</v>
      </c>
      <c r="W43" s="355">
        <f>'Intervention Impacts'!$C$67</f>
        <v>-6.5972442588726518E-2</v>
      </c>
      <c r="X43" s="212">
        <f>'Healthcare Expenditures'!$Z39</f>
        <v>144990381.82321417</v>
      </c>
      <c r="Y43" s="212">
        <f>'Healthcare Expenditures'!$AA39</f>
        <v>123510325.25681208</v>
      </c>
      <c r="Z43" s="212">
        <f>'Healthcare Expenditures'!$AB39</f>
        <v>232700612.8026894</v>
      </c>
      <c r="AA43" s="212">
        <f>'Healthcare Expenditures'!$AC39</f>
        <v>52571969.263143189</v>
      </c>
      <c r="AB43" s="212">
        <f>'Healthcare Expenditures'!$AD39</f>
        <v>44783529.372307159</v>
      </c>
      <c r="AC43" s="212">
        <f>'Healthcare Expenditures'!$AE39</f>
        <v>84374765.484056965</v>
      </c>
      <c r="AD43" s="212">
        <f>'Healthcare Expenditures'!$AF39</f>
        <v>83090198.955876902</v>
      </c>
      <c r="AE43" s="212">
        <f>'Healthcare Expenditures'!$AG39</f>
        <v>70780539.851302549</v>
      </c>
      <c r="AF43" s="212">
        <f>'Healthcare Expenditures'!$AH39</f>
        <v>133354640.29955553</v>
      </c>
      <c r="AG43" s="212">
        <f>'Mortality Costs'!$K134</f>
        <v>43917858</v>
      </c>
      <c r="AH43" s="212">
        <f>'Mortality Costs'!$L134</f>
        <v>23351792</v>
      </c>
      <c r="AI43" s="212">
        <f>'Mortality Costs'!$M134</f>
        <v>73018885</v>
      </c>
      <c r="AJ43" s="212">
        <f>'Workplace Smoking Costs'!$S55</f>
        <v>54190649.529101804</v>
      </c>
      <c r="AK43" s="212">
        <f>'Workplace Smoking Costs'!$S174</f>
        <v>52523244.928206354</v>
      </c>
      <c r="AL43" s="212">
        <f>'Workplace Smoking Costs'!$S293</f>
        <v>172993227.34290189</v>
      </c>
      <c r="AM43" s="212">
        <f>$AM$42+($AM$42*tblTotalCosts_All[[#This Row],[Relative Reduction in Smoking Prevalence]])</f>
        <v>279707121.80021</v>
      </c>
      <c r="AN43" s="213">
        <f>tblTotalCosts_All[[#This Row],[Smoking-Attributable Healthcare Cost:
Intervention Scenario
Total]]+tblTotalCosts_All[[#This Row],[Cost of Premature Mortality Associated with Tobacco Use
Intervention Scenario]]+tblTotalCosts_All[[#This Row],[Workplace Costs
Intervention Scenario]]</f>
        <v>468615361.62342417</v>
      </c>
      <c r="AO43"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426569239.05702209</v>
      </c>
      <c r="AP43"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585426619.60289943</v>
      </c>
      <c r="AQ43" s="212">
        <f>tblTotalCosts_Base[Gross Domestic Product (GDP)]</f>
        <v>33921600000</v>
      </c>
      <c r="AR43" s="214">
        <f>tblTotalCosts_All[[#This Row],[Total Economic Cost
(Intervention Scenario)]]/tblTotalCosts_All[[#This Row],[Gross Domestic Product (GDP)]]</f>
        <v>1.3814659733722E-2</v>
      </c>
      <c r="AS43" s="214">
        <f>tblTotalCosts_All[[#This Row],[Total Economic Cost
(Intervention Scenario) - Lower Bound]]/tblTotalCosts_All[[#This Row],[Gross Domestic Product (GDP)]]</f>
        <v>1.2575150908477845E-2</v>
      </c>
      <c r="AT43" s="214">
        <f>tblTotalCosts_All[[#This Row],[Total Economic Cost
(Intervention Scenario) - Upper Bound]]/tblTotalCosts_All[[#This Row],[Gross Domestic Product (GDP)]]</f>
        <v>1.7258225425772943E-2</v>
      </c>
      <c r="AU43" s="188">
        <f>'Healthcare Expenditures'!$AL39</f>
        <v>58967618.176785827</v>
      </c>
      <c r="AV43" s="188">
        <f>'Healthcare Expenditures'!$AM39</f>
        <v>50231674.743187919</v>
      </c>
      <c r="AW43" s="188">
        <f>'Healthcare Expenditures'!$AN39</f>
        <v>94639387.197310597</v>
      </c>
      <c r="AX43" s="188">
        <f>'Healthcare Expenditures'!$AO39</f>
        <v>21381030.736856811</v>
      </c>
      <c r="AY43" s="188">
        <f>'Healthcare Expenditures'!$AP39</f>
        <v>18213470.627692848</v>
      </c>
      <c r="AZ43" s="188">
        <f>'Healthcare Expenditures'!$AQ39</f>
        <v>34315234.515943035</v>
      </c>
      <c r="BA43" s="188">
        <f>'Healthcare Expenditures'!$AR39</f>
        <v>33792801.044123098</v>
      </c>
      <c r="BB43" s="188">
        <f>'Healthcare Expenditures'!$AS39</f>
        <v>28786460.148697466</v>
      </c>
      <c r="BC43" s="188">
        <f>'Healthcare Expenditures'!$AT39</f>
        <v>54235359.700444475</v>
      </c>
      <c r="BD43" s="166">
        <f>'Mortality Costs'!$N134</f>
        <v>20827856</v>
      </c>
      <c r="BE43" s="166">
        <f>'Mortality Costs'!$O134</f>
        <v>11591797</v>
      </c>
      <c r="BF43" s="166">
        <f>'Mortality Costs'!$P134</f>
        <v>33719068</v>
      </c>
      <c r="BG43" s="166">
        <f>'Workplace Smoking Costs'!$V55</f>
        <v>22039348.334707722</v>
      </c>
      <c r="BH43" s="166">
        <f>'Workplace Smoking Costs'!$V174</f>
        <v>21361214.539793655</v>
      </c>
      <c r="BI43" s="166">
        <f>'Workplace Smoking Costs'!$V293</f>
        <v>70356381.222336233</v>
      </c>
      <c r="BJ43" s="166">
        <f t="shared" si="8"/>
        <v>113756944.09683761</v>
      </c>
      <c r="BK43" s="166">
        <f t="shared" si="9"/>
        <v>193552418.27362344</v>
      </c>
      <c r="BL43" s="166">
        <f t="shared" si="10"/>
        <v>175580415.84002554</v>
      </c>
      <c r="BM43" s="166">
        <f t="shared" si="0"/>
        <v>242115399.29414821</v>
      </c>
      <c r="BN43" s="215">
        <f>SUM('Intervention Costs'!$E$46+'Intervention Costs'!$D$46+'Intervention Costs'!$G$46+'Intervention Costs'!$F$46)</f>
        <v>837959.39977647236</v>
      </c>
      <c r="BO43" s="166">
        <f t="shared" si="1"/>
        <v>230.98066365178789</v>
      </c>
      <c r="BP43" s="166">
        <f t="shared" si="2"/>
        <v>209.53332093041982</v>
      </c>
      <c r="BQ43" s="216">
        <f t="shared" si="3"/>
        <v>288.93452279279052</v>
      </c>
    </row>
    <row r="44" spans="2:69">
      <c r="B44" s="210">
        <v>6</v>
      </c>
      <c r="C44" s="211" t="s">
        <v>242</v>
      </c>
      <c r="D44" s="352">
        <f>'Healthcare Expenditures'!$J40</f>
        <v>203958000</v>
      </c>
      <c r="E44" s="352">
        <f>'Healthcare Expenditures'!$K40</f>
        <v>173742000</v>
      </c>
      <c r="F44" s="352">
        <f>'Healthcare Expenditures'!$L40</f>
        <v>327340000</v>
      </c>
      <c r="G44" s="352">
        <f>'Healthcare Expenditures'!$M40</f>
        <v>73953000</v>
      </c>
      <c r="H44" s="352">
        <f>'Healthcare Expenditures'!$N40</f>
        <v>62997000.000000007</v>
      </c>
      <c r="I44" s="352">
        <f>'Healthcare Expenditures'!$O40</f>
        <v>118690000</v>
      </c>
      <c r="J44" s="352">
        <f>'Healthcare Expenditures'!$P40</f>
        <v>116883000</v>
      </c>
      <c r="K44" s="352">
        <f>'Healthcare Expenditures'!$Q40</f>
        <v>99567000.000000015</v>
      </c>
      <c r="L44" s="352">
        <f>'Healthcare Expenditures'!$R40</f>
        <v>187590000</v>
      </c>
      <c r="M44" s="352">
        <f>'Mortality Costs'!$G135</f>
        <v>65069283</v>
      </c>
      <c r="N44" s="352">
        <f>'Mortality Costs'!$H135</f>
        <v>35118184</v>
      </c>
      <c r="O44" s="352">
        <f>'Mortality Costs'!$I135</f>
        <v>107271458</v>
      </c>
      <c r="P44" s="352">
        <f>'Workplace Smoking Costs'!$K56</f>
        <v>76229997.863809526</v>
      </c>
      <c r="Q44" s="352">
        <f>'Workplace Smoking Costs'!$K175</f>
        <v>73884459.46800001</v>
      </c>
      <c r="R44" s="352">
        <f>'Workplace Smoking Costs'!$K294</f>
        <v>243349608.56523812</v>
      </c>
      <c r="S44" s="352">
        <f t="shared" si="4"/>
        <v>393464065.89704764</v>
      </c>
      <c r="T44" s="213">
        <f t="shared" si="5"/>
        <v>662491348.89704764</v>
      </c>
      <c r="U44" s="213">
        <f t="shared" si="6"/>
        <v>602324249.89704764</v>
      </c>
      <c r="V44" s="213">
        <f t="shared" si="7"/>
        <v>828075523.89704764</v>
      </c>
      <c r="W44" s="355">
        <f>'Intervention Impacts'!$C$68</f>
        <v>-1.2411482254697299E-2</v>
      </c>
      <c r="X44" s="212">
        <f>'Healthcare Expenditures'!$Z40</f>
        <v>143190836.27211356</v>
      </c>
      <c r="Y44" s="212">
        <f>'Healthcare Expenditures'!$AA40</f>
        <v>121977379.04661526</v>
      </c>
      <c r="Z44" s="212">
        <f>'Healthcare Expenditures'!$AB40</f>
        <v>229812453.27623165</v>
      </c>
      <c r="AA44" s="212">
        <f>'Healthcare Expenditures'!$AC40</f>
        <v>51919473.199539192</v>
      </c>
      <c r="AB44" s="212">
        <f>'Healthcare Expenditures'!$AD40</f>
        <v>44227699.392200053</v>
      </c>
      <c r="AC44" s="212">
        <f>'Healthcare Expenditures'!$AE40</f>
        <v>83327549.579507351</v>
      </c>
      <c r="AD44" s="212">
        <f>'Healthcare Expenditures'!$AF40</f>
        <v>82058926.425996765</v>
      </c>
      <c r="AE44" s="212">
        <f>'Healthcare Expenditures'!$AG40</f>
        <v>69902048.436960205</v>
      </c>
      <c r="AF44" s="212">
        <f>'Healthcare Expenditures'!$AH40</f>
        <v>131699511.54789606</v>
      </c>
      <c r="AG44" s="212">
        <f>'Mortality Costs'!$K135</f>
        <v>43648797</v>
      </c>
      <c r="AH44" s="212">
        <f>'Mortality Costs'!$L135</f>
        <v>23196031</v>
      </c>
      <c r="AI44" s="212">
        <f>'Mortality Costs'!$M135</f>
        <v>72669831</v>
      </c>
      <c r="AJ44" s="212">
        <f>'Workplace Smoking Costs'!$S56</f>
        <v>53518063.244100824</v>
      </c>
      <c r="AK44" s="212">
        <f>'Workplace Smoking Costs'!$S175</f>
        <v>51871353.605820797</v>
      </c>
      <c r="AL44" s="212">
        <f>'Workplace Smoking Costs'!$S294</f>
        <v>170846124.97155264</v>
      </c>
      <c r="AM44" s="212">
        <f>$AM$43+($AM$43*tblTotalCosts_All[[#This Row],[Relative Reduction in Smoking Prevalence]])</f>
        <v>276235541.82147425</v>
      </c>
      <c r="AN44" s="213">
        <f>tblTotalCosts_All[[#This Row],[Smoking-Attributable Healthcare Cost:
Intervention Scenario
Total]]+tblTotalCosts_All[[#This Row],[Cost of Premature Mortality Associated with Tobacco Use
Intervention Scenario]]+tblTotalCosts_All[[#This Row],[Workplace Costs
Intervention Scenario]]</f>
        <v>463075175.09358782</v>
      </c>
      <c r="AO44"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421408951.8680895</v>
      </c>
      <c r="AP44"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578717826.09770584</v>
      </c>
      <c r="AQ44" s="212">
        <f>tblTotalCosts_Base[Gross Domestic Product (GDP)]</f>
        <v>33921600000</v>
      </c>
      <c r="AR44" s="214">
        <f>tblTotalCosts_All[[#This Row],[Total Economic Cost
(Intervention Scenario)]]/tblTotalCosts_All[[#This Row],[Gross Domestic Product (GDP)]]</f>
        <v>1.3651336466840828E-2</v>
      </c>
      <c r="AS44" s="214">
        <f>tblTotalCosts_All[[#This Row],[Total Economic Cost
(Intervention Scenario) - Lower Bound]]/tblTotalCosts_All[[#This Row],[Gross Domestic Product (GDP)]]</f>
        <v>1.2423026975970752E-2</v>
      </c>
      <c r="AT44" s="214">
        <f>tblTotalCosts_All[[#This Row],[Total Economic Cost
(Intervention Scenario) - Upper Bound]]/tblTotalCosts_All[[#This Row],[Gross Domestic Product (GDP)]]</f>
        <v>1.7060451927317869E-2</v>
      </c>
      <c r="AU44" s="188">
        <f>'Healthcare Expenditures'!$AL40</f>
        <v>60767163.727886438</v>
      </c>
      <c r="AV44" s="188">
        <f>'Healthcare Expenditures'!$AM40</f>
        <v>51764620.953384742</v>
      </c>
      <c r="AW44" s="188">
        <f>'Healthcare Expenditures'!$AN40</f>
        <v>97527546.723768353</v>
      </c>
      <c r="AX44" s="188">
        <f>'Healthcare Expenditures'!$AO40</f>
        <v>22033526.800460808</v>
      </c>
      <c r="AY44" s="188">
        <f>'Healthcare Expenditures'!$AP40</f>
        <v>18769300.607799955</v>
      </c>
      <c r="AZ44" s="188">
        <f>'Healthcare Expenditures'!$AQ40</f>
        <v>35362450.420492649</v>
      </c>
      <c r="BA44" s="188">
        <f>'Healthcare Expenditures'!$AR40</f>
        <v>34824073.574003235</v>
      </c>
      <c r="BB44" s="188">
        <f>'Healthcare Expenditures'!$AS40</f>
        <v>29664951.563039809</v>
      </c>
      <c r="BC44" s="188">
        <f>'Healthcare Expenditures'!$AT40</f>
        <v>55890488.452103943</v>
      </c>
      <c r="BD44" s="166">
        <f>'Mortality Costs'!$N135</f>
        <v>21420486</v>
      </c>
      <c r="BE44" s="166">
        <f>'Mortality Costs'!$O135</f>
        <v>11922153</v>
      </c>
      <c r="BF44" s="166">
        <f>'Mortality Costs'!$P135</f>
        <v>34601628</v>
      </c>
      <c r="BG44" s="166">
        <f>'Workplace Smoking Costs'!$V56</f>
        <v>22711934.619708702</v>
      </c>
      <c r="BH44" s="166">
        <f>'Workplace Smoking Costs'!$V175</f>
        <v>22013105.862179212</v>
      </c>
      <c r="BI44" s="166">
        <f>'Workplace Smoking Costs'!$V294</f>
        <v>72503483.593685478</v>
      </c>
      <c r="BJ44" s="166">
        <f t="shared" si="8"/>
        <v>117228524.07557338</v>
      </c>
      <c r="BK44" s="166">
        <f t="shared" si="9"/>
        <v>199416173.80345982</v>
      </c>
      <c r="BL44" s="166">
        <f t="shared" si="10"/>
        <v>180915298.02895814</v>
      </c>
      <c r="BM44" s="166">
        <f t="shared" si="0"/>
        <v>249357698.79934174</v>
      </c>
      <c r="BN44" s="215">
        <f>SUM('Intervention Costs'!$E$47+'Intervention Costs'!$D$47+'Intervention Costs'!$G$47+'Intervention Costs'!$F$47)</f>
        <v>661371.43756002001</v>
      </c>
      <c r="BO44" s="166">
        <f t="shared" si="1"/>
        <v>301.51918041571406</v>
      </c>
      <c r="BP44" s="166">
        <f t="shared" si="2"/>
        <v>273.54567759443034</v>
      </c>
      <c r="BQ44" s="216">
        <f t="shared" si="3"/>
        <v>377.03124846045733</v>
      </c>
    </row>
    <row r="45" spans="2:69">
      <c r="B45" s="210">
        <v>7</v>
      </c>
      <c r="C45" s="211" t="s">
        <v>242</v>
      </c>
      <c r="D45" s="352">
        <f>'Healthcare Expenditures'!$J41</f>
        <v>203958000</v>
      </c>
      <c r="E45" s="352">
        <f>'Healthcare Expenditures'!$K41</f>
        <v>173742000</v>
      </c>
      <c r="F45" s="352">
        <f>'Healthcare Expenditures'!$L41</f>
        <v>327340000</v>
      </c>
      <c r="G45" s="352">
        <f>'Healthcare Expenditures'!$M41</f>
        <v>73953000</v>
      </c>
      <c r="H45" s="352">
        <f>'Healthcare Expenditures'!$N41</f>
        <v>62997000.000000007</v>
      </c>
      <c r="I45" s="352">
        <f>'Healthcare Expenditures'!$O41</f>
        <v>118690000</v>
      </c>
      <c r="J45" s="352">
        <f>'Healthcare Expenditures'!$P41</f>
        <v>116883000</v>
      </c>
      <c r="K45" s="352">
        <f>'Healthcare Expenditures'!$Q41</f>
        <v>99567000.000000015</v>
      </c>
      <c r="L45" s="352">
        <f>'Healthcare Expenditures'!$R41</f>
        <v>187590000</v>
      </c>
      <c r="M45" s="352">
        <f>'Mortality Costs'!$G136</f>
        <v>65394678</v>
      </c>
      <c r="N45" s="352">
        <f>'Mortality Costs'!$H136</f>
        <v>35293800</v>
      </c>
      <c r="O45" s="352">
        <f>'Mortality Costs'!$I136</f>
        <v>107807880</v>
      </c>
      <c r="P45" s="352">
        <f>'Workplace Smoking Costs'!$K57</f>
        <v>76229997.863809526</v>
      </c>
      <c r="Q45" s="352">
        <f>'Workplace Smoking Costs'!$K176</f>
        <v>73884459.46800001</v>
      </c>
      <c r="R45" s="352">
        <f>'Workplace Smoking Costs'!$K295</f>
        <v>243349608.56523812</v>
      </c>
      <c r="S45" s="352">
        <f t="shared" si="4"/>
        <v>393464065.89704764</v>
      </c>
      <c r="T45" s="213">
        <f t="shared" si="5"/>
        <v>662816743.89704764</v>
      </c>
      <c r="U45" s="213">
        <f t="shared" si="6"/>
        <v>602499865.89704764</v>
      </c>
      <c r="V45" s="213">
        <f t="shared" si="7"/>
        <v>828611945.89704764</v>
      </c>
      <c r="W45" s="355">
        <f>'Intervention Impacts'!$C$69</f>
        <v>-1.2411482254697299E-2</v>
      </c>
      <c r="X45" s="212">
        <f>'Healthcare Expenditures'!$Z41</f>
        <v>141413625.74868694</v>
      </c>
      <c r="Y45" s="212">
        <f>'Healthcare Expenditures'!$AA41</f>
        <v>120463458.9711037</v>
      </c>
      <c r="Z45" s="212">
        <f>'Healthcare Expenditures'!$AB41</f>
        <v>226960140.09048522</v>
      </c>
      <c r="AA45" s="212">
        <f>'Healthcare Expenditures'!$AC41</f>
        <v>51275075.579249874</v>
      </c>
      <c r="AB45" s="212">
        <f>'Healthcare Expenditures'!$AD41</f>
        <v>43678768.086027674</v>
      </c>
      <c r="AC45" s="212">
        <f>'Healthcare Expenditures'!$AE41</f>
        <v>82293331.176573873</v>
      </c>
      <c r="AD45" s="212">
        <f>'Healthcare Expenditures'!$AF41</f>
        <v>81040453.516820997</v>
      </c>
      <c r="AE45" s="212">
        <f>'Healthcare Expenditures'!$AG41</f>
        <v>69034460.403217882</v>
      </c>
      <c r="AF45" s="212">
        <f>'Healthcare Expenditures'!$AH41</f>
        <v>130064925.39736703</v>
      </c>
      <c r="AG45" s="212">
        <f>'Mortality Costs'!$K136</f>
        <v>43347765</v>
      </c>
      <c r="AH45" s="212">
        <f>'Mortality Costs'!$L136</f>
        <v>22990998</v>
      </c>
      <c r="AI45" s="212">
        <f>'Mortality Costs'!$M136</f>
        <v>72117361</v>
      </c>
      <c r="AJ45" s="212">
        <f>'Workplace Smoking Costs'!$S57</f>
        <v>52853824.751840889</v>
      </c>
      <c r="AK45" s="212">
        <f>'Workplace Smoking Costs'!$S176</f>
        <v>51227553.221015021</v>
      </c>
      <c r="AL45" s="212">
        <f>'Workplace Smoking Costs'!$S295</f>
        <v>168725671.3231844</v>
      </c>
      <c r="AM45" s="212">
        <f>$AM$44+($AM$44*tblTotalCosts_All[[#This Row],[Relative Reduction in Smoking Prevalence]])</f>
        <v>272807049.29604036</v>
      </c>
      <c r="AN45" s="213">
        <f>tblTotalCosts_All[[#This Row],[Smoking-Attributable Healthcare Cost:
Intervention Scenario
Total]]+tblTotalCosts_All[[#This Row],[Cost of Premature Mortality Associated with Tobacco Use
Intervention Scenario]]+tblTotalCosts_All[[#This Row],[Workplace Costs
Intervention Scenario]]</f>
        <v>457568440.04472733</v>
      </c>
      <c r="AO45"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416261506.26714408</v>
      </c>
      <c r="AP45"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571884550.38652563</v>
      </c>
      <c r="AQ45" s="212">
        <f>tblTotalCosts_Base[Gross Domestic Product (GDP)]</f>
        <v>33921600000</v>
      </c>
      <c r="AR45" s="214">
        <f>tblTotalCosts_All[[#This Row],[Total Economic Cost
(Intervention Scenario)]]/tblTotalCosts_All[[#This Row],[Gross Domestic Product (GDP)]]</f>
        <v>1.348899934097234E-2</v>
      </c>
      <c r="AS45" s="214">
        <f>tblTotalCosts_All[[#This Row],[Total Economic Cost
(Intervention Scenario) - Lower Bound]]/tblTotalCosts_All[[#This Row],[Gross Domestic Product (GDP)]]</f>
        <v>1.2271281610158251E-2</v>
      </c>
      <c r="AT45" s="214">
        <f>tblTotalCosts_All[[#This Row],[Total Economic Cost
(Intervention Scenario) - Upper Bound]]/tblTotalCosts_All[[#This Row],[Gross Domestic Product (GDP)]]</f>
        <v>1.6859008725606268E-2</v>
      </c>
      <c r="AU45" s="188">
        <f>'Healthcare Expenditures'!$AL41</f>
        <v>62544374.251313061</v>
      </c>
      <c r="AV45" s="188">
        <f>'Healthcare Expenditures'!$AM41</f>
        <v>53278541.028896302</v>
      </c>
      <c r="AW45" s="188">
        <f>'Healthcare Expenditures'!$AN41</f>
        <v>100379859.90951478</v>
      </c>
      <c r="AX45" s="188">
        <f>'Healthcare Expenditures'!$AO41</f>
        <v>22677924.420750126</v>
      </c>
      <c r="AY45" s="188">
        <f>'Healthcare Expenditures'!$AP41</f>
        <v>19318231.913972333</v>
      </c>
      <c r="AZ45" s="188">
        <f>'Healthcare Expenditures'!$AQ41</f>
        <v>36396668.823426127</v>
      </c>
      <c r="BA45" s="188">
        <f>'Healthcare Expenditures'!$AR41</f>
        <v>35842546.483179003</v>
      </c>
      <c r="BB45" s="188">
        <f>'Healthcare Expenditures'!$AS41</f>
        <v>30532539.596782133</v>
      </c>
      <c r="BC45" s="188">
        <f>'Healthcare Expenditures'!$AT41</f>
        <v>57525074.60263297</v>
      </c>
      <c r="BD45" s="166">
        <f>'Mortality Costs'!$N136</f>
        <v>22046912</v>
      </c>
      <c r="BE45" s="166">
        <f>'Mortality Costs'!$O136</f>
        <v>12302802</v>
      </c>
      <c r="BF45" s="166">
        <f>'Mortality Costs'!$P136</f>
        <v>35690520</v>
      </c>
      <c r="BG45" s="166">
        <f>'Workplace Smoking Costs'!$V57</f>
        <v>23376173.111968637</v>
      </c>
      <c r="BH45" s="166">
        <f>'Workplace Smoking Costs'!$V176</f>
        <v>22656906.246984988</v>
      </c>
      <c r="BI45" s="166">
        <f>'Workplace Smoking Costs'!$V295</f>
        <v>74623937.242053717</v>
      </c>
      <c r="BJ45" s="166">
        <f t="shared" si="8"/>
        <v>120657016.60100734</v>
      </c>
      <c r="BK45" s="166">
        <f t="shared" si="9"/>
        <v>205248302.8523204</v>
      </c>
      <c r="BL45" s="166">
        <f t="shared" si="10"/>
        <v>186238359.62990364</v>
      </c>
      <c r="BM45" s="166">
        <f t="shared" si="0"/>
        <v>256727396.51052213</v>
      </c>
      <c r="BN45" s="215">
        <f>SUM('Intervention Costs'!$E$48+'Intervention Costs'!$D$48+'Intervention Costs'!$G$48+'Intervention Costs'!$F$48)</f>
        <v>504727.41104759427</v>
      </c>
      <c r="BO45" s="166">
        <f t="shared" si="1"/>
        <v>406.65178541881511</v>
      </c>
      <c r="BP45" s="166">
        <f t="shared" si="2"/>
        <v>368.98800333303461</v>
      </c>
      <c r="BQ45" s="216">
        <f t="shared" si="3"/>
        <v>508.64563899485444</v>
      </c>
    </row>
    <row r="46" spans="2:69">
      <c r="B46" s="210">
        <v>8</v>
      </c>
      <c r="C46" s="211" t="s">
        <v>242</v>
      </c>
      <c r="D46" s="352">
        <f>'Healthcare Expenditures'!$J42</f>
        <v>203958000</v>
      </c>
      <c r="E46" s="352">
        <f>'Healthcare Expenditures'!$K42</f>
        <v>173742000</v>
      </c>
      <c r="F46" s="352">
        <f>'Healthcare Expenditures'!$L42</f>
        <v>327340000</v>
      </c>
      <c r="G46" s="352">
        <f>'Healthcare Expenditures'!$M42</f>
        <v>73953000</v>
      </c>
      <c r="H46" s="352">
        <f>'Healthcare Expenditures'!$N42</f>
        <v>62997000.000000007</v>
      </c>
      <c r="I46" s="352">
        <f>'Healthcare Expenditures'!$O42</f>
        <v>118690000</v>
      </c>
      <c r="J46" s="352">
        <f>'Healthcare Expenditures'!$P42</f>
        <v>116883000</v>
      </c>
      <c r="K46" s="352">
        <f>'Healthcare Expenditures'!$Q42</f>
        <v>99567000.000000015</v>
      </c>
      <c r="L46" s="352">
        <f>'Healthcare Expenditures'!$R42</f>
        <v>187590000</v>
      </c>
      <c r="M46" s="352">
        <f>'Mortality Costs'!$G137</f>
        <v>65721801</v>
      </c>
      <c r="N46" s="352">
        <f>'Mortality Costs'!$H137</f>
        <v>35470400</v>
      </c>
      <c r="O46" s="352">
        <f>'Mortality Costs'!$I137</f>
        <v>108347093</v>
      </c>
      <c r="P46" s="352">
        <f>'Workplace Smoking Costs'!$K58</f>
        <v>76229997.863809526</v>
      </c>
      <c r="Q46" s="352">
        <f>'Workplace Smoking Costs'!$K177</f>
        <v>73884459.46800001</v>
      </c>
      <c r="R46" s="352">
        <f>'Workplace Smoking Costs'!$K296</f>
        <v>243349608.56523812</v>
      </c>
      <c r="S46" s="352">
        <f t="shared" si="4"/>
        <v>393464065.89704764</v>
      </c>
      <c r="T46" s="213">
        <f t="shared" si="5"/>
        <v>663143866.89704764</v>
      </c>
      <c r="U46" s="213">
        <f t="shared" si="6"/>
        <v>602676465.89704764</v>
      </c>
      <c r="V46" s="213">
        <f t="shared" si="7"/>
        <v>829151158.89704764</v>
      </c>
      <c r="W46" s="355">
        <f>'Intervention Impacts'!$C$70</f>
        <v>-1.2411482254697299E-2</v>
      </c>
      <c r="X46" s="212">
        <f>'Healthcare Expenditures'!$Z42</f>
        <v>139658473.0421347</v>
      </c>
      <c r="Y46" s="212">
        <f>'Healthcare Expenditures'!$AA42</f>
        <v>118968328.8877444</v>
      </c>
      <c r="Z46" s="212">
        <f>'Healthcare Expenditures'!$AB42</f>
        <v>224143228.33922854</v>
      </c>
      <c r="AA46" s="212">
        <f>'Healthcare Expenditures'!$AC42</f>
        <v>50638675.88858974</v>
      </c>
      <c r="AB46" s="212">
        <f>'Healthcare Expenditures'!$AD42</f>
        <v>43136649.831020899</v>
      </c>
      <c r="AC46" s="212">
        <f>'Healthcare Expenditures'!$AE42</f>
        <v>81271948.95699589</v>
      </c>
      <c r="AD46" s="212">
        <f>'Healthcare Expenditures'!$AF42</f>
        <v>80034621.366084337</v>
      </c>
      <c r="AE46" s="212">
        <f>'Healthcare Expenditures'!$AG42</f>
        <v>68177640.422960743</v>
      </c>
      <c r="AF46" s="212">
        <f>'Healthcare Expenditures'!$AH42</f>
        <v>128450626.88383907</v>
      </c>
      <c r="AG46" s="212">
        <f>'Mortality Costs'!$K137</f>
        <v>43033255</v>
      </c>
      <c r="AH46" s="212">
        <f>'Mortality Costs'!$L137</f>
        <v>22878297</v>
      </c>
      <c r="AI46" s="212">
        <f>'Mortality Costs'!$M137</f>
        <v>71576617</v>
      </c>
      <c r="AJ46" s="212">
        <f>'Workplace Smoking Costs'!$S58</f>
        <v>52197830.443840533</v>
      </c>
      <c r="AK46" s="212">
        <f>'Workplace Smoking Costs'!$S177</f>
        <v>50591743.35326083</v>
      </c>
      <c r="AL46" s="212">
        <f>'Workplace Smoking Costs'!$S296</f>
        <v>166631535.64764479</v>
      </c>
      <c r="AM46" s="212">
        <f>$AM$45+($AM$45*tblTotalCosts_All[[#This Row],[Relative Reduction in Smoking Prevalence]])</f>
        <v>269421109.4447462</v>
      </c>
      <c r="AN46" s="213">
        <f>tblTotalCosts_All[[#This Row],[Smoking-Attributable Healthcare Cost:
Intervention Scenario
Total]]+tblTotalCosts_All[[#This Row],[Cost of Premature Mortality Associated with Tobacco Use
Intervention Scenario]]+tblTotalCosts_All[[#This Row],[Workplace Costs
Intervention Scenario]]</f>
        <v>452112837.4868809</v>
      </c>
      <c r="AO46"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411267735.33249056</v>
      </c>
      <c r="AP46"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565140954.78397465</v>
      </c>
      <c r="AQ46" s="212">
        <f>tblTotalCosts_Base[Gross Domestic Product (GDP)]</f>
        <v>33921600000</v>
      </c>
      <c r="AR46" s="214">
        <f>tblTotalCosts_All[[#This Row],[Total Economic Cost
(Intervention Scenario)]]/tblTotalCosts_All[[#This Row],[Gross Domestic Product (GDP)]]</f>
        <v>1.3328169587722304E-2</v>
      </c>
      <c r="AS46" s="214">
        <f>tblTotalCosts_All[[#This Row],[Total Economic Cost
(Intervention Scenario) - Lower Bound]]/tblTotalCosts_All[[#This Row],[Gross Domestic Product (GDP)]]</f>
        <v>1.2124066533786454E-2</v>
      </c>
      <c r="AT46" s="214">
        <f>tblTotalCosts_All[[#This Row],[Total Economic Cost
(Intervention Scenario) - Upper Bound]]/tblTotalCosts_All[[#This Row],[Gross Domestic Product (GDP)]]</f>
        <v>1.6660209270316691E-2</v>
      </c>
      <c r="AU46" s="188">
        <f>'Healthcare Expenditures'!$AL42</f>
        <v>64299526.957865298</v>
      </c>
      <c r="AV46" s="188">
        <f>'Healthcare Expenditures'!$AM42</f>
        <v>54773671.112255603</v>
      </c>
      <c r="AW46" s="188">
        <f>'Healthcare Expenditures'!$AN42</f>
        <v>103196771.66077146</v>
      </c>
      <c r="AX46" s="188">
        <f>'Healthcare Expenditures'!$AO42</f>
        <v>23314324.11141026</v>
      </c>
      <c r="AY46" s="188">
        <f>'Healthcare Expenditures'!$AP42</f>
        <v>19860350.168979108</v>
      </c>
      <c r="AZ46" s="188">
        <f>'Healthcare Expenditures'!$AQ42</f>
        <v>37418051.04300411</v>
      </c>
      <c r="BA46" s="188">
        <f>'Healthcare Expenditures'!$AR42</f>
        <v>36848378.633915663</v>
      </c>
      <c r="BB46" s="188">
        <f>'Healthcare Expenditures'!$AS42</f>
        <v>31389359.577039272</v>
      </c>
      <c r="BC46" s="188">
        <f>'Healthcare Expenditures'!$AT42</f>
        <v>59139373.116160929</v>
      </c>
      <c r="BD46" s="166">
        <f>'Mortality Costs'!$N137</f>
        <v>22688546</v>
      </c>
      <c r="BE46" s="166">
        <f>'Mortality Costs'!$O137</f>
        <v>12592103</v>
      </c>
      <c r="BF46" s="166">
        <f>'Mortality Costs'!$P137</f>
        <v>36770476</v>
      </c>
      <c r="BG46" s="166">
        <f>'Workplace Smoking Costs'!$V58</f>
        <v>24032167.419968992</v>
      </c>
      <c r="BH46" s="166">
        <f>'Workplace Smoking Costs'!$V177</f>
        <v>23292716.11473918</v>
      </c>
      <c r="BI46" s="166">
        <f>'Workplace Smoking Costs'!$V296</f>
        <v>76718072.91759333</v>
      </c>
      <c r="BJ46" s="166">
        <f t="shared" si="8"/>
        <v>124042956.4523015</v>
      </c>
      <c r="BK46" s="166">
        <f t="shared" si="9"/>
        <v>211031029.4101668</v>
      </c>
      <c r="BL46" s="166">
        <f t="shared" si="10"/>
        <v>191408730.56455711</v>
      </c>
      <c r="BM46" s="166">
        <f t="shared" si="0"/>
        <v>264010204.11307296</v>
      </c>
      <c r="BN46" s="215">
        <f>SUM('Intervention Costs'!$E$49+'Intervention Costs'!$D$49+'Intervention Costs'!$G$49+'Intervention Costs'!$F$49)</f>
        <v>487356.38954534929</v>
      </c>
      <c r="BO46" s="166">
        <f t="shared" si="1"/>
        <v>433.01172188803326</v>
      </c>
      <c r="BP46" s="166">
        <f t="shared" si="2"/>
        <v>392.74899164268822</v>
      </c>
      <c r="BQ46" s="216">
        <f t="shared" si="3"/>
        <v>541.71897563375717</v>
      </c>
    </row>
    <row r="47" spans="2:69">
      <c r="B47" s="210">
        <v>9</v>
      </c>
      <c r="C47" s="211" t="s">
        <v>242</v>
      </c>
      <c r="D47" s="352">
        <f>'Healthcare Expenditures'!$J43</f>
        <v>203958000</v>
      </c>
      <c r="E47" s="352">
        <f>'Healthcare Expenditures'!$K43</f>
        <v>173742000</v>
      </c>
      <c r="F47" s="352">
        <f>'Healthcare Expenditures'!$L43</f>
        <v>327340000</v>
      </c>
      <c r="G47" s="352">
        <f>'Healthcare Expenditures'!$M43</f>
        <v>73953000</v>
      </c>
      <c r="H47" s="352">
        <f>'Healthcare Expenditures'!$N43</f>
        <v>62997000.000000007</v>
      </c>
      <c r="I47" s="352">
        <f>'Healthcare Expenditures'!$O43</f>
        <v>118690000</v>
      </c>
      <c r="J47" s="352">
        <f>'Healthcare Expenditures'!$P43</f>
        <v>116883000</v>
      </c>
      <c r="K47" s="352">
        <f>'Healthcare Expenditures'!$Q43</f>
        <v>99567000.000000015</v>
      </c>
      <c r="L47" s="352">
        <f>'Healthcare Expenditures'!$R43</f>
        <v>187590000</v>
      </c>
      <c r="M47" s="352">
        <f>'Mortality Costs'!$G138</f>
        <v>66050368</v>
      </c>
      <c r="N47" s="352">
        <f>'Mortality Costs'!$H138</f>
        <v>35647711</v>
      </c>
      <c r="O47" s="352">
        <f>'Mortality Costs'!$I138</f>
        <v>108888772</v>
      </c>
      <c r="P47" s="352">
        <f>'Workplace Smoking Costs'!$K59</f>
        <v>76229997.863809526</v>
      </c>
      <c r="Q47" s="352">
        <f>'Workplace Smoking Costs'!$K178</f>
        <v>73884459.46800001</v>
      </c>
      <c r="R47" s="352">
        <f>'Workplace Smoking Costs'!$K297</f>
        <v>243349608.56523812</v>
      </c>
      <c r="S47" s="352">
        <f t="shared" si="4"/>
        <v>393464065.89704764</v>
      </c>
      <c r="T47" s="213">
        <f t="shared" si="5"/>
        <v>663472433.89704764</v>
      </c>
      <c r="U47" s="213">
        <f t="shared" si="6"/>
        <v>602853776.89704764</v>
      </c>
      <c r="V47" s="213">
        <f t="shared" si="7"/>
        <v>829692837.89704764</v>
      </c>
      <c r="W47" s="355">
        <f>'Intervention Impacts'!$C$71</f>
        <v>-1.2411482254697299E-2</v>
      </c>
      <c r="X47" s="212">
        <f>'Healthcare Expenditures'!$Z43</f>
        <v>137925104.38225409</v>
      </c>
      <c r="Y47" s="212">
        <f>'Healthcare Expenditures'!$AA43</f>
        <v>117491755.58488315</v>
      </c>
      <c r="Z47" s="212">
        <f>'Healthcare Expenditures'!$AB43</f>
        <v>221361278.63818562</v>
      </c>
      <c r="AA47" s="212">
        <f>'Healthcare Expenditures'!$AC43</f>
        <v>50010174.86139714</v>
      </c>
      <c r="AB47" s="212">
        <f>'Healthcare Expenditures'!$AD43</f>
        <v>42601260.067116089</v>
      </c>
      <c r="AC47" s="212">
        <f>'Healthcare Expenditures'!$AE43</f>
        <v>80263243.604711473</v>
      </c>
      <c r="AD47" s="212">
        <f>'Healthcare Expenditures'!$AF43</f>
        <v>79041273.083237752</v>
      </c>
      <c r="AE47" s="212">
        <f>'Healthcare Expenditures'!$AG43</f>
        <v>67331454.848684028</v>
      </c>
      <c r="AF47" s="212">
        <f>'Healthcare Expenditures'!$AH43</f>
        <v>126856364.20766555</v>
      </c>
      <c r="AG47" s="212">
        <f>'Mortality Costs'!$K138</f>
        <v>42819223</v>
      </c>
      <c r="AH47" s="212">
        <f>'Mortality Costs'!$L138</f>
        <v>22773329</v>
      </c>
      <c r="AI47" s="212">
        <f>'Mortality Costs'!$M138</f>
        <v>71142924</v>
      </c>
      <c r="AJ47" s="212">
        <f>'Workplace Smoking Costs'!$S59</f>
        <v>51549977.99755311</v>
      </c>
      <c r="AK47" s="212">
        <f>'Workplace Smoking Costs'!$S178</f>
        <v>49963824.828397632</v>
      </c>
      <c r="AL47" s="212">
        <f>'Workplace Smoking Costs'!$S297</f>
        <v>164563391.29988107</v>
      </c>
      <c r="AM47" s="212">
        <f>$AM$46+($AM$46*tblTotalCosts_All[[#This Row],[Relative Reduction in Smoking Prevalence]])</f>
        <v>266077194.12583187</v>
      </c>
      <c r="AN47" s="213">
        <f>tblTotalCosts_All[[#This Row],[Smoking-Attributable Healthcare Cost:
Intervention Scenario
Total]]+tblTotalCosts_All[[#This Row],[Cost of Premature Mortality Associated with Tobacco Use
Intervention Scenario]]+tblTotalCosts_All[[#This Row],[Workplace Costs
Intervention Scenario]]</f>
        <v>446821521.50808597</v>
      </c>
      <c r="AO47"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406342278.71071506</v>
      </c>
      <c r="AP47"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558581396.76401746</v>
      </c>
      <c r="AQ47" s="212">
        <f>tblTotalCosts_Base[Gross Domestic Product (GDP)]</f>
        <v>33921600000</v>
      </c>
      <c r="AR47" s="214">
        <f>tblTotalCosts_All[[#This Row],[Total Economic Cost
(Intervention Scenario)]]/tblTotalCosts_All[[#This Row],[Gross Domestic Product (GDP)]]</f>
        <v>1.3172182960358178E-2</v>
      </c>
      <c r="AS47" s="214">
        <f>tblTotalCosts_All[[#This Row],[Total Economic Cost
(Intervention Scenario) - Lower Bound]]/tblTotalCosts_All[[#This Row],[Gross Domestic Product (GDP)]]</f>
        <v>1.1978865345700529E-2</v>
      </c>
      <c r="AT47" s="214">
        <f>tblTotalCosts_All[[#This Row],[Total Economic Cost
(Intervention Scenario) - Upper Bound]]/tblTotalCosts_All[[#This Row],[Gross Domestic Product (GDP)]]</f>
        <v>1.6466835195392243E-2</v>
      </c>
      <c r="AU47" s="188">
        <f>'Healthcare Expenditures'!$AL43</f>
        <v>66032895.617745906</v>
      </c>
      <c r="AV47" s="188">
        <f>'Healthcare Expenditures'!$AM43</f>
        <v>56250244.415116847</v>
      </c>
      <c r="AW47" s="188">
        <f>'Healthcare Expenditures'!$AN43</f>
        <v>105978721.36181438</v>
      </c>
      <c r="AX47" s="188">
        <f>'Healthcare Expenditures'!$AO43</f>
        <v>23942825.13860286</v>
      </c>
      <c r="AY47" s="188">
        <f>'Healthcare Expenditures'!$AP43</f>
        <v>20395739.932883918</v>
      </c>
      <c r="AZ47" s="188">
        <f>'Healthcare Expenditures'!$AQ43</f>
        <v>38426756.395288527</v>
      </c>
      <c r="BA47" s="188">
        <f>'Healthcare Expenditures'!$AR43</f>
        <v>37841726.916762248</v>
      </c>
      <c r="BB47" s="188">
        <f>'Healthcare Expenditures'!$AS43</f>
        <v>32235545.151315987</v>
      </c>
      <c r="BC47" s="188">
        <f>'Healthcare Expenditures'!$AT43</f>
        <v>60733635.792334452</v>
      </c>
      <c r="BD47" s="166">
        <f>'Mortality Costs'!$N138</f>
        <v>23231144</v>
      </c>
      <c r="BE47" s="166">
        <f>'Mortality Costs'!$O138</f>
        <v>12874382</v>
      </c>
      <c r="BF47" s="166">
        <f>'Mortality Costs'!$P138</f>
        <v>37745848</v>
      </c>
      <c r="BG47" s="166">
        <f>'Workplace Smoking Costs'!$V59</f>
        <v>24680019.866256416</v>
      </c>
      <c r="BH47" s="166">
        <f>'Workplace Smoking Costs'!$V178</f>
        <v>23920634.639602378</v>
      </c>
      <c r="BI47" s="166">
        <f>'Workplace Smoking Costs'!$V297</f>
        <v>78786217.265357047</v>
      </c>
      <c r="BJ47" s="166">
        <f t="shared" si="8"/>
        <v>127386871.77121584</v>
      </c>
      <c r="BK47" s="166">
        <f t="shared" si="9"/>
        <v>216650911.38896173</v>
      </c>
      <c r="BL47" s="166">
        <f t="shared" si="10"/>
        <v>196511498.1863327</v>
      </c>
      <c r="BM47" s="166">
        <f t="shared" si="0"/>
        <v>271111441.13303024</v>
      </c>
      <c r="BN47" s="215">
        <f>SUM('Intervention Costs'!$E$50+'Intervention Costs'!$D$50+'Intervention Costs'!$G$50+'Intervention Costs'!$F$50)</f>
        <v>487356.38954534929</v>
      </c>
      <c r="BO47" s="166">
        <f t="shared" si="1"/>
        <v>444.54308189346517</v>
      </c>
      <c r="BP47" s="166">
        <f t="shared" si="2"/>
        <v>403.21929167617282</v>
      </c>
      <c r="BQ47" s="216">
        <f t="shared" si="3"/>
        <v>556.28990806080913</v>
      </c>
    </row>
    <row r="48" spans="2:69">
      <c r="B48" s="210">
        <v>10</v>
      </c>
      <c r="C48" s="211" t="s">
        <v>242</v>
      </c>
      <c r="D48" s="352">
        <f>'Healthcare Expenditures'!$J44</f>
        <v>203958000</v>
      </c>
      <c r="E48" s="352">
        <f>'Healthcare Expenditures'!$K44</f>
        <v>173742000</v>
      </c>
      <c r="F48" s="352">
        <f>'Healthcare Expenditures'!$L44</f>
        <v>327340000</v>
      </c>
      <c r="G48" s="352">
        <f>'Healthcare Expenditures'!$M44</f>
        <v>73953000</v>
      </c>
      <c r="H48" s="352">
        <f>'Healthcare Expenditures'!$N44</f>
        <v>62997000.000000007</v>
      </c>
      <c r="I48" s="352">
        <f>'Healthcare Expenditures'!$O44</f>
        <v>118690000</v>
      </c>
      <c r="J48" s="352">
        <f>'Healthcare Expenditures'!$P44</f>
        <v>116883000</v>
      </c>
      <c r="K48" s="352">
        <f>'Healthcare Expenditures'!$Q44</f>
        <v>99567000.000000015</v>
      </c>
      <c r="L48" s="352">
        <f>'Healthcare Expenditures'!$R44</f>
        <v>187590000</v>
      </c>
      <c r="M48" s="352">
        <f>'Mortality Costs'!$G139</f>
        <v>66380616</v>
      </c>
      <c r="N48" s="352">
        <f>'Mortality Costs'!$H139</f>
        <v>35825953</v>
      </c>
      <c r="O48" s="352">
        <f>'Mortality Costs'!$I139</f>
        <v>109433221</v>
      </c>
      <c r="P48" s="352">
        <f>'Workplace Smoking Costs'!$K60</f>
        <v>76229997.863809526</v>
      </c>
      <c r="Q48" s="352">
        <f>'Workplace Smoking Costs'!$K179</f>
        <v>73884459.46800001</v>
      </c>
      <c r="R48" s="352">
        <f>'Workplace Smoking Costs'!$K298</f>
        <v>243349608.56523812</v>
      </c>
      <c r="S48" s="352">
        <f t="shared" si="4"/>
        <v>393464065.89704764</v>
      </c>
      <c r="T48" s="213">
        <f t="shared" si="5"/>
        <v>663802681.89704764</v>
      </c>
      <c r="U48" s="213">
        <f t="shared" si="6"/>
        <v>603032018.89704764</v>
      </c>
      <c r="V48" s="213">
        <f t="shared" si="7"/>
        <v>830237286.89704764</v>
      </c>
      <c r="W48" s="355">
        <f>'Intervention Impacts'!$C$72</f>
        <v>-1.2411482254697299E-2</v>
      </c>
      <c r="X48" s="212">
        <f>'Healthcare Expenditures'!$Z44</f>
        <v>136213249.39673647</v>
      </c>
      <c r="Y48" s="212">
        <f>'Healthcare Expenditures'!$AA44</f>
        <v>116033508.74536812</v>
      </c>
      <c r="Z48" s="212">
        <f>'Healthcare Expenditures'!$AB44</f>
        <v>218613857.05649066</v>
      </c>
      <c r="AA48" s="212">
        <f>'Healthcare Expenditures'!$AC44</f>
        <v>49389474.463550597</v>
      </c>
      <c r="AB48" s="212">
        <f>'Healthcare Expenditures'!$AD44</f>
        <v>42072515.283765331</v>
      </c>
      <c r="AC48" s="212">
        <f>'Healthcare Expenditures'!$AE44</f>
        <v>79267057.781007141</v>
      </c>
      <c r="AD48" s="212">
        <f>'Healthcare Expenditures'!$AF44</f>
        <v>78060253.724976465</v>
      </c>
      <c r="AE48" s="212">
        <f>'Healthcare Expenditures'!$AG44</f>
        <v>66495771.691646628</v>
      </c>
      <c r="AF48" s="212">
        <f>'Healthcare Expenditures'!$AH44</f>
        <v>125281888.69440669</v>
      </c>
      <c r="AG48" s="212">
        <f>'Mortality Costs'!$K139</f>
        <v>42649944</v>
      </c>
      <c r="AH48" s="212">
        <f>'Mortality Costs'!$L139</f>
        <v>22647588</v>
      </c>
      <c r="AI48" s="212">
        <f>'Mortality Costs'!$M139</f>
        <v>70894808</v>
      </c>
      <c r="AJ48" s="212">
        <f>'Workplace Smoking Costs'!$S60</f>
        <v>50910166.360406443</v>
      </c>
      <c r="AK48" s="212">
        <f>'Workplace Smoking Costs'!$S179</f>
        <v>49343699.703163169</v>
      </c>
      <c r="AL48" s="212">
        <f>'Workplace Smoking Costs'!$S298</f>
        <v>162520915.68898982</v>
      </c>
      <c r="AM48" s="212">
        <f>$AM$47+($AM$47*tblTotalCosts_All[[#This Row],[Relative Reduction in Smoking Prevalence]])</f>
        <v>262774781.75255945</v>
      </c>
      <c r="AN48" s="213">
        <f>tblTotalCosts_All[[#This Row],[Smoking-Attributable Healthcare Cost:
Intervention Scenario
Total]]+tblTotalCosts_All[[#This Row],[Cost of Premature Mortality Associated with Tobacco Use
Intervention Scenario]]+tblTotalCosts_All[[#This Row],[Workplace Costs
Intervention Scenario]]</f>
        <v>441637975.14929593</v>
      </c>
      <c r="AO48"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401455878.49792755</v>
      </c>
      <c r="AP48"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552283446.80905008</v>
      </c>
      <c r="AQ48" s="212">
        <f>tblTotalCosts_Base[Gross Domestic Product (GDP)]</f>
        <v>33921600000</v>
      </c>
      <c r="AR48" s="214">
        <f>tblTotalCosts_All[[#This Row],[Total Economic Cost
(Intervention Scenario)]]/tblTotalCosts_All[[#This Row],[Gross Domestic Product (GDP)]]</f>
        <v>1.3019373353535681E-2</v>
      </c>
      <c r="AS48" s="214">
        <f>tblTotalCosts_All[[#This Row],[Total Economic Cost
(Intervention Scenario) - Lower Bound]]/tblTotalCosts_All[[#This Row],[Gross Domestic Product (GDP)]]</f>
        <v>1.1834815530456334E-2</v>
      </c>
      <c r="AT48" s="214">
        <f>tblTotalCosts_All[[#This Row],[Total Economic Cost
(Intervention Scenario) - Upper Bound]]/tblTotalCosts_All[[#This Row],[Gross Domestic Product (GDP)]]</f>
        <v>1.6281173258603666E-2</v>
      </c>
      <c r="AU48" s="188">
        <f>'Healthcare Expenditures'!$AL44</f>
        <v>67744750.603263527</v>
      </c>
      <c r="AV48" s="188">
        <f>'Healthcare Expenditures'!$AM44</f>
        <v>57708491.254631877</v>
      </c>
      <c r="AW48" s="188">
        <f>'Healthcare Expenditures'!$AN44</f>
        <v>108726142.94350934</v>
      </c>
      <c r="AX48" s="188">
        <f>'Healthcare Expenditures'!$AO44</f>
        <v>24563525.536449403</v>
      </c>
      <c r="AY48" s="188">
        <f>'Healthcare Expenditures'!$AP44</f>
        <v>20924484.716234677</v>
      </c>
      <c r="AZ48" s="188">
        <f>'Healthcare Expenditures'!$AQ44</f>
        <v>39422942.218992859</v>
      </c>
      <c r="BA48" s="188">
        <f>'Healthcare Expenditures'!$AR44</f>
        <v>38822746.275023535</v>
      </c>
      <c r="BB48" s="188">
        <f>'Healthcare Expenditures'!$AS44</f>
        <v>33071228.308353387</v>
      </c>
      <c r="BC48" s="188">
        <f>'Healthcare Expenditures'!$AT44</f>
        <v>62308111.305593312</v>
      </c>
      <c r="BD48" s="166">
        <f>'Mortality Costs'!$N139</f>
        <v>23730672</v>
      </c>
      <c r="BE48" s="166">
        <f>'Mortality Costs'!$O139</f>
        <v>13178365</v>
      </c>
      <c r="BF48" s="166">
        <f>'Mortality Costs'!$P139</f>
        <v>38538412</v>
      </c>
      <c r="BG48" s="166">
        <f>'Workplace Smoking Costs'!$V60</f>
        <v>25319831.503403082</v>
      </c>
      <c r="BH48" s="166">
        <f>'Workplace Smoking Costs'!$V179</f>
        <v>24540759.76483684</v>
      </c>
      <c r="BI48" s="166">
        <f>'Workplace Smoking Costs'!$V298</f>
        <v>80828692.8762483</v>
      </c>
      <c r="BJ48" s="166">
        <f t="shared" si="8"/>
        <v>130689284.14448822</v>
      </c>
      <c r="BK48" s="166">
        <f t="shared" si="9"/>
        <v>222164706.74775174</v>
      </c>
      <c r="BL48" s="166">
        <f t="shared" si="10"/>
        <v>201576140.39912009</v>
      </c>
      <c r="BM48" s="166">
        <f t="shared" si="0"/>
        <v>277953839.08799756</v>
      </c>
      <c r="BN48" s="215">
        <f>SUM('Intervention Costs'!$E$51+'Intervention Costs'!$D$51+'Intervention Costs'!$G$51+'Intervention Costs'!$F$51)</f>
        <v>504727.41104759427</v>
      </c>
      <c r="BO48" s="166">
        <f t="shared" si="1"/>
        <v>440.16770614188471</v>
      </c>
      <c r="BP48" s="166">
        <f t="shared" si="2"/>
        <v>399.37624941101541</v>
      </c>
      <c r="BQ48" s="216">
        <f t="shared" si="3"/>
        <v>550.70089914690084</v>
      </c>
    </row>
    <row r="49" spans="2:69">
      <c r="B49" s="210">
        <v>11</v>
      </c>
      <c r="C49" s="211" t="s">
        <v>242</v>
      </c>
      <c r="D49" s="352">
        <f>'Healthcare Expenditures'!$J45</f>
        <v>203958000</v>
      </c>
      <c r="E49" s="352">
        <f>'Healthcare Expenditures'!$K45</f>
        <v>173742000</v>
      </c>
      <c r="F49" s="352">
        <f>'Healthcare Expenditures'!$L45</f>
        <v>327340000</v>
      </c>
      <c r="G49" s="352">
        <f>'Healthcare Expenditures'!$M45</f>
        <v>73953000</v>
      </c>
      <c r="H49" s="352">
        <f>'Healthcare Expenditures'!$N45</f>
        <v>62997000.000000007</v>
      </c>
      <c r="I49" s="352">
        <f>'Healthcare Expenditures'!$O45</f>
        <v>118690000</v>
      </c>
      <c r="J49" s="352">
        <f>'Healthcare Expenditures'!$P45</f>
        <v>116883000</v>
      </c>
      <c r="K49" s="352">
        <f>'Healthcare Expenditures'!$Q45</f>
        <v>99567000.000000015</v>
      </c>
      <c r="L49" s="352">
        <f>'Healthcare Expenditures'!$R45</f>
        <v>187590000</v>
      </c>
      <c r="M49" s="352">
        <f>'Mortality Costs'!$G140</f>
        <v>66712539</v>
      </c>
      <c r="N49" s="352">
        <f>'Mortality Costs'!$H140</f>
        <v>36005105</v>
      </c>
      <c r="O49" s="352">
        <f>'Mortality Costs'!$I140</f>
        <v>109980423</v>
      </c>
      <c r="P49" s="352">
        <f>'Workplace Smoking Costs'!$K61</f>
        <v>76229997.863809526</v>
      </c>
      <c r="Q49" s="352">
        <f>'Workplace Smoking Costs'!$K180</f>
        <v>73884459.46800001</v>
      </c>
      <c r="R49" s="352">
        <f>'Workplace Smoking Costs'!$K299</f>
        <v>243349608.56523812</v>
      </c>
      <c r="S49" s="352">
        <f t="shared" si="4"/>
        <v>393464065.89704764</v>
      </c>
      <c r="T49" s="213">
        <f t="shared" si="5"/>
        <v>664134604.89704764</v>
      </c>
      <c r="U49" s="213">
        <f t="shared" si="6"/>
        <v>603211170.89704764</v>
      </c>
      <c r="V49" s="213">
        <f t="shared" si="7"/>
        <v>830784488.89704764</v>
      </c>
      <c r="W49" s="355">
        <f>'Intervention Impacts'!$C$73</f>
        <v>-1.2411482254697299E-2</v>
      </c>
      <c r="X49" s="212">
        <f>'Healthcare Expenditures'!$Z45</f>
        <v>134522641.06899422</v>
      </c>
      <c r="Y49" s="212">
        <f>'Healthcare Expenditures'!$AA45</f>
        <v>114593360.91062473</v>
      </c>
      <c r="Z49" s="212">
        <f>'Healthcare Expenditures'!$AB45</f>
        <v>215900535.04900309</v>
      </c>
      <c r="AA49" s="212">
        <f>'Healthcare Expenditures'!$AC45</f>
        <v>48776477.877677411</v>
      </c>
      <c r="AB49" s="212">
        <f>'Healthcare Expenditures'!$AD45</f>
        <v>41550333.006910399</v>
      </c>
      <c r="AC49" s="212">
        <f>'Healthcare Expenditures'!$AE45</f>
        <v>78283236.099976107</v>
      </c>
      <c r="AD49" s="212">
        <f>'Healthcare Expenditures'!$AF45</f>
        <v>77091410.271071747</v>
      </c>
      <c r="AE49" s="212">
        <f>'Healthcare Expenditures'!$AG45</f>
        <v>65670460.601283357</v>
      </c>
      <c r="AF49" s="212">
        <f>'Healthcare Expenditures'!$AH45</f>
        <v>123726954.75604109</v>
      </c>
      <c r="AG49" s="212">
        <f>'Mortality Costs'!$K140</f>
        <v>41485819</v>
      </c>
      <c r="AH49" s="212">
        <f>'Mortality Costs'!$L140</f>
        <v>22057692</v>
      </c>
      <c r="AI49" s="212">
        <f>'Mortality Costs'!$M140</f>
        <v>69399934</v>
      </c>
      <c r="AJ49" s="212">
        <f>'Workplace Smoking Costs'!$S61</f>
        <v>50278295.734040566</v>
      </c>
      <c r="AK49" s="212">
        <f>'Workplace Smoking Costs'!$S180</f>
        <v>48731271.249916241</v>
      </c>
      <c r="AL49" s="212">
        <f>'Workplace Smoking Costs'!$S299</f>
        <v>160503790.22789875</v>
      </c>
      <c r="AM49" s="212">
        <f>$AM$48+($AM$48*tblTotalCosts_All[[#This Row],[Relative Reduction in Smoking Prevalence]])</f>
        <v>259513357.21185562</v>
      </c>
      <c r="AN49" s="213">
        <f>tblTotalCosts_All[[#This Row],[Smoking-Attributable Healthcare Cost:
Intervention Scenario
Total]]+tblTotalCosts_All[[#This Row],[Cost of Premature Mortality Associated with Tobacco Use
Intervention Scenario]]+tblTotalCosts_All[[#This Row],[Workplace Costs
Intervention Scenario]]</f>
        <v>435521817.28084981</v>
      </c>
      <c r="AO49"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396164410.12248039</v>
      </c>
      <c r="AP49"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544813826.26085877</v>
      </c>
      <c r="AQ49" s="212">
        <f>tblTotalCosts_Base[Gross Domestic Product (GDP)]</f>
        <v>33921600000</v>
      </c>
      <c r="AR49" s="214">
        <f>tblTotalCosts_All[[#This Row],[Total Economic Cost
(Intervention Scenario)]]/tblTotalCosts_All[[#This Row],[Gross Domestic Product (GDP)]]</f>
        <v>1.2839070600468428E-2</v>
      </c>
      <c r="AS49" s="214">
        <f>tblTotalCosts_All[[#This Row],[Total Economic Cost
(Intervention Scenario) - Lower Bound]]/tblTotalCosts_All[[#This Row],[Gross Domestic Product (GDP)]]</f>
        <v>1.1678824410478291E-2</v>
      </c>
      <c r="AT49" s="214">
        <f>tblTotalCosts_All[[#This Row],[Total Economic Cost
(Intervention Scenario) - Upper Bound]]/tblTotalCosts_All[[#This Row],[Gross Domestic Product (GDP)]]</f>
        <v>1.6060970775578356E-2</v>
      </c>
      <c r="AU49" s="188">
        <f>'Healthcare Expenditures'!$AL45</f>
        <v>69435358.931005776</v>
      </c>
      <c r="AV49" s="188">
        <f>'Healthcare Expenditures'!$AM45</f>
        <v>59148639.089375272</v>
      </c>
      <c r="AW49" s="188">
        <f>'Healthcare Expenditures'!$AN45</f>
        <v>111439464.95099691</v>
      </c>
      <c r="AX49" s="188">
        <f>'Healthcare Expenditures'!$AO45</f>
        <v>25176522.122322589</v>
      </c>
      <c r="AY49" s="188">
        <f>'Healthcare Expenditures'!$AP45</f>
        <v>21446666.993089609</v>
      </c>
      <c r="AZ49" s="188">
        <f>'Healthcare Expenditures'!$AQ45</f>
        <v>40406763.900023893</v>
      </c>
      <c r="BA49" s="188">
        <f>'Healthcare Expenditures'!$AR45</f>
        <v>39791589.728928253</v>
      </c>
      <c r="BB49" s="188">
        <f>'Healthcare Expenditures'!$AS45</f>
        <v>33896539.398716658</v>
      </c>
      <c r="BC49" s="188">
        <f>'Healthcare Expenditures'!$AT45</f>
        <v>63863045.243958905</v>
      </c>
      <c r="BD49" s="166">
        <f>'Mortality Costs'!$N140</f>
        <v>25226720</v>
      </c>
      <c r="BE49" s="166">
        <f>'Mortality Costs'!$O140</f>
        <v>13947413</v>
      </c>
      <c r="BF49" s="166">
        <f>'Mortality Costs'!$P140</f>
        <v>40580488</v>
      </c>
      <c r="BG49" s="166">
        <f>'Workplace Smoking Costs'!$V61</f>
        <v>25951702.12976896</v>
      </c>
      <c r="BH49" s="166">
        <f>'Workplace Smoking Costs'!$V180</f>
        <v>25153188.218083769</v>
      </c>
      <c r="BI49" s="166">
        <f>'Workplace Smoking Costs'!$V299</f>
        <v>82845818.337339371</v>
      </c>
      <c r="BJ49" s="166">
        <f t="shared" si="8"/>
        <v>133950708.68519211</v>
      </c>
      <c r="BK49" s="166">
        <f t="shared" si="9"/>
        <v>228612787.61619788</v>
      </c>
      <c r="BL49" s="166">
        <f t="shared" si="10"/>
        <v>207046760.77456737</v>
      </c>
      <c r="BM49" s="166">
        <f t="shared" si="0"/>
        <v>285970661.63618898</v>
      </c>
      <c r="BN49" s="215">
        <f>SUM('Intervention Costs'!$E$52+'Intervention Costs'!$D$52+'Intervention Costs'!$G$52+'Intervention Costs'!$F$52)</f>
        <v>661371.43756002001</v>
      </c>
      <c r="BO49" s="166">
        <f t="shared" si="1"/>
        <v>345.6647424321996</v>
      </c>
      <c r="BP49" s="166">
        <f t="shared" si="2"/>
        <v>313.05670159936062</v>
      </c>
      <c r="BQ49" s="216">
        <f t="shared" si="3"/>
        <v>432.39040181597937</v>
      </c>
    </row>
    <row r="50" spans="2:69">
      <c r="B50" s="210">
        <v>12</v>
      </c>
      <c r="C50" s="211" t="s">
        <v>242</v>
      </c>
      <c r="D50" s="352">
        <f>'Healthcare Expenditures'!$J46</f>
        <v>203958000</v>
      </c>
      <c r="E50" s="352">
        <f>'Healthcare Expenditures'!$K46</f>
        <v>173742000</v>
      </c>
      <c r="F50" s="352">
        <f>'Healthcare Expenditures'!$L46</f>
        <v>327340000</v>
      </c>
      <c r="G50" s="352">
        <f>'Healthcare Expenditures'!$M46</f>
        <v>73953000</v>
      </c>
      <c r="H50" s="352">
        <f>'Healthcare Expenditures'!$N46</f>
        <v>62997000.000000007</v>
      </c>
      <c r="I50" s="352">
        <f>'Healthcare Expenditures'!$O46</f>
        <v>118690000</v>
      </c>
      <c r="J50" s="352">
        <f>'Healthcare Expenditures'!$P46</f>
        <v>116883000</v>
      </c>
      <c r="K50" s="352">
        <f>'Healthcare Expenditures'!$Q46</f>
        <v>99567000.000000015</v>
      </c>
      <c r="L50" s="352">
        <f>'Healthcare Expenditures'!$R46</f>
        <v>187590000</v>
      </c>
      <c r="M50" s="352">
        <f>'Mortality Costs'!$G141</f>
        <v>67046100</v>
      </c>
      <c r="N50" s="352">
        <f>'Mortality Costs'!$H141</f>
        <v>36185110</v>
      </c>
      <c r="O50" s="352">
        <f>'Mortality Costs'!$I141</f>
        <v>110530303</v>
      </c>
      <c r="P50" s="352">
        <f>'Workplace Smoking Costs'!$K62</f>
        <v>76229997.863809526</v>
      </c>
      <c r="Q50" s="352">
        <f>'Workplace Smoking Costs'!$K181</f>
        <v>73884459.46800001</v>
      </c>
      <c r="R50" s="352">
        <f>'Workplace Smoking Costs'!$K300</f>
        <v>243349608.56523812</v>
      </c>
      <c r="S50" s="352">
        <f t="shared" si="4"/>
        <v>393464065.89704764</v>
      </c>
      <c r="T50" s="213">
        <f t="shared" si="5"/>
        <v>664468165.89704764</v>
      </c>
      <c r="U50" s="213">
        <f t="shared" si="6"/>
        <v>603391175.89704764</v>
      </c>
      <c r="V50" s="213">
        <f t="shared" si="7"/>
        <v>831334368.89704764</v>
      </c>
      <c r="W50" s="355">
        <f>'Intervention Impacts'!$C$74</f>
        <v>-1.2411482254697299E-2</v>
      </c>
      <c r="X50" s="212">
        <f>'Healthcare Expenditures'!$Z46</f>
        <v>132853015.69651139</v>
      </c>
      <c r="Y50" s="212">
        <f>'Healthcare Expenditures'!$AA46</f>
        <v>113171087.44517638</v>
      </c>
      <c r="Z50" s="212">
        <f>'Healthcare Expenditures'!$AB46</f>
        <v>213220889.38946274</v>
      </c>
      <c r="AA50" s="212">
        <f>'Healthcare Expenditures'!$AC46</f>
        <v>48171089.488051981</v>
      </c>
      <c r="AB50" s="212">
        <f>'Healthcare Expenditures'!$AD46</f>
        <v>41034631.786118366</v>
      </c>
      <c r="AC50" s="212">
        <f>'Healthcare Expenditures'!$AE46</f>
        <v>77311625.104280964</v>
      </c>
      <c r="AD50" s="212">
        <f>'Healthcare Expenditures'!$AF46</f>
        <v>76134591.600502744</v>
      </c>
      <c r="AE50" s="212">
        <f>'Healthcare Expenditures'!$AG46</f>
        <v>64855392.844872721</v>
      </c>
      <c r="AF50" s="212">
        <f>'Healthcare Expenditures'!$AH46</f>
        <v>122191319.85265875</v>
      </c>
      <c r="AG50" s="212">
        <f>'Mortality Costs'!$K141</f>
        <v>41315698</v>
      </c>
      <c r="AH50" s="212">
        <f>'Mortality Costs'!$L141</f>
        <v>21916291</v>
      </c>
      <c r="AI50" s="212">
        <f>'Mortality Costs'!$M141</f>
        <v>69088661</v>
      </c>
      <c r="AJ50" s="212">
        <f>'Workplace Smoking Costs'!$S62</f>
        <v>49654267.5587411</v>
      </c>
      <c r="AK50" s="212">
        <f>'Workplace Smoking Costs'!$S181</f>
        <v>48126443.941549063</v>
      </c>
      <c r="AL50" s="212">
        <f>'Workplace Smoking Costs'!$S300</f>
        <v>158511700.2836735</v>
      </c>
      <c r="AM50" s="212">
        <f>$AM$49+($AM$49*tblTotalCosts_All[[#This Row],[Relative Reduction in Smoking Prevalence]])</f>
        <v>256292411.78396374</v>
      </c>
      <c r="AN50" s="213">
        <f>tblTotalCosts_All[[#This Row],[Smoking-Attributable Healthcare Cost:
Intervention Scenario
Total]]+tblTotalCosts_All[[#This Row],[Cost of Premature Mortality Associated with Tobacco Use
Intervention Scenario]]+tblTotalCosts_All[[#This Row],[Workplace Costs
Intervention Scenario]]</f>
        <v>430461125.48047513</v>
      </c>
      <c r="AO50"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391379790.2291401</v>
      </c>
      <c r="AP50"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538601962.17342639</v>
      </c>
      <c r="AQ50" s="212">
        <f>tblTotalCosts_Base[Gross Domestic Product (GDP)]</f>
        <v>33921600000</v>
      </c>
      <c r="AR50" s="214">
        <f>tblTotalCosts_All[[#This Row],[Total Economic Cost
(Intervention Scenario)]]/tblTotalCosts_All[[#This Row],[Gross Domestic Product (GDP)]]</f>
        <v>1.2689882714272767E-2</v>
      </c>
      <c r="AS50" s="214">
        <f>tblTotalCosts_All[[#This Row],[Total Economic Cost
(Intervention Scenario) - Lower Bound]]/tblTotalCosts_All[[#This Row],[Gross Domestic Product (GDP)]]</f>
        <v>1.1537775052743388E-2</v>
      </c>
      <c r="AT50" s="214">
        <f>tblTotalCosts_All[[#This Row],[Total Economic Cost
(Intervention Scenario) - Upper Bound]]/tblTotalCosts_All[[#This Row],[Gross Domestic Product (GDP)]]</f>
        <v>1.5877846627913375E-2</v>
      </c>
      <c r="AU50" s="188">
        <f>'Healthcare Expenditures'!$AL46</f>
        <v>71104984.303488612</v>
      </c>
      <c r="AV50" s="188">
        <f>'Healthcare Expenditures'!$AM46</f>
        <v>60570912.554823622</v>
      </c>
      <c r="AW50" s="188">
        <f>'Healthcare Expenditures'!$AN46</f>
        <v>114119110.61053726</v>
      </c>
      <c r="AX50" s="188">
        <f>'Healthcare Expenditures'!$AO46</f>
        <v>25781910.511948019</v>
      </c>
      <c r="AY50" s="188">
        <f>'Healthcare Expenditures'!$AP46</f>
        <v>21962368.213881642</v>
      </c>
      <c r="AZ50" s="188">
        <f>'Healthcare Expenditures'!$AQ46</f>
        <v>41378374.895719036</v>
      </c>
      <c r="BA50" s="188">
        <f>'Healthcare Expenditures'!$AR46</f>
        <v>40748408.399497256</v>
      </c>
      <c r="BB50" s="188">
        <f>'Healthcare Expenditures'!$AS46</f>
        <v>34711607.155127294</v>
      </c>
      <c r="BC50" s="188">
        <f>'Healthcare Expenditures'!$AT46</f>
        <v>65398680.147341251</v>
      </c>
      <c r="BD50" s="166">
        <f>'Mortality Costs'!$N141</f>
        <v>25730402</v>
      </c>
      <c r="BE50" s="166">
        <f>'Mortality Costs'!$O141</f>
        <v>14268819</v>
      </c>
      <c r="BF50" s="166">
        <f>'Mortality Costs'!$P141</f>
        <v>41441640</v>
      </c>
      <c r="BG50" s="166">
        <f>'Workplace Smoking Costs'!$V62</f>
        <v>26575730.305068426</v>
      </c>
      <c r="BH50" s="166">
        <f>'Workplace Smoking Costs'!$V181</f>
        <v>25758015.526450947</v>
      </c>
      <c r="BI50" s="166">
        <f>'Workplace Smoking Costs'!$V300</f>
        <v>84837908.281564623</v>
      </c>
      <c r="BJ50" s="166">
        <f t="shared" si="8"/>
        <v>137171654.11308399</v>
      </c>
      <c r="BK50" s="166">
        <f t="shared" si="9"/>
        <v>234007040.4165726</v>
      </c>
      <c r="BL50" s="166">
        <f t="shared" si="10"/>
        <v>212011385.6679076</v>
      </c>
      <c r="BM50" s="166">
        <f t="shared" si="0"/>
        <v>292732404.72362125</v>
      </c>
      <c r="BN50" s="215">
        <f>SUM('Intervention Costs'!$E$53+'Intervention Costs'!$D$53+'Intervention Costs'!$G$53+'Intervention Costs'!$F$53)</f>
        <v>487356.38954534929</v>
      </c>
      <c r="BO50" s="166">
        <f t="shared" si="1"/>
        <v>480.15588886579656</v>
      </c>
      <c r="BP50" s="166">
        <f t="shared" si="2"/>
        <v>435.02330166573017</v>
      </c>
      <c r="BQ50" s="216">
        <f t="shared" si="3"/>
        <v>600.65367152918395</v>
      </c>
    </row>
    <row r="51" spans="2:69">
      <c r="B51" s="210">
        <v>13</v>
      </c>
      <c r="C51" s="211" t="s">
        <v>242</v>
      </c>
      <c r="D51" s="352">
        <f>'Healthcare Expenditures'!$J47</f>
        <v>203958000</v>
      </c>
      <c r="E51" s="352">
        <f>'Healthcare Expenditures'!$K47</f>
        <v>173742000</v>
      </c>
      <c r="F51" s="352">
        <f>'Healthcare Expenditures'!$L47</f>
        <v>327340000</v>
      </c>
      <c r="G51" s="352">
        <f>'Healthcare Expenditures'!$M47</f>
        <v>73953000</v>
      </c>
      <c r="H51" s="352">
        <f>'Healthcare Expenditures'!$N47</f>
        <v>62997000.000000007</v>
      </c>
      <c r="I51" s="352">
        <f>'Healthcare Expenditures'!$O47</f>
        <v>118690000</v>
      </c>
      <c r="J51" s="352">
        <f>'Healthcare Expenditures'!$P47</f>
        <v>116883000</v>
      </c>
      <c r="K51" s="352">
        <f>'Healthcare Expenditures'!$Q47</f>
        <v>99567000.000000015</v>
      </c>
      <c r="L51" s="352">
        <f>'Healthcare Expenditures'!$R47</f>
        <v>187590000</v>
      </c>
      <c r="M51" s="352">
        <f>'Mortality Costs'!$G142</f>
        <v>67381313</v>
      </c>
      <c r="N51" s="352">
        <f>'Mortality Costs'!$H142</f>
        <v>36366011</v>
      </c>
      <c r="O51" s="352">
        <f>'Mortality Costs'!$I142</f>
        <v>111082917</v>
      </c>
      <c r="P51" s="352">
        <f>'Workplace Smoking Costs'!$K63</f>
        <v>76229997.863809526</v>
      </c>
      <c r="Q51" s="352">
        <f>'Workplace Smoking Costs'!$K182</f>
        <v>73884459.46800001</v>
      </c>
      <c r="R51" s="352">
        <f>'Workplace Smoking Costs'!$K301</f>
        <v>243349608.56523812</v>
      </c>
      <c r="S51" s="352">
        <f t="shared" si="4"/>
        <v>393464065.89704764</v>
      </c>
      <c r="T51" s="213">
        <f t="shared" si="5"/>
        <v>664803378.89704764</v>
      </c>
      <c r="U51" s="213">
        <f t="shared" si="6"/>
        <v>603572076.89704764</v>
      </c>
      <c r="V51" s="213">
        <f t="shared" si="7"/>
        <v>831886982.89704764</v>
      </c>
      <c r="W51" s="355">
        <f>'Intervention Impacts'!$C$75</f>
        <v>-1.2411482254697299E-2</v>
      </c>
      <c r="X51" s="212">
        <f>'Healthcare Expenditures'!$Z47</f>
        <v>131204112.84971111</v>
      </c>
      <c r="Y51" s="212">
        <f>'Healthcare Expenditures'!$AA47</f>
        <v>111766466.50160578</v>
      </c>
      <c r="Z51" s="212">
        <f>'Healthcare Expenditures'!$AB47</f>
        <v>210574502.1044746</v>
      </c>
      <c r="AA51" s="212">
        <f>'Healthcare Expenditures'!$AC47</f>
        <v>47573214.865681589</v>
      </c>
      <c r="AB51" s="212">
        <f>'Healthcare Expenditures'!$AD47</f>
        <v>40525331.18187692</v>
      </c>
      <c r="AC51" s="212">
        <f>'Healthcare Expenditures'!$AE47</f>
        <v>76352073.24121736</v>
      </c>
      <c r="AD51" s="212">
        <f>'Healthcare Expenditures'!$AF47</f>
        <v>75189648.467884481</v>
      </c>
      <c r="AE51" s="212">
        <f>'Healthcare Expenditures'!$AG47</f>
        <v>64050441.287457161</v>
      </c>
      <c r="AF51" s="212">
        <f>'Healthcare Expenditures'!$AH47</f>
        <v>120674744.45462942</v>
      </c>
      <c r="AG51" s="212">
        <f>'Mortality Costs'!$K142</f>
        <v>41133087</v>
      </c>
      <c r="AH51" s="212">
        <f>'Mortality Costs'!$L142</f>
        <v>21763160</v>
      </c>
      <c r="AI51" s="212">
        <f>'Mortality Costs'!$M142</f>
        <v>68704412</v>
      </c>
      <c r="AJ51" s="212">
        <f>'Workplace Smoking Costs'!$S63</f>
        <v>49037984.498065785</v>
      </c>
      <c r="AK51" s="212">
        <f>'Workplace Smoking Costs'!$S182</f>
        <v>47529123.436586834</v>
      </c>
      <c r="AL51" s="212">
        <f>'Workplace Smoking Costs'!$S301</f>
        <v>156544335.12844077</v>
      </c>
      <c r="AM51" s="212">
        <f>$AM$50+($AM$50*tblTotalCosts_All[[#This Row],[Relative Reduction in Smoking Prevalence]])</f>
        <v>253111443.06309351</v>
      </c>
      <c r="AN51" s="213">
        <f>tblTotalCosts_All[[#This Row],[Smoking-Attributable Healthcare Cost:
Intervention Scenario
Total]]+tblTotalCosts_All[[#This Row],[Cost of Premature Mortality Associated with Tobacco Use
Intervention Scenario]]+tblTotalCosts_All[[#This Row],[Workplace Costs
Intervention Scenario]]</f>
        <v>425448642.9128046</v>
      </c>
      <c r="AO51"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386641069.56469929</v>
      </c>
      <c r="AP51"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532390357.16756809</v>
      </c>
      <c r="AQ51" s="212">
        <f>tblTotalCosts_Base[Gross Domestic Product (GDP)]</f>
        <v>33921600000</v>
      </c>
      <c r="AR51" s="214">
        <f>tblTotalCosts_All[[#This Row],[Total Economic Cost
(Intervention Scenario)]]/tblTotalCosts_All[[#This Row],[Gross Domestic Product (GDP)]]</f>
        <v>1.2542116023796183E-2</v>
      </c>
      <c r="AS51" s="214">
        <f>tblTotalCosts_All[[#This Row],[Total Economic Cost
(Intervention Scenario) - Lower Bound]]/tblTotalCosts_All[[#This Row],[Gross Domestic Product (GDP)]]</f>
        <v>1.1398078792412484E-2</v>
      </c>
      <c r="AT51" s="214">
        <f>tblTotalCosts_All[[#This Row],[Total Economic Cost
(Intervention Scenario) - Upper Bound]]/tblTotalCosts_All[[#This Row],[Gross Domestic Product (GDP)]]</f>
        <v>1.5694730117906234E-2</v>
      </c>
      <c r="AU51" s="188">
        <f>'Healthcare Expenditures'!$AL47</f>
        <v>72753887.150288895</v>
      </c>
      <c r="AV51" s="188">
        <f>'Healthcare Expenditures'!$AM47</f>
        <v>61975533.498394221</v>
      </c>
      <c r="AW51" s="188">
        <f>'Healthcare Expenditures'!$AN47</f>
        <v>116765497.8955254</v>
      </c>
      <c r="AX51" s="188">
        <f>'Healthcare Expenditures'!$AO47</f>
        <v>26379785.134318411</v>
      </c>
      <c r="AY51" s="188">
        <f>'Healthcare Expenditures'!$AP47</f>
        <v>22471668.818123087</v>
      </c>
      <c r="AZ51" s="188">
        <f>'Healthcare Expenditures'!$AQ47</f>
        <v>42337926.75878264</v>
      </c>
      <c r="BA51" s="188">
        <f>'Healthcare Expenditures'!$AR47</f>
        <v>41693351.532115519</v>
      </c>
      <c r="BB51" s="188">
        <f>'Healthcare Expenditures'!$AS47</f>
        <v>35516558.712542854</v>
      </c>
      <c r="BC51" s="188">
        <f>'Healthcare Expenditures'!$AT47</f>
        <v>66915255.545370579</v>
      </c>
      <c r="BD51" s="166">
        <f>'Mortality Costs'!$N142</f>
        <v>26248226</v>
      </c>
      <c r="BE51" s="166">
        <f>'Mortality Costs'!$O142</f>
        <v>14602851</v>
      </c>
      <c r="BF51" s="166">
        <f>'Mortality Costs'!$P142</f>
        <v>42378504</v>
      </c>
      <c r="BG51" s="166">
        <f>'Workplace Smoking Costs'!$V63</f>
        <v>27192013.365743741</v>
      </c>
      <c r="BH51" s="166">
        <f>'Workplace Smoking Costs'!$V182</f>
        <v>26355336.031413175</v>
      </c>
      <c r="BI51" s="166">
        <f>'Workplace Smoking Costs'!$V301</f>
        <v>86805273.436797351</v>
      </c>
      <c r="BJ51" s="166">
        <f t="shared" si="8"/>
        <v>140352622.83395427</v>
      </c>
      <c r="BK51" s="166">
        <f t="shared" si="9"/>
        <v>239354735.98424315</v>
      </c>
      <c r="BL51" s="166">
        <f t="shared" si="10"/>
        <v>216931007.3323485</v>
      </c>
      <c r="BM51" s="166">
        <f t="shared" si="0"/>
        <v>299496624.72947967</v>
      </c>
      <c r="BN51" s="215">
        <f>SUM('Intervention Costs'!$E$54+'Intervention Costs'!$D$54+'Intervention Costs'!$G$54+'Intervention Costs'!$F$54)</f>
        <v>504727.41104759427</v>
      </c>
      <c r="BO51" s="166">
        <f t="shared" si="1"/>
        <v>474.22575185177078</v>
      </c>
      <c r="BP51" s="166">
        <f t="shared" si="2"/>
        <v>429.79834774991554</v>
      </c>
      <c r="BQ51" s="216">
        <f t="shared" si="3"/>
        <v>593.38291952056875</v>
      </c>
    </row>
    <row r="52" spans="2:69">
      <c r="B52" s="210">
        <v>14</v>
      </c>
      <c r="C52" s="211" t="s">
        <v>242</v>
      </c>
      <c r="D52" s="352">
        <f>'Healthcare Expenditures'!$J48</f>
        <v>203958000</v>
      </c>
      <c r="E52" s="352">
        <f>'Healthcare Expenditures'!$K48</f>
        <v>173742000</v>
      </c>
      <c r="F52" s="352">
        <f>'Healthcare Expenditures'!$L48</f>
        <v>327340000</v>
      </c>
      <c r="G52" s="352">
        <f>'Healthcare Expenditures'!$M48</f>
        <v>73953000</v>
      </c>
      <c r="H52" s="352">
        <f>'Healthcare Expenditures'!$N48</f>
        <v>62997000.000000007</v>
      </c>
      <c r="I52" s="352">
        <f>'Healthcare Expenditures'!$O48</f>
        <v>118690000</v>
      </c>
      <c r="J52" s="352">
        <f>'Healthcare Expenditures'!$P48</f>
        <v>116883000</v>
      </c>
      <c r="K52" s="352">
        <f>'Healthcare Expenditures'!$Q48</f>
        <v>99567000.000000015</v>
      </c>
      <c r="L52" s="352">
        <f>'Healthcare Expenditures'!$R48</f>
        <v>187590000</v>
      </c>
      <c r="M52" s="352">
        <f>'Mortality Costs'!$G143</f>
        <v>67718222</v>
      </c>
      <c r="N52" s="352">
        <f>'Mortality Costs'!$H143</f>
        <v>36547863</v>
      </c>
      <c r="O52" s="352">
        <f>'Mortality Costs'!$I143</f>
        <v>111638347</v>
      </c>
      <c r="P52" s="352">
        <f>'Workplace Smoking Costs'!$K64</f>
        <v>76229997.863809526</v>
      </c>
      <c r="Q52" s="352">
        <f>'Workplace Smoking Costs'!$K183</f>
        <v>73884459.46800001</v>
      </c>
      <c r="R52" s="352">
        <f>'Workplace Smoking Costs'!$K302</f>
        <v>243349608.56523812</v>
      </c>
      <c r="S52" s="352">
        <f t="shared" si="4"/>
        <v>393464065.89704764</v>
      </c>
      <c r="T52" s="213">
        <f t="shared" si="5"/>
        <v>665140287.89704764</v>
      </c>
      <c r="U52" s="213">
        <f t="shared" si="6"/>
        <v>603753928.89704764</v>
      </c>
      <c r="V52" s="213">
        <f t="shared" si="7"/>
        <v>832442412.89704764</v>
      </c>
      <c r="W52" s="355">
        <f>'Intervention Impacts'!$C$76</f>
        <v>-1.2411482254697299E-2</v>
      </c>
      <c r="X52" s="212">
        <f>'Healthcare Expenditures'!$Z48</f>
        <v>129575675.33133361</v>
      </c>
      <c r="Y52" s="212">
        <f>'Healthcare Expenditures'!$AA48</f>
        <v>110379278.98595087</v>
      </c>
      <c r="Z52" s="212">
        <f>'Healthcare Expenditures'!$AB48</f>
        <v>207960960.40831321</v>
      </c>
      <c r="AA52" s="212">
        <f>'Healthcare Expenditures'!$AC48</f>
        <v>46982760.753577277</v>
      </c>
      <c r="AB52" s="212">
        <f>'Healthcare Expenditures'!$AD48</f>
        <v>40022351.753047317</v>
      </c>
      <c r="AC52" s="212">
        <f>'Healthcare Expenditures'!$AE48</f>
        <v>75404430.839074641</v>
      </c>
      <c r="AD52" s="212">
        <f>'Healthcare Expenditures'!$AF48</f>
        <v>74256433.4801884</v>
      </c>
      <c r="AE52" s="212">
        <f>'Healthcare Expenditures'!$AG48</f>
        <v>63255480.372012362</v>
      </c>
      <c r="AF52" s="212">
        <f>'Healthcare Expenditures'!$AH48</f>
        <v>119176992.00524065</v>
      </c>
      <c r="AG52" s="212">
        <f>'Mortality Costs'!$K143</f>
        <v>40703269</v>
      </c>
      <c r="AH52" s="212">
        <f>'Mortality Costs'!$L143</f>
        <v>21656899</v>
      </c>
      <c r="AI52" s="212">
        <f>'Mortality Costs'!$M143</f>
        <v>68011576</v>
      </c>
      <c r="AJ52" s="212">
        <f>'Workplace Smoking Costs'!$S64</f>
        <v>48429350.423661917</v>
      </c>
      <c r="AK52" s="212">
        <f>'Workplace Smoking Costs'!$S183</f>
        <v>46939216.564472325</v>
      </c>
      <c r="AL52" s="212">
        <f>'Workplace Smoking Costs'!$S302</f>
        <v>154601387.89092076</v>
      </c>
      <c r="AM52" s="212">
        <f>$AM$51+($AM$51*tblTotalCosts_All[[#This Row],[Relative Reduction in Smoking Prevalence]])</f>
        <v>249969954.87905511</v>
      </c>
      <c r="AN52" s="213">
        <f>tblTotalCosts_All[[#This Row],[Smoking-Attributable Healthcare Cost:
Intervention Scenario
Total]]+tblTotalCosts_All[[#This Row],[Cost of Premature Mortality Associated with Tobacco Use
Intervention Scenario]]+tblTotalCosts_All[[#This Row],[Workplace Costs
Intervention Scenario]]</f>
        <v>420248899.21038872</v>
      </c>
      <c r="AO52" s="213">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382006132.86500597</v>
      </c>
      <c r="AP52" s="213">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525942491.2873683</v>
      </c>
      <c r="AQ52" s="212">
        <f>tblTotalCosts_Base[Gross Domestic Product (GDP)]</f>
        <v>33921600000</v>
      </c>
      <c r="AR52" s="214">
        <f>tblTotalCosts_All[[#This Row],[Total Economic Cost
(Intervention Scenario)]]/tblTotalCosts_All[[#This Row],[Gross Domestic Product (GDP)]]</f>
        <v>1.2388828923470258E-2</v>
      </c>
      <c r="AS52" s="214">
        <f>tblTotalCosts_All[[#This Row],[Total Economic Cost
(Intervention Scenario) - Lower Bound]]/tblTotalCosts_All[[#This Row],[Gross Domestic Product (GDP)]]</f>
        <v>1.1261442056536425E-2</v>
      </c>
      <c r="AT52" s="214">
        <f>tblTotalCosts_All[[#This Row],[Total Economic Cost
(Intervention Scenario) - Upper Bound]]/tblTotalCosts_All[[#This Row],[Gross Domestic Product (GDP)]]</f>
        <v>1.550464869839183E-2</v>
      </c>
      <c r="AU52" s="188">
        <f>'Healthcare Expenditures'!$AL48</f>
        <v>74382324.668666393</v>
      </c>
      <c r="AV52" s="188">
        <f>'Healthcare Expenditures'!$AM48</f>
        <v>63362721.014049128</v>
      </c>
      <c r="AW52" s="188">
        <f>'Healthcare Expenditures'!$AN48</f>
        <v>119379039.59168679</v>
      </c>
      <c r="AX52" s="188">
        <f>'Healthcare Expenditures'!$AO48</f>
        <v>26970239.246422723</v>
      </c>
      <c r="AY52" s="188">
        <f>'Healthcare Expenditures'!$AP48</f>
        <v>22974648.24695269</v>
      </c>
      <c r="AZ52" s="188">
        <f>'Healthcare Expenditures'!$AQ48</f>
        <v>43285569.160925359</v>
      </c>
      <c r="BA52" s="188">
        <f>'Healthcare Expenditures'!$AR48</f>
        <v>42626566.5198116</v>
      </c>
      <c r="BB52" s="188">
        <f>'Healthcare Expenditures'!$AS48</f>
        <v>36311519.627987653</v>
      </c>
      <c r="BC52" s="188">
        <f>'Healthcare Expenditures'!$AT48</f>
        <v>68413007.994759351</v>
      </c>
      <c r="BD52" s="166">
        <f>'Mortality Costs'!$N143</f>
        <v>27014952</v>
      </c>
      <c r="BE52" s="166">
        <f>'Mortality Costs'!$O143</f>
        <v>14890964</v>
      </c>
      <c r="BF52" s="166">
        <f>'Mortality Costs'!$P143</f>
        <v>43626772</v>
      </c>
      <c r="BG52" s="166">
        <f>'Workplace Smoking Costs'!$V64</f>
        <v>27800647.440147609</v>
      </c>
      <c r="BH52" s="166">
        <f>'Workplace Smoking Costs'!$V183</f>
        <v>26945242.903527685</v>
      </c>
      <c r="BI52" s="166">
        <f>'Workplace Smoking Costs'!$V302</f>
        <v>88748220.67431736</v>
      </c>
      <c r="BJ52" s="166">
        <f t="shared" si="8"/>
        <v>143494111.01799265</v>
      </c>
      <c r="BK52" s="166">
        <f t="shared" si="9"/>
        <v>244891387.68665904</v>
      </c>
      <c r="BL52" s="166">
        <f t="shared" si="10"/>
        <v>221747796.03204179</v>
      </c>
      <c r="BM52" s="166">
        <f t="shared" si="0"/>
        <v>306499922.60967946</v>
      </c>
      <c r="BN52" s="215">
        <f>SUM('Intervention Costs'!$E$55+'Intervention Costs'!$D$55+'Intervention Costs'!$G$55+'Intervention Costs'!$F$55)</f>
        <v>487356.38954534929</v>
      </c>
      <c r="BO52" s="166">
        <f t="shared" si="1"/>
        <v>502.48933417106969</v>
      </c>
      <c r="BP52" s="166">
        <f t="shared" si="2"/>
        <v>455.00131072234109</v>
      </c>
      <c r="BQ52" s="216">
        <f t="shared" si="3"/>
        <v>628.90305571988233</v>
      </c>
    </row>
    <row r="53" spans="2:69">
      <c r="B53" s="217">
        <v>15</v>
      </c>
      <c r="C53" s="180" t="s">
        <v>242</v>
      </c>
      <c r="D53" s="353">
        <f>'Healthcare Expenditures'!$J49</f>
        <v>203958000</v>
      </c>
      <c r="E53" s="353">
        <f>'Healthcare Expenditures'!$K49</f>
        <v>173742000</v>
      </c>
      <c r="F53" s="353">
        <f>'Healthcare Expenditures'!$L49</f>
        <v>327340000</v>
      </c>
      <c r="G53" s="353">
        <f>'Healthcare Expenditures'!$M49</f>
        <v>73953000</v>
      </c>
      <c r="H53" s="353">
        <f>'Healthcare Expenditures'!$N49</f>
        <v>62997000.000000007</v>
      </c>
      <c r="I53" s="353">
        <f>'Healthcare Expenditures'!$O49</f>
        <v>118690000</v>
      </c>
      <c r="J53" s="353">
        <f>'Healthcare Expenditures'!$P49</f>
        <v>116883000</v>
      </c>
      <c r="K53" s="353">
        <f>'Healthcare Expenditures'!$Q49</f>
        <v>99567000.000000015</v>
      </c>
      <c r="L53" s="353">
        <f>'Healthcare Expenditures'!$R49</f>
        <v>187590000</v>
      </c>
      <c r="M53" s="353">
        <f>'Mortality Costs'!$G144</f>
        <v>68056809</v>
      </c>
      <c r="N53" s="353">
        <f>'Mortality Costs'!$H144</f>
        <v>36730607</v>
      </c>
      <c r="O53" s="353">
        <f>'Mortality Costs'!$I144</f>
        <v>112196551</v>
      </c>
      <c r="P53" s="353">
        <f>'Workplace Smoking Costs'!$K65</f>
        <v>76229997.863809526</v>
      </c>
      <c r="Q53" s="353">
        <f>'Workplace Smoking Costs'!$K184</f>
        <v>73884459.46800001</v>
      </c>
      <c r="R53" s="353">
        <f>'Workplace Smoking Costs'!$K303</f>
        <v>243349608.56523812</v>
      </c>
      <c r="S53" s="353">
        <f t="shared" si="4"/>
        <v>393464065.89704764</v>
      </c>
      <c r="T53" s="192">
        <f t="shared" si="5"/>
        <v>665478874.89704764</v>
      </c>
      <c r="U53" s="192">
        <f t="shared" si="6"/>
        <v>603936672.89704764</v>
      </c>
      <c r="V53" s="192">
        <f t="shared" si="7"/>
        <v>833000616.89704764</v>
      </c>
      <c r="W53" s="356">
        <f>'Intervention Impacts'!$C$77</f>
        <v>-1.2411482254697299E-2</v>
      </c>
      <c r="X53" s="181">
        <f>'Healthcare Expenditures'!$Z49</f>
        <v>127967449.13631834</v>
      </c>
      <c r="Y53" s="181">
        <f>'Healthcare Expenditures'!$AA49</f>
        <v>109009308.52353047</v>
      </c>
      <c r="Z53" s="181">
        <f>'Healthcare Expenditures'!$AB49</f>
        <v>205379856.63853562</v>
      </c>
      <c r="AA53" s="181">
        <f>'Healthcare Expenditures'!$AC49</f>
        <v>46399635.052207559</v>
      </c>
      <c r="AB53" s="181">
        <f>'Healthcare Expenditures'!$AD49</f>
        <v>39525615.044473119</v>
      </c>
      <c r="AC53" s="181">
        <f>'Healthcare Expenditures'!$AE49</f>
        <v>74468550.083789915</v>
      </c>
      <c r="AD53" s="181">
        <f>'Healthcare Expenditures'!$AF49</f>
        <v>73334801.073751926</v>
      </c>
      <c r="AE53" s="181">
        <f>'Healthcare Expenditures'!$AG49</f>
        <v>62470386.099862769</v>
      </c>
      <c r="AF53" s="181">
        <f>'Healthcare Expenditures'!$AH49</f>
        <v>117697828.8837994</v>
      </c>
      <c r="AG53" s="181">
        <f>'Mortality Costs'!$K144</f>
        <v>40494055</v>
      </c>
      <c r="AH53" s="181">
        <f>'Mortality Costs'!$L144</f>
        <v>21539168</v>
      </c>
      <c r="AI53" s="181">
        <f>'Mortality Costs'!$M144</f>
        <v>67683420</v>
      </c>
      <c r="AJ53" s="181">
        <f>'Workplace Smoking Costs'!$S65</f>
        <v>47828270.400272124</v>
      </c>
      <c r="AK53" s="181">
        <f>'Workplace Smoking Costs'!$S184</f>
        <v>46356631.311032988</v>
      </c>
      <c r="AL53" s="181">
        <f>'Workplace Smoking Costs'!$S303</f>
        <v>152682555.50856102</v>
      </c>
      <c r="AM53" s="181">
        <f>$AM$52+($AM$52*tblTotalCosts_All[[#This Row],[Relative Reduction in Smoking Prevalence]])</f>
        <v>246867457.21986625</v>
      </c>
      <c r="AN53" s="192">
        <f>tblTotalCosts_All[[#This Row],[Smoking-Attributable Healthcare Cost:
Intervention Scenario
Total]]+tblTotalCosts_All[[#This Row],[Cost of Premature Mortality Associated with Tobacco Use
Intervention Scenario]]+tblTotalCosts_All[[#This Row],[Workplace Costs
Intervention Scenario]]</f>
        <v>415328961.3561846</v>
      </c>
      <c r="AO53" s="192">
        <f>tblTotalCosts_All[[#This Row],[Smoking-Attributable Healthcare Cost:
Intervention Scenario
Total (Lower Bound)]]+tblTotalCosts_All[[#This Row],[Cost of Premature Mortality Associated with Tobacco Use
Intervention Scenario (Lower Bound)]]+tblTotalCosts_All[[#This Row],[Workplace Costs
Intervention Scenario]]</f>
        <v>377415933.7433967</v>
      </c>
      <c r="AP53" s="192">
        <f>tblTotalCosts_All[[#This Row],[Smoking-Attributable Healthcare Cost:
Intervention Scenario
Total (Upper Bound)]]+tblTotalCosts_All[[#This Row],[Cost of Premature Mortality Associated with Tobacco Use
Intervention Scenario (Upper Bound)]]+tblTotalCosts_All[[#This Row],[Workplace Costs
Intervention Scenario]]</f>
        <v>519930733.85840189</v>
      </c>
      <c r="AQ53" s="181">
        <f>tblTotalCosts_Base[Gross Domestic Product (GDP)]</f>
        <v>33921600000</v>
      </c>
      <c r="AR53" s="194">
        <f>tblTotalCosts_All[[#This Row],[Total Economic Cost
(Intervention Scenario)]]/tblTotalCosts_All[[#This Row],[Gross Domestic Product (GDP)]]</f>
        <v>1.2243790427225856E-2</v>
      </c>
      <c r="AS53" s="194">
        <f>tblTotalCosts_All[[#This Row],[Total Economic Cost
(Intervention Scenario) - Lower Bound]]/tblTotalCosts_All[[#This Row],[Gross Domestic Product (GDP)]]</f>
        <v>1.1126124172898587E-2</v>
      </c>
      <c r="AT53" s="194">
        <f>tblTotalCosts_All[[#This Row],[Total Economic Cost
(Intervention Scenario) - Upper Bound]]/tblTotalCosts_All[[#This Row],[Gross Domestic Product (GDP)]]</f>
        <v>1.5327423643295184E-2</v>
      </c>
      <c r="AU53" s="189">
        <f>'Healthcare Expenditures'!$AL49</f>
        <v>75990550.863681659</v>
      </c>
      <c r="AV53" s="189">
        <f>'Healthcare Expenditures'!$AM49</f>
        <v>64732691.476469532</v>
      </c>
      <c r="AW53" s="189">
        <f>'Healthcare Expenditures'!$AN49</f>
        <v>121960143.36146438</v>
      </c>
      <c r="AX53" s="189">
        <f>'Healthcare Expenditures'!$AO49</f>
        <v>27553364.947792441</v>
      </c>
      <c r="AY53" s="189">
        <f>'Healthcare Expenditures'!$AP49</f>
        <v>23471384.955526888</v>
      </c>
      <c r="AZ53" s="189">
        <f>'Healthcare Expenditures'!$AQ49</f>
        <v>44221449.916210085</v>
      </c>
      <c r="BA53" s="189">
        <f>'Healthcare Expenditures'!$AR49</f>
        <v>43548198.926248074</v>
      </c>
      <c r="BB53" s="189">
        <f>'Healthcare Expenditures'!$AS49</f>
        <v>37096613.900137246</v>
      </c>
      <c r="BC53" s="189">
        <f>'Healthcare Expenditures'!$AT49</f>
        <v>69892171.116200596</v>
      </c>
      <c r="BD53" s="190">
        <f>'Mortality Costs'!$N144</f>
        <v>27562754</v>
      </c>
      <c r="BE53" s="190">
        <f>'Mortality Costs'!$O144</f>
        <v>15191439</v>
      </c>
      <c r="BF53" s="190">
        <f>'Mortality Costs'!$P144</f>
        <v>44513132</v>
      </c>
      <c r="BG53" s="190">
        <f>'Workplace Smoking Costs'!$V65</f>
        <v>28401727.463537402</v>
      </c>
      <c r="BH53" s="190">
        <f>'Workplace Smoking Costs'!$V184</f>
        <v>27527828.156967022</v>
      </c>
      <c r="BI53" s="190">
        <f>'Workplace Smoking Costs'!$V303</f>
        <v>90667053.056677103</v>
      </c>
      <c r="BJ53" s="190">
        <f t="shared" si="8"/>
        <v>146596608.67718154</v>
      </c>
      <c r="BK53" s="190">
        <f t="shared" si="9"/>
        <v>250149913.54086322</v>
      </c>
      <c r="BL53" s="190">
        <f t="shared" si="10"/>
        <v>226520739.15365106</v>
      </c>
      <c r="BM53" s="190">
        <f t="shared" si="0"/>
        <v>313069884.03864592</v>
      </c>
      <c r="BN53" s="197">
        <f>SUM('Intervention Costs'!$E$56+'Intervention Costs'!$D$56+'Intervention Costs'!$G$56+'Intervention Costs'!$F$56)</f>
        <v>487356.38954534929</v>
      </c>
      <c r="BO53" s="190">
        <f t="shared" si="1"/>
        <v>513.2792324200899</v>
      </c>
      <c r="BP53" s="190">
        <f t="shared" si="2"/>
        <v>464.79484831412668</v>
      </c>
      <c r="BQ53" s="218">
        <f t="shared" si="3"/>
        <v>642.38387093007282</v>
      </c>
    </row>
    <row r="54" spans="2:69">
      <c r="B54" s="210" t="s">
        <v>200</v>
      </c>
      <c r="C54" s="211" t="s">
        <v>242</v>
      </c>
      <c r="D54" s="352">
        <f>SUM(D$39:D$43)</f>
        <v>1019790000</v>
      </c>
      <c r="E54" s="352">
        <f t="shared" ref="E54:L54" si="11">SUM(E$39:E$43)</f>
        <v>868710000</v>
      </c>
      <c r="F54" s="352">
        <f t="shared" si="11"/>
        <v>1636700000</v>
      </c>
      <c r="G54" s="352">
        <f t="shared" si="11"/>
        <v>369765000</v>
      </c>
      <c r="H54" s="352">
        <f t="shared" si="11"/>
        <v>314985000.00000006</v>
      </c>
      <c r="I54" s="352">
        <f t="shared" si="11"/>
        <v>593450000</v>
      </c>
      <c r="J54" s="352">
        <f t="shared" si="11"/>
        <v>584415000</v>
      </c>
      <c r="K54" s="352">
        <f t="shared" si="11"/>
        <v>497835000.00000006</v>
      </c>
      <c r="L54" s="352">
        <f t="shared" si="11"/>
        <v>937950000</v>
      </c>
      <c r="M54" s="352">
        <f>SUM(M$39:M$43)</f>
        <v>320523302</v>
      </c>
      <c r="N54" s="352">
        <f t="shared" ref="N54:S54" si="12">SUM(N$39:N$43)</f>
        <v>172988000</v>
      </c>
      <c r="O54" s="352">
        <f t="shared" si="12"/>
        <v>528405685</v>
      </c>
      <c r="P54" s="352">
        <f t="shared" si="12"/>
        <v>381149989.31904763</v>
      </c>
      <c r="Q54" s="352">
        <f t="shared" si="12"/>
        <v>369422297.34000003</v>
      </c>
      <c r="R54" s="352">
        <f t="shared" si="12"/>
        <v>1216748042.8261905</v>
      </c>
      <c r="S54" s="352">
        <f t="shared" si="12"/>
        <v>1967320329.4852381</v>
      </c>
      <c r="T54" s="213">
        <f t="shared" ref="T54:V54" si="13">SUM(T$39:T$43)</f>
        <v>3307633631.4852381</v>
      </c>
      <c r="U54" s="213">
        <f t="shared" si="13"/>
        <v>3009018329.4852381</v>
      </c>
      <c r="V54" s="213">
        <f t="shared" si="13"/>
        <v>4132426014.4852381</v>
      </c>
      <c r="W54" s="355">
        <f>SUM($W$39:$W$43)</f>
        <v>-0.3298622129436326</v>
      </c>
      <c r="X54" s="212">
        <f>SUM($X$39:$X$43)</f>
        <v>834854345.40263081</v>
      </c>
      <c r="Y54" s="212">
        <f>SUM($Y$39:$Y$43)</f>
        <v>711172220.15779674</v>
      </c>
      <c r="Z54" s="212">
        <f>SUM($Z$39:$Z$43)</f>
        <v>1339889690.1523705</v>
      </c>
      <c r="AA54" s="212">
        <f>SUM($AA$39:$AA$43)</f>
        <v>302709299.98117632</v>
      </c>
      <c r="AB54" s="212">
        <f>SUM($AB$39:$AB$43)</f>
        <v>257863477.7617428</v>
      </c>
      <c r="AC54" s="212">
        <f>SUM($AC$39:$AC$43)</f>
        <v>485829740.71052992</v>
      </c>
      <c r="AD54" s="212">
        <f>SUM(AD$39:AD$43)</f>
        <v>478433209.06115818</v>
      </c>
      <c r="AE54" s="212">
        <f t="shared" ref="AE54:AF54" si="14">SUM(AE$39:AE$43)</f>
        <v>407554215.12617183</v>
      </c>
      <c r="AF54" s="212">
        <f t="shared" si="14"/>
        <v>767855767.62901938</v>
      </c>
      <c r="AG54" s="212">
        <f>SUM(AG$39:AG$43)</f>
        <v>250555584</v>
      </c>
      <c r="AH54" s="212">
        <f t="shared" ref="AH54:AP54" si="15">SUM(AH$39:AH$43)</f>
        <v>133108091</v>
      </c>
      <c r="AI54" s="212">
        <f t="shared" si="15"/>
        <v>417513550</v>
      </c>
      <c r="AJ54" s="212">
        <f t="shared" si="15"/>
        <v>312029657.90326756</v>
      </c>
      <c r="AK54" s="212">
        <f t="shared" si="15"/>
        <v>302428745.3523978</v>
      </c>
      <c r="AL54" s="212">
        <f t="shared" si="15"/>
        <v>996094677.15273881</v>
      </c>
      <c r="AM54" s="212">
        <f t="shared" si="15"/>
        <v>1610553080.4084044</v>
      </c>
      <c r="AN54" s="213">
        <f t="shared" si="15"/>
        <v>2695963009.8110352</v>
      </c>
      <c r="AO54" s="213">
        <f t="shared" si="15"/>
        <v>2454833391.5662012</v>
      </c>
      <c r="AP54" s="213">
        <f t="shared" si="15"/>
        <v>3367956320.5607748</v>
      </c>
      <c r="AQ54" s="212">
        <f>SUM($AQ$39:$AQ$43)</f>
        <v>169608000000</v>
      </c>
      <c r="AR54" s="214">
        <f>tblTotalCosts_All[[#This Row],[Total Economic Cost
(Intervention Scenario)]]/tblTotalCosts_All[[#This Row],[Gross Domestic Product (GDP)]]</f>
        <v>1.5895258536219016E-2</v>
      </c>
      <c r="AS54" s="214">
        <f>tblTotalCosts_All[[#This Row],[Total Economic Cost
(Intervention Scenario) - Lower Bound]]/tblTotalCosts_All[[#This Row],[Gross Domestic Product (GDP)]]</f>
        <v>1.447357077240579E-2</v>
      </c>
      <c r="AT54" s="214">
        <f>tblTotalCosts_All[[#This Row],[Total Economic Cost
(Intervention Scenario) - Upper Bound]]/tblTotalCosts_All[[#This Row],[Gross Domestic Product (GDP)]]</f>
        <v>1.9857296357251867E-2</v>
      </c>
      <c r="AU54" s="188">
        <f>SUM(AU$39:AU$43)</f>
        <v>184935654.59736916</v>
      </c>
      <c r="AV54" s="188">
        <f t="shared" ref="AV54:BF54" si="16">SUM(AV$39:AV$43)</f>
        <v>157537779.84220329</v>
      </c>
      <c r="AW54" s="188">
        <f t="shared" si="16"/>
        <v>296810309.84762943</v>
      </c>
      <c r="AX54" s="188">
        <f t="shared" si="16"/>
        <v>67055700.018823676</v>
      </c>
      <c r="AY54" s="188">
        <f t="shared" si="16"/>
        <v>57121522.238257222</v>
      </c>
      <c r="AZ54" s="188">
        <f t="shared" si="16"/>
        <v>107620259.28947009</v>
      </c>
      <c r="BA54" s="188">
        <f t="shared" si="16"/>
        <v>105981790.93884182</v>
      </c>
      <c r="BB54" s="188">
        <f t="shared" si="16"/>
        <v>90280784.873828232</v>
      </c>
      <c r="BC54" s="188">
        <f t="shared" si="16"/>
        <v>170094232.37098062</v>
      </c>
      <c r="BD54" s="188">
        <f t="shared" si="16"/>
        <v>69967719</v>
      </c>
      <c r="BE54" s="188">
        <f t="shared" si="16"/>
        <v>39879909</v>
      </c>
      <c r="BF54" s="188">
        <f t="shared" si="16"/>
        <v>110892135</v>
      </c>
      <c r="BG54" s="188">
        <f>SUM($BG$39:$BG$43)</f>
        <v>69120331.415780038</v>
      </c>
      <c r="BH54" s="188">
        <f>SUM($BH$39:$BH$43)</f>
        <v>66993551.987602219</v>
      </c>
      <c r="BI54" s="188">
        <f>SUM($BI$39:$BI$43)</f>
        <v>220653365.67345169</v>
      </c>
      <c r="BJ54" s="188">
        <f>SUM($BJ$39:$BJ$43)</f>
        <v>356767249.07683396</v>
      </c>
      <c r="BK54" s="188">
        <f>SUM($BK$39:$BK$43)</f>
        <v>611670622.67420316</v>
      </c>
      <c r="BL54" s="188">
        <f t="shared" si="10"/>
        <v>554184937.91903722</v>
      </c>
      <c r="BM54" s="188">
        <f>AW54+BF54+BJ54</f>
        <v>764469693.92446339</v>
      </c>
      <c r="BN54" s="215">
        <f>SUM($BN$39:$BN$43)</f>
        <v>4748445.9023322966</v>
      </c>
      <c r="BO54" s="166">
        <f t="shared" si="1"/>
        <v>128.8149081310516</v>
      </c>
      <c r="BP54" s="166">
        <f t="shared" si="2"/>
        <v>116.70869781770872</v>
      </c>
      <c r="BQ54" s="216">
        <f t="shared" si="3"/>
        <v>160.99366185239225</v>
      </c>
    </row>
    <row r="55" spans="2:69">
      <c r="B55" s="210" t="s">
        <v>329</v>
      </c>
      <c r="C55" s="211" t="s">
        <v>242</v>
      </c>
      <c r="D55" s="352">
        <f>SUM(D$44:D$53)</f>
        <v>2039580000</v>
      </c>
      <c r="E55" s="352">
        <f t="shared" ref="E55:L55" si="17">SUM(E$44:E$53)</f>
        <v>1737420000</v>
      </c>
      <c r="F55" s="352">
        <f t="shared" si="17"/>
        <v>3273400000</v>
      </c>
      <c r="G55" s="352">
        <f t="shared" si="17"/>
        <v>739530000</v>
      </c>
      <c r="H55" s="352">
        <f t="shared" si="17"/>
        <v>629970000.00000012</v>
      </c>
      <c r="I55" s="352">
        <f t="shared" si="17"/>
        <v>1186900000</v>
      </c>
      <c r="J55" s="352">
        <f t="shared" si="17"/>
        <v>1168830000</v>
      </c>
      <c r="K55" s="352">
        <f t="shared" si="17"/>
        <v>995670000.00000012</v>
      </c>
      <c r="L55" s="352">
        <f t="shared" si="17"/>
        <v>1875900000</v>
      </c>
      <c r="M55" s="352">
        <f>SUM(M$44:M$53)</f>
        <v>665531729</v>
      </c>
      <c r="N55" s="352">
        <f t="shared" ref="N55:S55" si="18">SUM(N$44:N$53)</f>
        <v>359190744</v>
      </c>
      <c r="O55" s="352">
        <f t="shared" si="18"/>
        <v>1097176965</v>
      </c>
      <c r="P55" s="352">
        <f t="shared" si="18"/>
        <v>762299978.63809538</v>
      </c>
      <c r="Q55" s="352">
        <f t="shared" si="18"/>
        <v>738844594.68000019</v>
      </c>
      <c r="R55" s="352">
        <f t="shared" si="18"/>
        <v>2433496085.6523805</v>
      </c>
      <c r="S55" s="352">
        <f t="shared" si="18"/>
        <v>3934640658.9704757</v>
      </c>
      <c r="T55" s="213">
        <f t="shared" ref="T55:V55" si="19">SUM(T$44:T$53)</f>
        <v>6639752387.9704771</v>
      </c>
      <c r="U55" s="213">
        <f t="shared" si="19"/>
        <v>6031251402.9704771</v>
      </c>
      <c r="V55" s="213">
        <f t="shared" si="19"/>
        <v>8305217623.9704781</v>
      </c>
      <c r="W55" s="355">
        <f>SUM($W$44:$W$48)</f>
        <v>-6.2057411273486497E-2</v>
      </c>
      <c r="X55" s="212">
        <f>SUM($X$44:$X$53)</f>
        <v>1354524182.9247944</v>
      </c>
      <c r="Y55" s="212">
        <f>SUM($Y$44:$Y$53)</f>
        <v>1153853933.6026027</v>
      </c>
      <c r="Z55" s="212">
        <f>SUM($Z$44:$Z$53)</f>
        <v>2173927700.9904108</v>
      </c>
      <c r="AA55" s="212">
        <f>SUM($AA$44:$AA$53)</f>
        <v>491136052.02952242</v>
      </c>
      <c r="AB55" s="212">
        <f>SUM($AB$44:$AB$53)</f>
        <v>418375155.43255609</v>
      </c>
      <c r="AC55" s="212">
        <f>SUM($AC$44:$AC$53)</f>
        <v>788243046.46713483</v>
      </c>
      <c r="AD55" s="212">
        <f>SUM(AD$44:AD$53)</f>
        <v>776242413.01051569</v>
      </c>
      <c r="AE55" s="212">
        <f t="shared" ref="AE55:AF55" si="20">SUM(AE$44:AE$53)</f>
        <v>661243537.00895786</v>
      </c>
      <c r="AF55" s="212">
        <f t="shared" si="20"/>
        <v>1245821156.6835437</v>
      </c>
      <c r="AG55" s="212">
        <f>SUM(AG$44:AG$53)</f>
        <v>420630912</v>
      </c>
      <c r="AH55" s="212">
        <f t="shared" ref="AH55:AP55" si="21">SUM(AH$44:AH$53)</f>
        <v>223419453</v>
      </c>
      <c r="AI55" s="212">
        <f t="shared" si="21"/>
        <v>701289544</v>
      </c>
      <c r="AJ55" s="212">
        <f t="shared" si="21"/>
        <v>506258031.41252327</v>
      </c>
      <c r="AK55" s="212">
        <f t="shared" si="21"/>
        <v>490680861.21521491</v>
      </c>
      <c r="AL55" s="212">
        <f t="shared" si="21"/>
        <v>1616131407.9707475</v>
      </c>
      <c r="AM55" s="212">
        <f t="shared" si="21"/>
        <v>2613070300.5984864</v>
      </c>
      <c r="AN55" s="213">
        <f t="shared" si="21"/>
        <v>4388225395.5232811</v>
      </c>
      <c r="AO55" s="213">
        <f t="shared" si="21"/>
        <v>3990343687.2010894</v>
      </c>
      <c r="AP55" s="213">
        <f t="shared" si="21"/>
        <v>5488287545.5888977</v>
      </c>
      <c r="AQ55" s="212">
        <f>SUM($AQ$44:$AQ$53)</f>
        <v>339216000000</v>
      </c>
      <c r="AR55" s="214">
        <f>tblTotalCosts_All[[#This Row],[Total Economic Cost
(Intervention Scenario)]]/tblTotalCosts_All[[#This Row],[Gross Domestic Product (GDP)]]</f>
        <v>1.2936375039866284E-2</v>
      </c>
      <c r="AS55" s="214">
        <f>tblTotalCosts_All[[#This Row],[Total Economic Cost
(Intervention Scenario) - Lower Bound]]/tblTotalCosts_All[[#This Row],[Gross Domestic Product (GDP)]]</f>
        <v>1.176343004811415E-2</v>
      </c>
      <c r="AT55" s="214">
        <f>tblTotalCosts_All[[#This Row],[Total Economic Cost
(Intervention Scenario) - Upper Bound]]/tblTotalCosts_All[[#This Row],[Gross Domestic Product (GDP)]]</f>
        <v>1.6179329824032172E-2</v>
      </c>
      <c r="AU55" s="166">
        <f>SUM(AU$44:AU$53)</f>
        <v>685055817.07520556</v>
      </c>
      <c r="AV55" s="166">
        <f t="shared" ref="AV55:BF55" si="22">SUM(AV$44:AV$53)</f>
        <v>583566066.39739716</v>
      </c>
      <c r="AW55" s="166">
        <f t="shared" si="22"/>
        <v>1099472299.0095892</v>
      </c>
      <c r="AX55" s="166">
        <f t="shared" si="22"/>
        <v>248393947.97047761</v>
      </c>
      <c r="AY55" s="166">
        <f t="shared" si="22"/>
        <v>211594844.56744394</v>
      </c>
      <c r="AZ55" s="166">
        <f t="shared" si="22"/>
        <v>398656953.53286529</v>
      </c>
      <c r="BA55" s="166">
        <f t="shared" si="22"/>
        <v>392587586.98948443</v>
      </c>
      <c r="BB55" s="166">
        <f t="shared" si="22"/>
        <v>334426462.99104232</v>
      </c>
      <c r="BC55" s="166">
        <f t="shared" si="22"/>
        <v>630078843.3164562</v>
      </c>
      <c r="BD55" s="166">
        <f t="shared" si="22"/>
        <v>244900814</v>
      </c>
      <c r="BE55" s="166">
        <f t="shared" si="22"/>
        <v>135771291</v>
      </c>
      <c r="BF55" s="166">
        <f t="shared" si="22"/>
        <v>395887420</v>
      </c>
      <c r="BG55" s="166">
        <f>SUM($BG$44:$BG$53)</f>
        <v>256041947.22557196</v>
      </c>
      <c r="BH55" s="166">
        <f>SUM($BH$44:$BH$53)</f>
        <v>248163733.46478516</v>
      </c>
      <c r="BI55" s="166">
        <f>SUM($BI$44:$BI$53)</f>
        <v>817364677.68163371</v>
      </c>
      <c r="BJ55" s="166">
        <f>SUM($BJ$44:$BJ$53)</f>
        <v>1321570358.3719909</v>
      </c>
      <c r="BK55" s="166">
        <f>SUM($BK$44:$BK$53)</f>
        <v>2251526989.4471965</v>
      </c>
      <c r="BL55" s="166">
        <f t="shared" si="10"/>
        <v>2040907715.7693882</v>
      </c>
      <c r="BM55" s="166">
        <f t="shared" si="0"/>
        <v>2816930077.3815804</v>
      </c>
      <c r="BN55" s="215">
        <f>SUM($BN$44:$BN$53)</f>
        <v>5273707.05598957</v>
      </c>
      <c r="BO55" s="166">
        <f t="shared" si="1"/>
        <v>426.93440601522281</v>
      </c>
      <c r="BP55" s="166">
        <f t="shared" si="2"/>
        <v>386.99679259799683</v>
      </c>
      <c r="BQ55" s="216">
        <f t="shared" si="3"/>
        <v>534.14610395969476</v>
      </c>
    </row>
    <row r="56" spans="2:69">
      <c r="B56" s="217" t="s">
        <v>330</v>
      </c>
      <c r="C56" s="180" t="s">
        <v>242</v>
      </c>
      <c r="D56" s="353">
        <f>SUM(D$39:D$53)</f>
        <v>3059370000</v>
      </c>
      <c r="E56" s="353">
        <f t="shared" ref="E56:L56" si="23">SUM(E$39:E$53)</f>
        <v>2606130000</v>
      </c>
      <c r="F56" s="353">
        <f t="shared" si="23"/>
        <v>4910100000</v>
      </c>
      <c r="G56" s="353">
        <f t="shared" si="23"/>
        <v>1109295000</v>
      </c>
      <c r="H56" s="353">
        <f t="shared" si="23"/>
        <v>944955000.00000012</v>
      </c>
      <c r="I56" s="353">
        <f t="shared" si="23"/>
        <v>1780350000</v>
      </c>
      <c r="J56" s="353">
        <f t="shared" si="23"/>
        <v>1753245000</v>
      </c>
      <c r="K56" s="353">
        <f t="shared" si="23"/>
        <v>1493505000.0000002</v>
      </c>
      <c r="L56" s="353">
        <f t="shared" si="23"/>
        <v>2813850000</v>
      </c>
      <c r="M56" s="353">
        <f>SUM(M$39:M$53)</f>
        <v>986055031</v>
      </c>
      <c r="N56" s="353">
        <f t="shared" ref="N56:S56" si="24">SUM(N$39:N$53)</f>
        <v>532178744</v>
      </c>
      <c r="O56" s="353">
        <f t="shared" si="24"/>
        <v>1625582650</v>
      </c>
      <c r="P56" s="353">
        <f t="shared" si="24"/>
        <v>1143449967.9571433</v>
      </c>
      <c r="Q56" s="353">
        <f t="shared" si="24"/>
        <v>1108266892.0200005</v>
      </c>
      <c r="R56" s="353">
        <f t="shared" si="24"/>
        <v>3650244128.4785705</v>
      </c>
      <c r="S56" s="353">
        <f t="shared" si="24"/>
        <v>5901960988.4557152</v>
      </c>
      <c r="T56" s="192">
        <f t="shared" ref="T56:V56" si="25">SUM(T$39:T$53)</f>
        <v>9947386019.4557152</v>
      </c>
      <c r="U56" s="192">
        <f t="shared" si="25"/>
        <v>9040269732.4557171</v>
      </c>
      <c r="V56" s="192">
        <f t="shared" si="25"/>
        <v>12437643638.455713</v>
      </c>
      <c r="W56" s="356">
        <f>SUM($W$39:$W$53)</f>
        <v>-0.45397703549060553</v>
      </c>
      <c r="X56" s="181">
        <f>SUM($X$39:$X$53)</f>
        <v>2189378528.3274255</v>
      </c>
      <c r="Y56" s="181">
        <f>SUM($Y$39:$Y$53)</f>
        <v>1865026153.7603996</v>
      </c>
      <c r="Z56" s="181">
        <f>SUM($Z$39:$Z$53)</f>
        <v>3513817391.1427813</v>
      </c>
      <c r="AA56" s="181">
        <f>SUM($AA$39:$AA$53)</f>
        <v>793845352.01069868</v>
      </c>
      <c r="AB56" s="181">
        <f>SUM($AB$39:$AB$53)</f>
        <v>676238633.19429898</v>
      </c>
      <c r="AC56" s="181">
        <f>SUM($AC$39:$AC$53)</f>
        <v>1274072787.1776643</v>
      </c>
      <c r="AD56" s="181">
        <f>SUM(AD$39:AD$53)</f>
        <v>1254675622.0716739</v>
      </c>
      <c r="AE56" s="181">
        <f t="shared" ref="AE56:AF56" si="26">SUM(AE$39:AE$53)</f>
        <v>1068797752.1351297</v>
      </c>
      <c r="AF56" s="181">
        <f t="shared" si="26"/>
        <v>2013676924.3125629</v>
      </c>
      <c r="AG56" s="181">
        <f>SUM(AG$39:AG$53)</f>
        <v>671186496</v>
      </c>
      <c r="AH56" s="181">
        <f t="shared" ref="AH56:AI56" si="27">SUM(AH$39:AH$53)</f>
        <v>356527544</v>
      </c>
      <c r="AI56" s="181">
        <f t="shared" si="27"/>
        <v>1118803094</v>
      </c>
      <c r="AJ56" s="181">
        <f t="shared" ref="AJ56:AP56" si="28">SUM(AJ$39:AJ$53)</f>
        <v>818287689.31579089</v>
      </c>
      <c r="AK56" s="181">
        <f t="shared" si="28"/>
        <v>793109606.56761265</v>
      </c>
      <c r="AL56" s="181">
        <f t="shared" si="28"/>
        <v>2612226085.1234865</v>
      </c>
      <c r="AM56" s="181">
        <f t="shared" si="28"/>
        <v>4223623381.0068908</v>
      </c>
      <c r="AN56" s="192">
        <f t="shared" si="28"/>
        <v>7084188405.3343163</v>
      </c>
      <c r="AO56" s="192">
        <f t="shared" si="28"/>
        <v>6445177078.7672901</v>
      </c>
      <c r="AP56" s="192">
        <f t="shared" si="28"/>
        <v>8856243866.1496716</v>
      </c>
      <c r="AQ56" s="181">
        <f>SUM($AQ$39:$AQ$53)</f>
        <v>508824000000</v>
      </c>
      <c r="AR56" s="194">
        <f>tblTotalCosts_All[[#This Row],[Total Economic Cost
(Intervention Scenario)]]/tblTotalCosts_All[[#This Row],[Gross Domestic Product (GDP)]]</f>
        <v>1.3922669538650527E-2</v>
      </c>
      <c r="AS56" s="194">
        <f>tblTotalCosts_All[[#This Row],[Total Economic Cost
(Intervention Scenario) - Lower Bound]]/tblTotalCosts_All[[#This Row],[Gross Domestic Product (GDP)]]</f>
        <v>1.2666810289544696E-2</v>
      </c>
      <c r="AT56" s="194">
        <f>tblTotalCosts_All[[#This Row],[Total Economic Cost
(Intervention Scenario) - Upper Bound]]/tblTotalCosts_All[[#This Row],[Gross Domestic Product (GDP)]]</f>
        <v>1.7405318668438738E-2</v>
      </c>
      <c r="AU56" s="190">
        <f>SUM(AU$39:AU$53)</f>
        <v>869991471.67257464</v>
      </c>
      <c r="AV56" s="190">
        <f t="shared" ref="AV56:BF56" si="29">SUM(AV$39:AV$53)</f>
        <v>741103846.23960042</v>
      </c>
      <c r="AW56" s="190">
        <f t="shared" si="29"/>
        <v>1396282608.8572183</v>
      </c>
      <c r="AX56" s="190">
        <f t="shared" si="29"/>
        <v>315449647.98930132</v>
      </c>
      <c r="AY56" s="190">
        <f t="shared" si="29"/>
        <v>268716366.80570114</v>
      </c>
      <c r="AZ56" s="190">
        <f t="shared" si="29"/>
        <v>506277212.82233524</v>
      </c>
      <c r="BA56" s="190">
        <f t="shared" si="29"/>
        <v>498569377.92832625</v>
      </c>
      <c r="BB56" s="190">
        <f t="shared" si="29"/>
        <v>424707247.86487049</v>
      </c>
      <c r="BC56" s="190">
        <f t="shared" si="29"/>
        <v>800173075.68743682</v>
      </c>
      <c r="BD56" s="190">
        <f t="shared" si="29"/>
        <v>314868533</v>
      </c>
      <c r="BE56" s="190">
        <f t="shared" si="29"/>
        <v>175651200</v>
      </c>
      <c r="BF56" s="190">
        <f t="shared" si="29"/>
        <v>506779555</v>
      </c>
      <c r="BG56" s="190">
        <f>SUM($BG$39:$BG$53)</f>
        <v>325162278.641352</v>
      </c>
      <c r="BH56" s="190">
        <f>SUM($BH$39:$BH$53)</f>
        <v>315157285.45238745</v>
      </c>
      <c r="BI56" s="190">
        <f>SUM($BI$39:$BI$53)</f>
        <v>1038018043.3550855</v>
      </c>
      <c r="BJ56" s="190">
        <f>SUM($BJ$39:$BJ$53)</f>
        <v>1678337607.4488249</v>
      </c>
      <c r="BK56" s="190">
        <f>SUM($BK$39:$BK$53)</f>
        <v>2863197612.1213989</v>
      </c>
      <c r="BL56" s="190">
        <f t="shared" si="10"/>
        <v>2595092653.6884251</v>
      </c>
      <c r="BM56" s="190">
        <f t="shared" si="0"/>
        <v>3581399771.3060431</v>
      </c>
      <c r="BN56" s="197">
        <f>SUM($BN$39:$BN$53)</f>
        <v>10022152.958321868</v>
      </c>
      <c r="BO56" s="190">
        <f t="shared" si="1"/>
        <v>285.68688025699612</v>
      </c>
      <c r="BP56" s="190">
        <f t="shared" si="2"/>
        <v>258.93564631076566</v>
      </c>
      <c r="BQ56" s="218">
        <f t="shared" si="3"/>
        <v>357.34834483165992</v>
      </c>
    </row>
    <row r="59" spans="2:69" ht="21">
      <c r="B59" s="199" t="s">
        <v>359</v>
      </c>
    </row>
    <row r="62" spans="2:69" ht="104.1" customHeight="1">
      <c r="B62" s="4" t="s">
        <v>0</v>
      </c>
      <c r="C62" s="4" t="s">
        <v>120</v>
      </c>
      <c r="D62" s="4" t="s">
        <v>698</v>
      </c>
      <c r="E62" s="4" t="s">
        <v>699</v>
      </c>
      <c r="F62" s="4" t="s">
        <v>700</v>
      </c>
      <c r="G62" s="358" t="s">
        <v>720</v>
      </c>
      <c r="H62" s="358" t="s">
        <v>721</v>
      </c>
      <c r="I62" s="358" t="s">
        <v>722</v>
      </c>
      <c r="J62" s="358" t="s">
        <v>723</v>
      </c>
      <c r="K62" s="358" t="s">
        <v>724</v>
      </c>
      <c r="L62" s="358" t="s">
        <v>725</v>
      </c>
      <c r="M62" s="358" t="s">
        <v>704</v>
      </c>
      <c r="N62" s="358" t="s">
        <v>705</v>
      </c>
      <c r="O62" s="358" t="s">
        <v>706</v>
      </c>
      <c r="P62" s="363" t="s">
        <v>711</v>
      </c>
      <c r="Q62" s="358" t="s">
        <v>712</v>
      </c>
      <c r="R62" s="358" t="s">
        <v>713</v>
      </c>
      <c r="S62" s="358" t="s">
        <v>714</v>
      </c>
      <c r="T62" s="359" t="s">
        <v>715</v>
      </c>
      <c r="U62" s="359" t="s">
        <v>716</v>
      </c>
      <c r="V62" s="359" t="s">
        <v>717</v>
      </c>
      <c r="W62" s="357" t="s">
        <v>332</v>
      </c>
      <c r="X62" s="358" t="s">
        <v>472</v>
      </c>
      <c r="Y62" s="358" t="s">
        <v>473</v>
      </c>
      <c r="Z62" s="358" t="s">
        <v>476</v>
      </c>
      <c r="AA62" s="4" t="s">
        <v>474</v>
      </c>
      <c r="AB62" s="4" t="s">
        <v>475</v>
      </c>
      <c r="AC62" s="4" t="s">
        <v>477</v>
      </c>
      <c r="AD62" s="4" t="s">
        <v>478</v>
      </c>
      <c r="AE62" s="4" t="s">
        <v>479</v>
      </c>
      <c r="AF62" s="4" t="s">
        <v>480</v>
      </c>
      <c r="AG62" s="4" t="s">
        <v>606</v>
      </c>
      <c r="AH62" s="4" t="s">
        <v>612</v>
      </c>
      <c r="AI62" s="4" t="s">
        <v>613</v>
      </c>
      <c r="AJ62" s="4" t="s">
        <v>337</v>
      </c>
      <c r="AK62" s="4" t="s">
        <v>338</v>
      </c>
      <c r="AL62" s="4" t="s">
        <v>339</v>
      </c>
      <c r="AM62" s="4" t="s">
        <v>324</v>
      </c>
      <c r="AN62" s="195" t="s">
        <v>482</v>
      </c>
      <c r="AO62" s="195" t="s">
        <v>483</v>
      </c>
      <c r="AP62" s="195" t="s">
        <v>484</v>
      </c>
      <c r="AQ62" s="4" t="s">
        <v>340</v>
      </c>
      <c r="AR62" s="195" t="s">
        <v>481</v>
      </c>
      <c r="AS62" s="195" t="s">
        <v>485</v>
      </c>
      <c r="AT62" s="195" t="s">
        <v>486</v>
      </c>
      <c r="AU62" s="185" t="s">
        <v>355</v>
      </c>
      <c r="AV62" s="185" t="s">
        <v>487</v>
      </c>
      <c r="AW62" s="185" t="s">
        <v>488</v>
      </c>
      <c r="AX62" s="185" t="s">
        <v>356</v>
      </c>
      <c r="AY62" s="185" t="s">
        <v>489</v>
      </c>
      <c r="AZ62" s="185" t="s">
        <v>490</v>
      </c>
      <c r="BA62" s="185" t="s">
        <v>357</v>
      </c>
      <c r="BB62" s="185" t="s">
        <v>491</v>
      </c>
      <c r="BC62" s="185" t="s">
        <v>492</v>
      </c>
      <c r="BD62" s="187" t="s">
        <v>358</v>
      </c>
      <c r="BE62" s="187" t="s">
        <v>495</v>
      </c>
      <c r="BF62" s="187" t="s">
        <v>496</v>
      </c>
      <c r="BG62" s="186" t="s">
        <v>351</v>
      </c>
      <c r="BH62" s="186" t="s">
        <v>352</v>
      </c>
      <c r="BI62" s="186" t="s">
        <v>353</v>
      </c>
      <c r="BJ62" s="186" t="s">
        <v>354</v>
      </c>
      <c r="BK62" s="191" t="s">
        <v>174</v>
      </c>
      <c r="BL62" s="191" t="s">
        <v>493</v>
      </c>
      <c r="BM62" s="191" t="s">
        <v>494</v>
      </c>
      <c r="BN62" s="198" t="s">
        <v>202</v>
      </c>
      <c r="BO62" s="191" t="s">
        <v>366</v>
      </c>
      <c r="BP62" s="191" t="s">
        <v>367</v>
      </c>
      <c r="BQ62" s="191" t="s">
        <v>368</v>
      </c>
    </row>
    <row r="63" spans="2:69">
      <c r="B63" s="202">
        <v>1</v>
      </c>
      <c r="C63" s="203" t="s">
        <v>282</v>
      </c>
      <c r="D63" s="204">
        <f>'Healthcare Expenditures'!$J59</f>
        <v>203958000</v>
      </c>
      <c r="E63" s="204">
        <f>'Healthcare Expenditures'!$K59</f>
        <v>173742000</v>
      </c>
      <c r="F63" s="204">
        <f>'Healthcare Expenditures'!$L59</f>
        <v>327340000</v>
      </c>
      <c r="G63" s="204">
        <f>'Healthcare Expenditures'!$M59</f>
        <v>73953000</v>
      </c>
      <c r="H63" s="204">
        <f>'Healthcare Expenditures'!$N59</f>
        <v>62997000.000000007</v>
      </c>
      <c r="I63" s="204">
        <f>'Healthcare Expenditures'!$O59</f>
        <v>118690000</v>
      </c>
      <c r="J63" s="204">
        <f>'Healthcare Expenditures'!$P59</f>
        <v>116883000</v>
      </c>
      <c r="K63" s="204">
        <f>'Healthcare Expenditures'!$Q59</f>
        <v>99567000.000000015</v>
      </c>
      <c r="L63" s="204">
        <f>'Healthcare Expenditures'!$R59</f>
        <v>187590000</v>
      </c>
      <c r="M63" s="204">
        <f>'Mortality Costs'!$G145</f>
        <v>63466799</v>
      </c>
      <c r="N63" s="204">
        <f>'Mortality Costs'!$H145</f>
        <v>34253341</v>
      </c>
      <c r="O63" s="204">
        <f>'Mortality Costs'!$I145</f>
        <v>104629575</v>
      </c>
      <c r="P63" s="212">
        <f>'Workplace Smoking Costs'!$K74</f>
        <v>76229997.863809526</v>
      </c>
      <c r="Q63" s="204">
        <f>'Workplace Smoking Costs'!$K193</f>
        <v>73884459.46800001</v>
      </c>
      <c r="R63" s="204">
        <f>'Workplace Smoking Costs'!$K312</f>
        <v>243349608.56523812</v>
      </c>
      <c r="S63" s="204">
        <f t="shared" ref="S63:S77" si="30">P63+Q63+R63</f>
        <v>393464065.89704764</v>
      </c>
      <c r="T63" s="205">
        <f t="shared" ref="T63:T77" si="31">D63+M63+S63</f>
        <v>660888864.89704764</v>
      </c>
      <c r="U63" s="205">
        <f t="shared" ref="U63:U77" si="32">E63+N63+S63</f>
        <v>601459406.89704764</v>
      </c>
      <c r="V63" s="205">
        <f t="shared" ref="V63:V77" si="33">F63+O63+S63</f>
        <v>825433640.89704764</v>
      </c>
      <c r="W63" s="354">
        <f>Table1536[[#This Row],[Relative Change in Smoking Prevalence:
Increase Cigarette Taxes]]</f>
        <v>-3.6400000000000002E-2</v>
      </c>
      <c r="X63" s="204">
        <f>'Healthcare Expenditures'!$Z59</f>
        <v>196533928.79999998</v>
      </c>
      <c r="Y63" s="204">
        <f>'Healthcare Expenditures'!$AA59</f>
        <v>167417791.20000002</v>
      </c>
      <c r="Z63" s="204">
        <f>'Healthcare Expenditures'!$AB59</f>
        <v>315424824.00000006</v>
      </c>
      <c r="AA63" s="204">
        <f>'Healthcare Expenditures'!$AC59</f>
        <v>71261110.799999997</v>
      </c>
      <c r="AB63" s="204">
        <f>'Healthcare Expenditures'!$AD59</f>
        <v>60703909.200000003</v>
      </c>
      <c r="AC63" s="204">
        <f>'Healthcare Expenditures'!$AE59</f>
        <v>114369684.00000001</v>
      </c>
      <c r="AD63" s="204">
        <f>'Healthcare Expenditures'!$AF59</f>
        <v>112628458.8</v>
      </c>
      <c r="AE63" s="204">
        <f>'Healthcare Expenditures'!$AG59</f>
        <v>95942761.200000003</v>
      </c>
      <c r="AF63" s="204">
        <f>'Healthcare Expenditures'!$AH59</f>
        <v>180761724.00000003</v>
      </c>
      <c r="AG63" s="204">
        <f>'Mortality Costs'!$K145</f>
        <v>58170299</v>
      </c>
      <c r="AH63" s="204">
        <f>'Mortality Costs'!$L145</f>
        <v>30780392</v>
      </c>
      <c r="AI63" s="204">
        <f>'Mortality Costs'!$M145</f>
        <v>97124673</v>
      </c>
      <c r="AJ63" s="204">
        <f>'Workplace Smoking Costs'!$S74</f>
        <v>73455225.94156687</v>
      </c>
      <c r="AK63" s="204">
        <f>'Workplace Smoking Costs'!$S193</f>
        <v>71195065.143364802</v>
      </c>
      <c r="AL63" s="204">
        <f>'Workplace Smoking Costs'!$S312</f>
        <v>234491682.81346345</v>
      </c>
      <c r="AM63" s="204">
        <f>AJ63+AK63+AL63</f>
        <v>379141973.89839512</v>
      </c>
      <c r="AN63" s="205">
        <f>X63+AG63+AM63</f>
        <v>633846201.69839513</v>
      </c>
      <c r="AO63" s="205">
        <f>Y63+AH63+AM63</f>
        <v>577340157.09839511</v>
      </c>
      <c r="AP63" s="205">
        <f>Z63+AI63+AM63</f>
        <v>791691470.89839518</v>
      </c>
      <c r="AQ63" s="204">
        <f>tblTotalCosts_Base[Gross Domestic Product (GDP)]</f>
        <v>33921600000</v>
      </c>
      <c r="AR63" s="206">
        <f t="shared" ref="AR63:AR80" si="34">AN63/$AQ63</f>
        <v>1.8685622190533321E-2</v>
      </c>
      <c r="AS63" s="206">
        <f t="shared" ref="AS63:AS80" si="35">AO63/$AQ63</f>
        <v>1.7019838601315833E-2</v>
      </c>
      <c r="AT63" s="206">
        <f t="shared" ref="AT63:AT80" si="36">AP63/$AQ63</f>
        <v>2.3338859926960852E-2</v>
      </c>
      <c r="AU63" s="207">
        <f>'Healthcare Expenditures'!$AL59</f>
        <v>7424071.2000000179</v>
      </c>
      <c r="AV63" s="207">
        <f>'Healthcare Expenditures'!$AM59</f>
        <v>6324208.7999999821</v>
      </c>
      <c r="AW63" s="207">
        <f>'Healthcare Expenditures'!$AN59</f>
        <v>11915175.99999994</v>
      </c>
      <c r="AX63" s="207">
        <f>'Healthcare Expenditures'!$AO59</f>
        <v>2691889.200000003</v>
      </c>
      <c r="AY63" s="207">
        <f>'Healthcare Expenditures'!$AP59</f>
        <v>2293090.8000000045</v>
      </c>
      <c r="AZ63" s="207">
        <f>'Healthcare Expenditures'!$AQ59</f>
        <v>4320315.9999999851</v>
      </c>
      <c r="BA63" s="207">
        <f>'Healthcare Expenditures'!$AR59</f>
        <v>4254541.200000003</v>
      </c>
      <c r="BB63" s="207">
        <f>'Healthcare Expenditures'!$AS59</f>
        <v>3624238.8000000119</v>
      </c>
      <c r="BC63" s="207">
        <f>'Healthcare Expenditures'!$AT59</f>
        <v>6828275.9999999702</v>
      </c>
      <c r="BD63" s="208">
        <f>'Mortality Costs'!$N145</f>
        <v>5296500</v>
      </c>
      <c r="BE63" s="208">
        <f>'Mortality Costs'!$O145</f>
        <v>3472949</v>
      </c>
      <c r="BF63" s="208">
        <f>'Mortality Costs'!$P145</f>
        <v>7504902</v>
      </c>
      <c r="BG63" s="208">
        <f>'Workplace Smoking Costs'!$V74</f>
        <v>2774771.9222426564</v>
      </c>
      <c r="BH63" s="208">
        <f>'Workplace Smoking Costs'!$V193</f>
        <v>2689394.3246352077</v>
      </c>
      <c r="BI63" s="208">
        <f>'Workplace Smoking Costs'!$V312</f>
        <v>8857925.7517746687</v>
      </c>
      <c r="BJ63" s="208">
        <f>BG63+BH63+BI63</f>
        <v>14322091.998652533</v>
      </c>
      <c r="BK63" s="208">
        <f>AU63+BD63+BJ63</f>
        <v>27042663.198652551</v>
      </c>
      <c r="BL63" s="208">
        <f t="shared" ref="BL63:BL77" si="37">AV63+BE63+BJ63</f>
        <v>24119249.798652515</v>
      </c>
      <c r="BM63" s="208">
        <f t="shared" ref="BM63:BM77" si="38">AW63+BF63+BJ63</f>
        <v>33742169.998652473</v>
      </c>
      <c r="BN63" s="209">
        <f>SUM('Intervention Costs'!$E$42+'Intervention Costs'!$D$42+'Intervention Costs'!$G$42+'Intervention Costs'!$F$42)</f>
        <v>977845.09626223892</v>
      </c>
      <c r="BO63" s="166">
        <f t="shared" ref="BO63:BO80" si="39">BK63/$BN63</f>
        <v>27.655365151414777</v>
      </c>
      <c r="BP63" s="166">
        <f t="shared" ref="BP63:BP80" si="40">BL63/$BN63</f>
        <v>24.665716370463041</v>
      </c>
      <c r="BQ63" s="216">
        <f t="shared" ref="BQ63:BQ80" si="41">BM63/$BN63</f>
        <v>34.506661768443827</v>
      </c>
    </row>
    <row r="64" spans="2:69">
      <c r="B64" s="210">
        <v>2</v>
      </c>
      <c r="C64" s="211" t="s">
        <v>282</v>
      </c>
      <c r="D64" s="212">
        <f>'Healthcare Expenditures'!$J60</f>
        <v>203958000</v>
      </c>
      <c r="E64" s="212">
        <f>'Healthcare Expenditures'!$K60</f>
        <v>173742000</v>
      </c>
      <c r="F64" s="212">
        <f>'Healthcare Expenditures'!$L60</f>
        <v>327340000</v>
      </c>
      <c r="G64" s="212">
        <f>'Healthcare Expenditures'!$M60</f>
        <v>73953000</v>
      </c>
      <c r="H64" s="212">
        <f>'Healthcare Expenditures'!$N60</f>
        <v>62997000.000000007</v>
      </c>
      <c r="I64" s="212">
        <f>'Healthcare Expenditures'!$O60</f>
        <v>118690000</v>
      </c>
      <c r="J64" s="212">
        <f>'Healthcare Expenditures'!$P60</f>
        <v>116883000</v>
      </c>
      <c r="K64" s="212">
        <f>'Healthcare Expenditures'!$Q60</f>
        <v>99567000.000000015</v>
      </c>
      <c r="L64" s="212">
        <f>'Healthcare Expenditures'!$R60</f>
        <v>187590000</v>
      </c>
      <c r="M64" s="212">
        <f>'Mortality Costs'!$G146</f>
        <v>63784156</v>
      </c>
      <c r="N64" s="212">
        <f>'Mortality Costs'!$H146</f>
        <v>34424628</v>
      </c>
      <c r="O64" s="212">
        <f>'Mortality Costs'!$I146</f>
        <v>105152764</v>
      </c>
      <c r="P64" s="212">
        <f>'Workplace Smoking Costs'!$K75</f>
        <v>76229997.863809526</v>
      </c>
      <c r="Q64" s="212">
        <f>'Workplace Smoking Costs'!$K194</f>
        <v>73884459.46800001</v>
      </c>
      <c r="R64" s="212">
        <f>'Workplace Smoking Costs'!$K313</f>
        <v>243349608.56523812</v>
      </c>
      <c r="S64" s="212">
        <f t="shared" si="30"/>
        <v>393464065.89704764</v>
      </c>
      <c r="T64" s="213">
        <f t="shared" si="31"/>
        <v>661206221.89704764</v>
      </c>
      <c r="U64" s="213">
        <f t="shared" si="32"/>
        <v>601630693.89704764</v>
      </c>
      <c r="V64" s="213">
        <f t="shared" si="33"/>
        <v>825956829.89704764</v>
      </c>
      <c r="W64" s="355">
        <f>Table1536[[#This Row],[Relative Change in Smoking Prevalence:
Increase Cigarette Taxes]]</f>
        <v>-3.6400000000000002E-2</v>
      </c>
      <c r="X64" s="212">
        <f>'Healthcare Expenditures'!$Z60</f>
        <v>189380093.79167998</v>
      </c>
      <c r="Y64" s="212">
        <f>'Healthcare Expenditures'!$AA60</f>
        <v>161323783.60032001</v>
      </c>
      <c r="Z64" s="212">
        <f>'Healthcare Expenditures'!$AB60</f>
        <v>303943360.40640002</v>
      </c>
      <c r="AA64" s="212">
        <f>'Healthcare Expenditures'!$AC60</f>
        <v>68667206.36688</v>
      </c>
      <c r="AB64" s="212">
        <f>'Healthcare Expenditures'!$AD60</f>
        <v>58494286.90512</v>
      </c>
      <c r="AC64" s="212">
        <f>'Healthcare Expenditures'!$AE60</f>
        <v>110206627.50240001</v>
      </c>
      <c r="AD64" s="212">
        <f>'Healthcare Expenditures'!$AF60</f>
        <v>108528782.89967999</v>
      </c>
      <c r="AE64" s="212">
        <f>'Healthcare Expenditures'!$AG60</f>
        <v>92450444.692320004</v>
      </c>
      <c r="AF64" s="212">
        <f>'Healthcare Expenditures'!$AH60</f>
        <v>174181997.24640003</v>
      </c>
      <c r="AG64" s="212">
        <f>'Mortality Costs'!$K146</f>
        <v>56600857</v>
      </c>
      <c r="AH64" s="212">
        <f>'Mortality Costs'!$L146</f>
        <v>29939682</v>
      </c>
      <c r="AI64" s="212">
        <f>'Mortality Costs'!$M146</f>
        <v>94138349</v>
      </c>
      <c r="AJ64" s="212">
        <f>'Workplace Smoking Costs'!$S75</f>
        <v>70781455.717293829</v>
      </c>
      <c r="AK64" s="212">
        <f>'Workplace Smoking Costs'!$S194</f>
        <v>68603564.772146329</v>
      </c>
      <c r="AL64" s="212">
        <f>'Workplace Smoking Costs'!$S313</f>
        <v>225956185.55905336</v>
      </c>
      <c r="AM64" s="212">
        <f t="shared" ref="AM64:AM77" si="42">AJ64+AK64+AL64</f>
        <v>365341206.0484935</v>
      </c>
      <c r="AN64" s="213">
        <f t="shared" ref="AN64:AN77" si="43">X64+AG64+AM64</f>
        <v>611322156.84017348</v>
      </c>
      <c r="AO64" s="213">
        <f t="shared" ref="AO64:AO77" si="44">Y64+AH64+AM64</f>
        <v>556604671.64881349</v>
      </c>
      <c r="AP64" s="213">
        <f t="shared" ref="AP64:AP77" si="45">Z64+AI64+AM64</f>
        <v>763422915.45489359</v>
      </c>
      <c r="AQ64" s="212">
        <f>tblTotalCosts_Base[Gross Domestic Product (GDP)]</f>
        <v>33921600000</v>
      </c>
      <c r="AR64" s="214">
        <f t="shared" si="34"/>
        <v>1.802161917009143E-2</v>
      </c>
      <c r="AS64" s="214">
        <f t="shared" si="35"/>
        <v>1.640856184993672E-2</v>
      </c>
      <c r="AT64" s="214">
        <f t="shared" si="36"/>
        <v>2.250551021929666E-2</v>
      </c>
      <c r="AU64" s="188">
        <f>'Healthcare Expenditures'!$AL60</f>
        <v>14577906.208320022</v>
      </c>
      <c r="AV64" s="188">
        <f>'Healthcare Expenditures'!$AM60</f>
        <v>12418216.399679989</v>
      </c>
      <c r="AW64" s="188">
        <f>'Healthcare Expenditures'!$AN60</f>
        <v>23396639.593599975</v>
      </c>
      <c r="AX64" s="188">
        <f>'Healthcare Expenditures'!$AO60</f>
        <v>5285793.6331200004</v>
      </c>
      <c r="AY64" s="188">
        <f>'Healthcare Expenditures'!$AP60</f>
        <v>4502713.0948800072</v>
      </c>
      <c r="AZ64" s="188">
        <f>'Healthcare Expenditures'!$AQ60</f>
        <v>8483372.4975999892</v>
      </c>
      <c r="BA64" s="188">
        <f>'Healthcare Expenditures'!$AR60</f>
        <v>8354217.1003200114</v>
      </c>
      <c r="BB64" s="188">
        <f>'Healthcare Expenditures'!$AS60</f>
        <v>7116555.3076800108</v>
      </c>
      <c r="BC64" s="188">
        <f>'Healthcare Expenditures'!$AT60</f>
        <v>13408002.753599972</v>
      </c>
      <c r="BD64" s="166">
        <f>'Mortality Costs'!$N146</f>
        <v>7183299</v>
      </c>
      <c r="BE64" s="166">
        <f>'Mortality Costs'!$O146</f>
        <v>4484946</v>
      </c>
      <c r="BF64" s="166">
        <f>'Mortality Costs'!$P146</f>
        <v>11014415</v>
      </c>
      <c r="BG64" s="166">
        <f>'Workplace Smoking Costs'!$V75</f>
        <v>5448542.1465156972</v>
      </c>
      <c r="BH64" s="166">
        <f>'Workplace Smoking Costs'!$V194</f>
        <v>5280894.6958536804</v>
      </c>
      <c r="BI64" s="166">
        <f>'Workplace Smoking Costs'!$V313</f>
        <v>17393423.006184757</v>
      </c>
      <c r="BJ64" s="166">
        <f t="shared" ref="BJ64:BJ77" si="46">BG64+BH64+BI64</f>
        <v>28122859.848554134</v>
      </c>
      <c r="BK64" s="166">
        <f t="shared" ref="BK64:BK77" si="47">AU64+BD64+BJ64</f>
        <v>49884065.056874156</v>
      </c>
      <c r="BL64" s="166">
        <f t="shared" si="37"/>
        <v>45026022.248234123</v>
      </c>
      <c r="BM64" s="166">
        <f t="shared" si="38"/>
        <v>62533914.442154109</v>
      </c>
      <c r="BN64" s="215">
        <f>SUM('Intervention Costs'!$E$43+'Intervention Costs'!$D$43+'Intervention Costs'!$G$43+'Intervention Costs'!$F$43)</f>
        <v>1239351.5852383957</v>
      </c>
      <c r="BO64" s="166">
        <f t="shared" si="39"/>
        <v>40.250132126372108</v>
      </c>
      <c r="BP64" s="166">
        <f t="shared" si="40"/>
        <v>36.330305931365821</v>
      </c>
      <c r="BQ64" s="216">
        <f t="shared" si="41"/>
        <v>50.456960871297376</v>
      </c>
    </row>
    <row r="65" spans="2:69">
      <c r="B65" s="210">
        <v>3</v>
      </c>
      <c r="C65" s="211" t="s">
        <v>282</v>
      </c>
      <c r="D65" s="212">
        <f>'Healthcare Expenditures'!$J61</f>
        <v>203958000</v>
      </c>
      <c r="E65" s="212">
        <f>'Healthcare Expenditures'!$K61</f>
        <v>173742000</v>
      </c>
      <c r="F65" s="212">
        <f>'Healthcare Expenditures'!$L61</f>
        <v>327340000</v>
      </c>
      <c r="G65" s="212">
        <f>'Healthcare Expenditures'!$M61</f>
        <v>73953000</v>
      </c>
      <c r="H65" s="212">
        <f>'Healthcare Expenditures'!$N61</f>
        <v>62997000.000000007</v>
      </c>
      <c r="I65" s="212">
        <f>'Healthcare Expenditures'!$O61</f>
        <v>118690000</v>
      </c>
      <c r="J65" s="212">
        <f>'Healthcare Expenditures'!$P61</f>
        <v>116883000</v>
      </c>
      <c r="K65" s="212">
        <f>'Healthcare Expenditures'!$Q61</f>
        <v>99567000.000000015</v>
      </c>
      <c r="L65" s="212">
        <f>'Healthcare Expenditures'!$R61</f>
        <v>187590000</v>
      </c>
      <c r="M65" s="212">
        <f>'Mortality Costs'!$G147</f>
        <v>64103066</v>
      </c>
      <c r="N65" s="212">
        <f>'Mortality Costs'!$H147</f>
        <v>34596732</v>
      </c>
      <c r="O65" s="212">
        <f>'Mortality Costs'!$I147</f>
        <v>105678517</v>
      </c>
      <c r="P65" s="212">
        <f>'Workplace Smoking Costs'!$K76</f>
        <v>76229997.863809526</v>
      </c>
      <c r="Q65" s="212">
        <f>'Workplace Smoking Costs'!$K195</f>
        <v>73884459.46800001</v>
      </c>
      <c r="R65" s="212">
        <f>'Workplace Smoking Costs'!$K314</f>
        <v>243349608.56523812</v>
      </c>
      <c r="S65" s="212">
        <f t="shared" si="30"/>
        <v>393464065.89704764</v>
      </c>
      <c r="T65" s="213">
        <f t="shared" si="31"/>
        <v>661525131.89704764</v>
      </c>
      <c r="U65" s="213">
        <f t="shared" si="32"/>
        <v>601802797.89704764</v>
      </c>
      <c r="V65" s="213">
        <f t="shared" si="33"/>
        <v>826482582.89704764</v>
      </c>
      <c r="W65" s="355">
        <f>Table1536[[#This Row],[Relative Change in Smoking Prevalence:
Increase Cigarette Taxes]]</f>
        <v>-3.6400000000000002E-2</v>
      </c>
      <c r="X65" s="212">
        <f>'Healthcare Expenditures'!$Z61</f>
        <v>182486658.37766284</v>
      </c>
      <c r="Y65" s="212">
        <f>'Healthcare Expenditures'!$AA61</f>
        <v>155451597.87726834</v>
      </c>
      <c r="Z65" s="212">
        <f>'Healthcare Expenditures'!$AB61</f>
        <v>292879822.08760709</v>
      </c>
      <c r="AA65" s="212">
        <f>'Healthcare Expenditures'!$AC61</f>
        <v>66167720.055125564</v>
      </c>
      <c r="AB65" s="212">
        <f>'Healthcare Expenditures'!$AD61</f>
        <v>56365094.861773632</v>
      </c>
      <c r="AC65" s="212">
        <f>'Healthcare Expenditures'!$AE61</f>
        <v>106195106.26131265</v>
      </c>
      <c r="AD65" s="212">
        <f>'Healthcare Expenditures'!$AF61</f>
        <v>104578335.20213164</v>
      </c>
      <c r="AE65" s="212">
        <f>'Healthcare Expenditures'!$AG61</f>
        <v>89085248.505519554</v>
      </c>
      <c r="AF65" s="212">
        <f>'Healthcare Expenditures'!$AH61</f>
        <v>167841772.54663107</v>
      </c>
      <c r="AG65" s="212">
        <f>'Mortality Costs'!$K147</f>
        <v>54838387</v>
      </c>
      <c r="AH65" s="212">
        <f>'Mortality Costs'!$L147</f>
        <v>29126801</v>
      </c>
      <c r="AI65" s="212">
        <f>'Mortality Costs'!$M147</f>
        <v>91378880</v>
      </c>
      <c r="AJ65" s="212">
        <f>'Workplace Smoking Costs'!$S76</f>
        <v>68205010.72918433</v>
      </c>
      <c r="AK65" s="212">
        <f>'Workplace Smoking Costs'!$S195</f>
        <v>66106395.014440194</v>
      </c>
      <c r="AL65" s="212">
        <f>'Workplace Smoking Costs'!$S314</f>
        <v>217731380.40470383</v>
      </c>
      <c r="AM65" s="212">
        <f t="shared" si="42"/>
        <v>352042786.1483283</v>
      </c>
      <c r="AN65" s="213">
        <f t="shared" si="43"/>
        <v>589367831.5259912</v>
      </c>
      <c r="AO65" s="213">
        <f t="shared" si="44"/>
        <v>536621185.02559662</v>
      </c>
      <c r="AP65" s="213">
        <f t="shared" si="45"/>
        <v>736301488.23593545</v>
      </c>
      <c r="AQ65" s="212">
        <f>tblTotalCosts_Base[Gross Domestic Product (GDP)]</f>
        <v>33921600000</v>
      </c>
      <c r="AR65" s="214">
        <f t="shared" si="34"/>
        <v>1.7374411334547639E-2</v>
      </c>
      <c r="AS65" s="214">
        <f t="shared" si="35"/>
        <v>1.581945382958341E-2</v>
      </c>
      <c r="AT65" s="214">
        <f t="shared" si="36"/>
        <v>2.1705977555184174E-2</v>
      </c>
      <c r="AU65" s="188">
        <f>'Healthcare Expenditures'!$AL61</f>
        <v>21471341.622337162</v>
      </c>
      <c r="AV65" s="188">
        <f>'Healthcare Expenditures'!$AM61</f>
        <v>18290402.122731656</v>
      </c>
      <c r="AW65" s="188">
        <f>'Healthcare Expenditures'!$AN61</f>
        <v>34460177.912392914</v>
      </c>
      <c r="AX65" s="188">
        <f>'Healthcare Expenditures'!$AO61</f>
        <v>7785279.9448744357</v>
      </c>
      <c r="AY65" s="188">
        <f>'Healthcare Expenditures'!$AP61</f>
        <v>6631905.138226375</v>
      </c>
      <c r="AZ65" s="188">
        <f>'Healthcare Expenditures'!$AQ61</f>
        <v>12494893.738687351</v>
      </c>
      <c r="BA65" s="188">
        <f>'Healthcare Expenditures'!$AR61</f>
        <v>12304664.797868356</v>
      </c>
      <c r="BB65" s="188">
        <f>'Healthcare Expenditures'!$AS61</f>
        <v>10481751.494480461</v>
      </c>
      <c r="BC65" s="188">
        <f>'Healthcare Expenditures'!$AT61</f>
        <v>19748227.453368932</v>
      </c>
      <c r="BD65" s="166">
        <f>'Mortality Costs'!$N147</f>
        <v>9264679</v>
      </c>
      <c r="BE65" s="166">
        <f>'Mortality Costs'!$O147</f>
        <v>5469931</v>
      </c>
      <c r="BF65" s="166">
        <f>'Mortality Costs'!$P147</f>
        <v>14299637</v>
      </c>
      <c r="BG65" s="166">
        <f>'Workplace Smoking Costs'!$V76</f>
        <v>8024987.1346251965</v>
      </c>
      <c r="BH65" s="166">
        <f>'Workplace Smoking Costs'!$V195</f>
        <v>7778064.4535598159</v>
      </c>
      <c r="BI65" s="166">
        <f>'Workplace Smoking Costs'!$V314</f>
        <v>25618228.160534292</v>
      </c>
      <c r="BJ65" s="166">
        <f t="shared" si="46"/>
        <v>41421279.748719305</v>
      </c>
      <c r="BK65" s="166">
        <f t="shared" si="47"/>
        <v>72157300.371056467</v>
      </c>
      <c r="BL65" s="166">
        <f t="shared" si="37"/>
        <v>65181612.871450961</v>
      </c>
      <c r="BM65" s="166">
        <f t="shared" si="38"/>
        <v>90181094.661112219</v>
      </c>
      <c r="BN65" s="215">
        <f>SUM('Intervention Costs'!$E$44+'Intervention Costs'!$D$44+'Intervention Costs'!$G$44+'Intervention Costs'!$F$44)</f>
        <v>837959.39977647236</v>
      </c>
      <c r="BO65" s="166">
        <f t="shared" si="39"/>
        <v>86.110735663690392</v>
      </c>
      <c r="BP65" s="166">
        <f t="shared" si="40"/>
        <v>77.786122918172779</v>
      </c>
      <c r="BQ65" s="216">
        <f t="shared" si="41"/>
        <v>107.61988550420013</v>
      </c>
    </row>
    <row r="66" spans="2:69">
      <c r="B66" s="210">
        <v>4</v>
      </c>
      <c r="C66" s="211" t="s">
        <v>282</v>
      </c>
      <c r="D66" s="212">
        <f>'Healthcare Expenditures'!$J62</f>
        <v>203958000</v>
      </c>
      <c r="E66" s="212">
        <f>'Healthcare Expenditures'!$K62</f>
        <v>173742000</v>
      </c>
      <c r="F66" s="212">
        <f>'Healthcare Expenditures'!$L62</f>
        <v>327340000</v>
      </c>
      <c r="G66" s="212">
        <f>'Healthcare Expenditures'!$M62</f>
        <v>73953000</v>
      </c>
      <c r="H66" s="212">
        <f>'Healthcare Expenditures'!$N62</f>
        <v>62997000.000000007</v>
      </c>
      <c r="I66" s="212">
        <f>'Healthcare Expenditures'!$O62</f>
        <v>118690000</v>
      </c>
      <c r="J66" s="212">
        <f>'Healthcare Expenditures'!$P62</f>
        <v>116883000</v>
      </c>
      <c r="K66" s="212">
        <f>'Healthcare Expenditures'!$Q62</f>
        <v>99567000.000000015</v>
      </c>
      <c r="L66" s="212">
        <f>'Healthcare Expenditures'!$R62</f>
        <v>187590000</v>
      </c>
      <c r="M66" s="212">
        <f>'Mortality Costs'!$G148</f>
        <v>64423567</v>
      </c>
      <c r="N66" s="212">
        <f>'Mortality Costs'!$H148</f>
        <v>34769710</v>
      </c>
      <c r="O66" s="212">
        <f>'Mortality Costs'!$I148</f>
        <v>106206876</v>
      </c>
      <c r="P66" s="212">
        <f>'Workplace Smoking Costs'!$K77</f>
        <v>76229997.863809526</v>
      </c>
      <c r="Q66" s="212">
        <f>'Workplace Smoking Costs'!$K196</f>
        <v>73884459.46800001</v>
      </c>
      <c r="R66" s="212">
        <f>'Workplace Smoking Costs'!$K315</f>
        <v>243349608.56523812</v>
      </c>
      <c r="S66" s="212">
        <f t="shared" si="30"/>
        <v>393464065.89704764</v>
      </c>
      <c r="T66" s="213">
        <f t="shared" si="31"/>
        <v>661845632.89704764</v>
      </c>
      <c r="U66" s="213">
        <f t="shared" si="32"/>
        <v>601975775.89704764</v>
      </c>
      <c r="V66" s="213">
        <f t="shared" si="33"/>
        <v>827010941.89704764</v>
      </c>
      <c r="W66" s="355">
        <f>Table1536[[#This Row],[Relative Change in Smoking Prevalence:
Increase Cigarette Taxes]]</f>
        <v>-3.6400000000000002E-2</v>
      </c>
      <c r="X66" s="212">
        <f>'Healthcare Expenditures'!$Z62</f>
        <v>175844144.01271591</v>
      </c>
      <c r="Y66" s="212">
        <f>'Healthcare Expenditures'!$AA62</f>
        <v>149793159.71453577</v>
      </c>
      <c r="Z66" s="212">
        <f>'Healthcare Expenditures'!$AB62</f>
        <v>282218996.56361818</v>
      </c>
      <c r="AA66" s="212">
        <f>'Healthcare Expenditures'!$AC62</f>
        <v>63759215.045118988</v>
      </c>
      <c r="AB66" s="212">
        <f>'Healthcare Expenditures'!$AD62</f>
        <v>54313405.408805072</v>
      </c>
      <c r="AC66" s="212">
        <f>'Healthcare Expenditures'!$AE62</f>
        <v>102329604.39340088</v>
      </c>
      <c r="AD66" s="212">
        <f>'Healthcare Expenditures'!$AF62</f>
        <v>100771683.80077404</v>
      </c>
      <c r="AE66" s="212">
        <f>'Healthcare Expenditures'!$AG62</f>
        <v>85842545.459918648</v>
      </c>
      <c r="AF66" s="212">
        <f>'Healthcare Expenditures'!$AH62</f>
        <v>161732332.02593368</v>
      </c>
      <c r="AG66" s="212">
        <f>'Mortality Costs'!$K148</f>
        <v>53215033</v>
      </c>
      <c r="AH66" s="212">
        <f>'Mortality Costs'!$L148</f>
        <v>28267846</v>
      </c>
      <c r="AI66" s="212">
        <f>'Mortality Costs'!$M148</f>
        <v>88561560</v>
      </c>
      <c r="AJ66" s="212">
        <f>'Workplace Smoking Costs'!$S77</f>
        <v>65722348.338642024</v>
      </c>
      <c r="AK66" s="212">
        <f>'Workplace Smoking Costs'!$S196</f>
        <v>63700122.235914573</v>
      </c>
      <c r="AL66" s="212">
        <f>'Workplace Smoking Costs'!$S315</f>
        <v>209805958.1579726</v>
      </c>
      <c r="AM66" s="212">
        <f t="shared" si="42"/>
        <v>339228428.73252916</v>
      </c>
      <c r="AN66" s="213">
        <f t="shared" si="43"/>
        <v>568287605.7452451</v>
      </c>
      <c r="AO66" s="213">
        <f t="shared" si="44"/>
        <v>517289434.44706494</v>
      </c>
      <c r="AP66" s="213">
        <f t="shared" si="45"/>
        <v>710008985.29614735</v>
      </c>
      <c r="AQ66" s="212">
        <f>tblTotalCosts_Base[Gross Domestic Product (GDP)]</f>
        <v>33921600000</v>
      </c>
      <c r="AR66" s="214">
        <f t="shared" si="34"/>
        <v>1.6752971727313722E-2</v>
      </c>
      <c r="AS66" s="214">
        <f t="shared" si="35"/>
        <v>1.5249558819367745E-2</v>
      </c>
      <c r="AT66" s="214">
        <f t="shared" si="36"/>
        <v>2.0930881364562618E-2</v>
      </c>
      <c r="AU66" s="188">
        <f>'Healthcare Expenditures'!$AL62</f>
        <v>28113855.987284094</v>
      </c>
      <c r="AV66" s="188">
        <f>'Healthcare Expenditures'!$AM62</f>
        <v>23948840.285464227</v>
      </c>
      <c r="AW66" s="188">
        <f>'Healthcare Expenditures'!$AN62</f>
        <v>45121003.436381817</v>
      </c>
      <c r="AX66" s="188">
        <f>'Healthcare Expenditures'!$AO62</f>
        <v>10193784.954881012</v>
      </c>
      <c r="AY66" s="188">
        <f>'Healthcare Expenditures'!$AP62</f>
        <v>8683594.5911949351</v>
      </c>
      <c r="AZ66" s="188">
        <f>'Healthcare Expenditures'!$AQ62</f>
        <v>16360395.606599122</v>
      </c>
      <c r="BA66" s="188">
        <f>'Healthcare Expenditures'!$AR62</f>
        <v>16111316.199225962</v>
      </c>
      <c r="BB66" s="188">
        <f>'Healthcare Expenditures'!$AS62</f>
        <v>13724454.540081367</v>
      </c>
      <c r="BC66" s="188">
        <f>'Healthcare Expenditures'!$AT62</f>
        <v>25857667.974066317</v>
      </c>
      <c r="BD66" s="166">
        <f>'Mortality Costs'!$N148</f>
        <v>11208534</v>
      </c>
      <c r="BE66" s="166">
        <f>'Mortality Costs'!$O148</f>
        <v>6501864</v>
      </c>
      <c r="BF66" s="166">
        <f>'Mortality Costs'!$P148</f>
        <v>17645316</v>
      </c>
      <c r="BG66" s="166">
        <f>'Workplace Smoking Costs'!$V77</f>
        <v>10507649.525167502</v>
      </c>
      <c r="BH66" s="166">
        <f>'Workplace Smoking Costs'!$V196</f>
        <v>10184337.232085437</v>
      </c>
      <c r="BI66" s="166">
        <f>'Workplace Smoking Costs'!$V315</f>
        <v>33543650.407265514</v>
      </c>
      <c r="BJ66" s="166">
        <f t="shared" si="46"/>
        <v>54235637.164518453</v>
      </c>
      <c r="BK66" s="166">
        <f t="shared" si="47"/>
        <v>93558027.15180254</v>
      </c>
      <c r="BL66" s="166">
        <f t="shared" si="37"/>
        <v>84686341.449982673</v>
      </c>
      <c r="BM66" s="166">
        <f t="shared" si="38"/>
        <v>117001956.60090026</v>
      </c>
      <c r="BN66" s="215">
        <f>SUM('Intervention Costs'!$E$45+'Intervention Costs'!$D$45+'Intervention Costs'!$G$45+'Intervention Costs'!$F$45)</f>
        <v>855330.42127871746</v>
      </c>
      <c r="BO66" s="166">
        <f t="shared" si="39"/>
        <v>109.38232152661361</v>
      </c>
      <c r="BP66" s="166">
        <f t="shared" si="40"/>
        <v>99.010089368009076</v>
      </c>
      <c r="BQ66" s="216">
        <f t="shared" si="41"/>
        <v>136.79152955413716</v>
      </c>
    </row>
    <row r="67" spans="2:69">
      <c r="B67" s="210">
        <v>5</v>
      </c>
      <c r="C67" s="211" t="s">
        <v>282</v>
      </c>
      <c r="D67" s="212">
        <f>'Healthcare Expenditures'!$J63</f>
        <v>203958000</v>
      </c>
      <c r="E67" s="212">
        <f>'Healthcare Expenditures'!$K63</f>
        <v>173742000</v>
      </c>
      <c r="F67" s="212">
        <f>'Healthcare Expenditures'!$L63</f>
        <v>327340000</v>
      </c>
      <c r="G67" s="212">
        <f>'Healthcare Expenditures'!$M63</f>
        <v>73953000</v>
      </c>
      <c r="H67" s="212">
        <f>'Healthcare Expenditures'!$N63</f>
        <v>62997000.000000007</v>
      </c>
      <c r="I67" s="212">
        <f>'Healthcare Expenditures'!$O63</f>
        <v>118690000</v>
      </c>
      <c r="J67" s="212">
        <f>'Healthcare Expenditures'!$P63</f>
        <v>116883000</v>
      </c>
      <c r="K67" s="212">
        <f>'Healthcare Expenditures'!$Q63</f>
        <v>99567000.000000015</v>
      </c>
      <c r="L67" s="212">
        <f>'Healthcare Expenditures'!$R63</f>
        <v>187590000</v>
      </c>
      <c r="M67" s="212">
        <f>'Mortality Costs'!$G149</f>
        <v>64745714</v>
      </c>
      <c r="N67" s="212">
        <f>'Mortality Costs'!$H149</f>
        <v>34943589</v>
      </c>
      <c r="O67" s="212">
        <f>'Mortality Costs'!$I149</f>
        <v>106737953</v>
      </c>
      <c r="P67" s="212">
        <f>'Workplace Smoking Costs'!$K78</f>
        <v>76229997.863809526</v>
      </c>
      <c r="Q67" s="212">
        <f>'Workplace Smoking Costs'!$K197</f>
        <v>73884459.46800001</v>
      </c>
      <c r="R67" s="212">
        <f>'Workplace Smoking Costs'!$K316</f>
        <v>243349608.56523812</v>
      </c>
      <c r="S67" s="212">
        <f t="shared" si="30"/>
        <v>393464065.89704764</v>
      </c>
      <c r="T67" s="213">
        <f t="shared" si="31"/>
        <v>662167779.89704764</v>
      </c>
      <c r="U67" s="213">
        <f t="shared" si="32"/>
        <v>602149654.89704764</v>
      </c>
      <c r="V67" s="213">
        <f t="shared" si="33"/>
        <v>827542018.89704764</v>
      </c>
      <c r="W67" s="355">
        <f>Table1536[[#This Row],[Relative Change in Smoking Prevalence:
Increase Cigarette Taxes]]</f>
        <v>-3.6400000000000002E-2</v>
      </c>
      <c r="X67" s="212">
        <f>'Healthcare Expenditures'!$Z63</f>
        <v>169443417.17065305</v>
      </c>
      <c r="Y67" s="212">
        <f>'Healthcare Expenditures'!$AA63</f>
        <v>144340688.70092669</v>
      </c>
      <c r="Z67" s="212">
        <f>'Healthcare Expenditures'!$AB63</f>
        <v>271946225.0887025</v>
      </c>
      <c r="AA67" s="212">
        <f>'Healthcare Expenditures'!$AC63</f>
        <v>61438379.617476657</v>
      </c>
      <c r="AB67" s="212">
        <f>'Healthcare Expenditures'!$AD63</f>
        <v>52336397.45192457</v>
      </c>
      <c r="AC67" s="212">
        <f>'Healthcare Expenditures'!$AE63</f>
        <v>98604806.793481097</v>
      </c>
      <c r="AD67" s="212">
        <f>'Healthcare Expenditures'!$AF63</f>
        <v>97103594.510425866</v>
      </c>
      <c r="AE67" s="212">
        <f>'Healthcare Expenditures'!$AG63</f>
        <v>82717876.805177614</v>
      </c>
      <c r="AF67" s="212">
        <f>'Healthcare Expenditures'!$AH63</f>
        <v>155845275.14018971</v>
      </c>
      <c r="AG67" s="212">
        <f>'Mortality Costs'!$K149</f>
        <v>51396446</v>
      </c>
      <c r="AH67" s="212">
        <f>'Mortality Costs'!$L149</f>
        <v>27287401</v>
      </c>
      <c r="AI67" s="212">
        <f>'Mortality Costs'!$M149</f>
        <v>85601612</v>
      </c>
      <c r="AJ67" s="212">
        <f>'Workplace Smoking Costs'!$S78</f>
        <v>63330054.859115444</v>
      </c>
      <c r="AK67" s="212">
        <f>'Workplace Smoking Costs'!$S197</f>
        <v>61381437.786527276</v>
      </c>
      <c r="AL67" s="212">
        <f>'Workplace Smoking Costs'!$S316</f>
        <v>202169021.2810224</v>
      </c>
      <c r="AM67" s="212">
        <f t="shared" si="42"/>
        <v>326880513.92666513</v>
      </c>
      <c r="AN67" s="213">
        <f t="shared" si="43"/>
        <v>547720377.09731817</v>
      </c>
      <c r="AO67" s="213">
        <f t="shared" si="44"/>
        <v>498508603.62759185</v>
      </c>
      <c r="AP67" s="213">
        <f t="shared" si="45"/>
        <v>684428351.01536763</v>
      </c>
      <c r="AQ67" s="212">
        <f>tblTotalCosts_Base[Gross Domestic Product (GDP)]</f>
        <v>33921600000</v>
      </c>
      <c r="AR67" s="214">
        <f t="shared" si="34"/>
        <v>1.6146655142956646E-2</v>
      </c>
      <c r="AS67" s="214">
        <f t="shared" si="35"/>
        <v>1.4695904781248286E-2</v>
      </c>
      <c r="AT67" s="214">
        <f t="shared" si="36"/>
        <v>2.0176770878005981E-2</v>
      </c>
      <c r="AU67" s="188">
        <f>'Healthcare Expenditures'!$AL63</f>
        <v>34514582.829346955</v>
      </c>
      <c r="AV67" s="188">
        <f>'Healthcare Expenditures'!$AM63</f>
        <v>29401311.299073309</v>
      </c>
      <c r="AW67" s="188">
        <f>'Healthcare Expenditures'!$AN63</f>
        <v>55393774.9112975</v>
      </c>
      <c r="AX67" s="188">
        <f>'Healthcare Expenditures'!$AO63</f>
        <v>12514620.382523343</v>
      </c>
      <c r="AY67" s="188">
        <f>'Healthcare Expenditures'!$AP63</f>
        <v>10660602.548075438</v>
      </c>
      <c r="AZ67" s="188">
        <f>'Healthcare Expenditures'!$AQ63</f>
        <v>20085193.206518903</v>
      </c>
      <c r="BA67" s="188">
        <f>'Healthcare Expenditures'!$AR63</f>
        <v>19779405.489574134</v>
      </c>
      <c r="BB67" s="188">
        <f>'Healthcare Expenditures'!$AS63</f>
        <v>16849123.194822401</v>
      </c>
      <c r="BC67" s="188">
        <f>'Healthcare Expenditures'!$AT63</f>
        <v>31744724.859810293</v>
      </c>
      <c r="BD67" s="166">
        <f>'Mortality Costs'!$N149</f>
        <v>13349268</v>
      </c>
      <c r="BE67" s="166">
        <f>'Mortality Costs'!$O149</f>
        <v>7656188</v>
      </c>
      <c r="BF67" s="166">
        <f>'Mortality Costs'!$P149</f>
        <v>21136340</v>
      </c>
      <c r="BG67" s="166">
        <f>'Workplace Smoking Costs'!$V78</f>
        <v>12899943.004694082</v>
      </c>
      <c r="BH67" s="166">
        <f>'Workplace Smoking Costs'!$V197</f>
        <v>12503021.681472734</v>
      </c>
      <c r="BI67" s="166">
        <f>'Workplace Smoking Costs'!$V316</f>
        <v>41180587.284215719</v>
      </c>
      <c r="BJ67" s="166">
        <f t="shared" si="46"/>
        <v>66583551.970382534</v>
      </c>
      <c r="BK67" s="166">
        <f t="shared" si="47"/>
        <v>114447402.7997295</v>
      </c>
      <c r="BL67" s="166">
        <f t="shared" si="37"/>
        <v>103641051.26945585</v>
      </c>
      <c r="BM67" s="166">
        <f t="shared" si="38"/>
        <v>143113666.88168004</v>
      </c>
      <c r="BN67" s="215">
        <f>SUM('Intervention Costs'!$E$46+'Intervention Costs'!$D$46+'Intervention Costs'!$G$46+'Intervention Costs'!$F$46)</f>
        <v>837959.39977647236</v>
      </c>
      <c r="BO67" s="166">
        <f t="shared" si="39"/>
        <v>136.57869680829239</v>
      </c>
      <c r="BP67" s="166">
        <f t="shared" si="40"/>
        <v>123.68266445498713</v>
      </c>
      <c r="BQ67" s="216">
        <f t="shared" si="41"/>
        <v>170.78830659320244</v>
      </c>
    </row>
    <row r="68" spans="2:69">
      <c r="B68" s="210">
        <v>6</v>
      </c>
      <c r="C68" s="211" t="s">
        <v>282</v>
      </c>
      <c r="D68" s="212">
        <f>'Healthcare Expenditures'!$J64</f>
        <v>203958000</v>
      </c>
      <c r="E68" s="212">
        <f>'Healthcare Expenditures'!$K64</f>
        <v>173742000</v>
      </c>
      <c r="F68" s="212">
        <f>'Healthcare Expenditures'!$L64</f>
        <v>327340000</v>
      </c>
      <c r="G68" s="212">
        <f>'Healthcare Expenditures'!$M64</f>
        <v>73953000</v>
      </c>
      <c r="H68" s="212">
        <f>'Healthcare Expenditures'!$N64</f>
        <v>62997000.000000007</v>
      </c>
      <c r="I68" s="212">
        <f>'Healthcare Expenditures'!$O64</f>
        <v>118690000</v>
      </c>
      <c r="J68" s="212">
        <f>'Healthcare Expenditures'!$P64</f>
        <v>116883000</v>
      </c>
      <c r="K68" s="212">
        <f>'Healthcare Expenditures'!$Q64</f>
        <v>99567000.000000015</v>
      </c>
      <c r="L68" s="212">
        <f>'Healthcare Expenditures'!$R64</f>
        <v>187590000</v>
      </c>
      <c r="M68" s="212">
        <f>'Mortality Costs'!$G150</f>
        <v>65069283</v>
      </c>
      <c r="N68" s="212">
        <f>'Mortality Costs'!$H150</f>
        <v>35118184</v>
      </c>
      <c r="O68" s="212">
        <f>'Mortality Costs'!$I150</f>
        <v>107271458</v>
      </c>
      <c r="P68" s="212">
        <f>'Workplace Smoking Costs'!$K79</f>
        <v>76229997.863809526</v>
      </c>
      <c r="Q68" s="212">
        <f>'Workplace Smoking Costs'!$K198</f>
        <v>73884459.46800001</v>
      </c>
      <c r="R68" s="212">
        <f>'Workplace Smoking Costs'!$K317</f>
        <v>243349608.56523812</v>
      </c>
      <c r="S68" s="212">
        <f t="shared" si="30"/>
        <v>393464065.89704764</v>
      </c>
      <c r="T68" s="213">
        <f t="shared" si="31"/>
        <v>662491348.89704764</v>
      </c>
      <c r="U68" s="213">
        <f t="shared" si="32"/>
        <v>602324249.89704764</v>
      </c>
      <c r="V68" s="213">
        <f t="shared" si="33"/>
        <v>828075523.89704764</v>
      </c>
      <c r="W68" s="355">
        <f>Table1536[[#This Row],[Relative Change in Smoking Prevalence:
Increase Cigarette Taxes]]</f>
        <v>-9.1000000000000022E-3</v>
      </c>
      <c r="X68" s="212">
        <f>'Healthcare Expenditures'!$Z64</f>
        <v>167901482.0744001</v>
      </c>
      <c r="Y68" s="212">
        <f>'Healthcare Expenditures'!$AA64</f>
        <v>143027188.43374825</v>
      </c>
      <c r="Z68" s="212">
        <f>'Healthcare Expenditures'!$AB64</f>
        <v>269471514.4403953</v>
      </c>
      <c r="AA68" s="212">
        <f>'Healthcare Expenditures'!$AC64</f>
        <v>60879290.362957627</v>
      </c>
      <c r="AB68" s="212">
        <f>'Healthcare Expenditures'!$AD64</f>
        <v>51860136.235112056</v>
      </c>
      <c r="AC68" s="212">
        <f>'Healthcare Expenditures'!$AE64</f>
        <v>97707503.051660419</v>
      </c>
      <c r="AD68" s="212">
        <f>'Healthcare Expenditures'!$AF64</f>
        <v>96219951.800381005</v>
      </c>
      <c r="AE68" s="212">
        <f>'Healthcare Expenditures'!$AG64</f>
        <v>81965144.126250491</v>
      </c>
      <c r="AF68" s="212">
        <f>'Healthcare Expenditures'!$AH64</f>
        <v>154427083.13641399</v>
      </c>
      <c r="AG68" s="212">
        <f>'Mortality Costs'!$K150</f>
        <v>51277526</v>
      </c>
      <c r="AH68" s="212">
        <f>'Mortality Costs'!$L150</f>
        <v>27170111</v>
      </c>
      <c r="AI68" s="212">
        <f>'Mortality Costs'!$M150</f>
        <v>85390642</v>
      </c>
      <c r="AJ68" s="212">
        <f>'Workplace Smoking Costs'!$S79</f>
        <v>62753751.359897502</v>
      </c>
      <c r="AK68" s="212">
        <f>'Workplace Smoking Costs'!$S198</f>
        <v>60822866.702669881</v>
      </c>
      <c r="AL68" s="212">
        <f>'Workplace Smoking Costs'!$S317</f>
        <v>200329283.18736508</v>
      </c>
      <c r="AM68" s="212">
        <f t="shared" si="42"/>
        <v>323905901.24993247</v>
      </c>
      <c r="AN68" s="213">
        <f t="shared" si="43"/>
        <v>543084909.32433259</v>
      </c>
      <c r="AO68" s="213">
        <f t="shared" si="44"/>
        <v>494103200.68368071</v>
      </c>
      <c r="AP68" s="213">
        <f t="shared" si="45"/>
        <v>678768057.69032776</v>
      </c>
      <c r="AQ68" s="212">
        <f>tblTotalCosts_Base[Gross Domestic Product (GDP)]</f>
        <v>33921600000</v>
      </c>
      <c r="AR68" s="214">
        <f t="shared" si="34"/>
        <v>1.6010002751177203E-2</v>
      </c>
      <c r="AS68" s="214">
        <f t="shared" si="35"/>
        <v>1.4566034641163173E-2</v>
      </c>
      <c r="AT68" s="214">
        <f t="shared" si="36"/>
        <v>2.0009906893847216E-2</v>
      </c>
      <c r="AU68" s="188">
        <f>'Healthcare Expenditures'!$AL64</f>
        <v>36056517.925599903</v>
      </c>
      <c r="AV68" s="188">
        <f>'Healthcare Expenditures'!$AM64</f>
        <v>30714811.566251755</v>
      </c>
      <c r="AW68" s="188">
        <f>'Healthcare Expenditures'!$AN64</f>
        <v>57868485.559604704</v>
      </c>
      <c r="AX68" s="188">
        <f>'Healthcare Expenditures'!$AO64</f>
        <v>13073709.637042373</v>
      </c>
      <c r="AY68" s="188">
        <f>'Healthcare Expenditures'!$AP64</f>
        <v>11136863.764887951</v>
      </c>
      <c r="AZ68" s="188">
        <f>'Healthcare Expenditures'!$AQ64</f>
        <v>20982496.948339581</v>
      </c>
      <c r="BA68" s="188">
        <f>'Healthcare Expenditures'!$AR64</f>
        <v>20663048.199618995</v>
      </c>
      <c r="BB68" s="188">
        <f>'Healthcare Expenditures'!$AS64</f>
        <v>17601855.873749524</v>
      </c>
      <c r="BC68" s="188">
        <f>'Healthcare Expenditures'!$AT64</f>
        <v>33162916.863586009</v>
      </c>
      <c r="BD68" s="166">
        <f>'Mortality Costs'!$N150</f>
        <v>13791757</v>
      </c>
      <c r="BE68" s="166">
        <f>'Mortality Costs'!$O150</f>
        <v>7948073</v>
      </c>
      <c r="BF68" s="166">
        <f>'Mortality Costs'!$P150</f>
        <v>21880816</v>
      </c>
      <c r="BG68" s="166">
        <f>'Workplace Smoking Costs'!$V79</f>
        <v>13476246.503912024</v>
      </c>
      <c r="BH68" s="166">
        <f>'Workplace Smoking Costs'!$V198</f>
        <v>13061592.765330128</v>
      </c>
      <c r="BI68" s="166">
        <f>'Workplace Smoking Costs'!$V317</f>
        <v>43020325.377873033</v>
      </c>
      <c r="BJ68" s="166">
        <f t="shared" si="46"/>
        <v>69558164.647115186</v>
      </c>
      <c r="BK68" s="166">
        <f t="shared" si="47"/>
        <v>119406439.57271509</v>
      </c>
      <c r="BL68" s="166">
        <f t="shared" si="37"/>
        <v>108221049.21336694</v>
      </c>
      <c r="BM68" s="166">
        <f t="shared" si="38"/>
        <v>149307466.20671988</v>
      </c>
      <c r="BN68" s="215">
        <f>SUM('Intervention Costs'!$E$47+'Intervention Costs'!$D$47+'Intervention Costs'!$G$47+'Intervention Costs'!$F$47)</f>
        <v>661371.43756002001</v>
      </c>
      <c r="BO68" s="166">
        <f t="shared" si="39"/>
        <v>180.54368965983483</v>
      </c>
      <c r="BP68" s="166">
        <f t="shared" si="40"/>
        <v>163.6312714268762</v>
      </c>
      <c r="BQ68" s="216">
        <f t="shared" si="41"/>
        <v>225.75433066410596</v>
      </c>
    </row>
    <row r="69" spans="2:69">
      <c r="B69" s="210">
        <v>7</v>
      </c>
      <c r="C69" s="211" t="s">
        <v>282</v>
      </c>
      <c r="D69" s="212">
        <f>'Healthcare Expenditures'!$J65</f>
        <v>203958000</v>
      </c>
      <c r="E69" s="212">
        <f>'Healthcare Expenditures'!$K65</f>
        <v>173742000</v>
      </c>
      <c r="F69" s="212">
        <f>'Healthcare Expenditures'!$L65</f>
        <v>327340000</v>
      </c>
      <c r="G69" s="212">
        <f>'Healthcare Expenditures'!$M65</f>
        <v>73953000</v>
      </c>
      <c r="H69" s="212">
        <f>'Healthcare Expenditures'!$N65</f>
        <v>62997000.000000007</v>
      </c>
      <c r="I69" s="212">
        <f>'Healthcare Expenditures'!$O65</f>
        <v>118690000</v>
      </c>
      <c r="J69" s="212">
        <f>'Healthcare Expenditures'!$P65</f>
        <v>116883000</v>
      </c>
      <c r="K69" s="212">
        <f>'Healthcare Expenditures'!$Q65</f>
        <v>99567000.000000015</v>
      </c>
      <c r="L69" s="212">
        <f>'Healthcare Expenditures'!$R65</f>
        <v>187590000</v>
      </c>
      <c r="M69" s="212">
        <f>'Mortality Costs'!$G151</f>
        <v>65394678</v>
      </c>
      <c r="N69" s="212">
        <f>'Mortality Costs'!$H151</f>
        <v>35293800</v>
      </c>
      <c r="O69" s="212">
        <f>'Mortality Costs'!$I151</f>
        <v>107807880</v>
      </c>
      <c r="P69" s="212">
        <f>'Workplace Smoking Costs'!$K80</f>
        <v>76229997.863809526</v>
      </c>
      <c r="Q69" s="212">
        <f>'Workplace Smoking Costs'!$K199</f>
        <v>73884459.46800001</v>
      </c>
      <c r="R69" s="212">
        <f>'Workplace Smoking Costs'!$K318</f>
        <v>243349608.56523812</v>
      </c>
      <c r="S69" s="212">
        <f t="shared" si="30"/>
        <v>393464065.89704764</v>
      </c>
      <c r="T69" s="213">
        <f t="shared" si="31"/>
        <v>662816743.89704764</v>
      </c>
      <c r="U69" s="213">
        <f t="shared" si="32"/>
        <v>602499865.89704764</v>
      </c>
      <c r="V69" s="213">
        <f t="shared" si="33"/>
        <v>828611945.89704764</v>
      </c>
      <c r="W69" s="355">
        <f>Table1536[[#This Row],[Relative Change in Smoking Prevalence:
Increase Cigarette Taxes]]</f>
        <v>-9.1000000000000022E-3</v>
      </c>
      <c r="X69" s="212">
        <f>'Healthcare Expenditures'!$Z65</f>
        <v>166373578.58752307</v>
      </c>
      <c r="Y69" s="212">
        <f>'Healthcare Expenditures'!$AA65</f>
        <v>141725641.01900116</v>
      </c>
      <c r="Z69" s="212">
        <f>'Healthcare Expenditures'!$AB65</f>
        <v>267019323.65898773</v>
      </c>
      <c r="AA69" s="212">
        <f>'Healthcare Expenditures'!$AC65</f>
        <v>60325288.820654705</v>
      </c>
      <c r="AB69" s="212">
        <f>'Healthcare Expenditures'!$AD65</f>
        <v>51388208.995372541</v>
      </c>
      <c r="AC69" s="212">
        <f>'Healthcare Expenditures'!$AE65</f>
        <v>96818364.773890302</v>
      </c>
      <c r="AD69" s="212">
        <f>'Healthcare Expenditures'!$AF65</f>
        <v>95344350.238997534</v>
      </c>
      <c r="AE69" s="212">
        <f>'Healthcare Expenditures'!$AG65</f>
        <v>81219261.314701617</v>
      </c>
      <c r="AF69" s="212">
        <f>'Healthcare Expenditures'!$AH65</f>
        <v>153021796.67987263</v>
      </c>
      <c r="AG69" s="212">
        <f>'Mortality Costs'!$K151</f>
        <v>51033529</v>
      </c>
      <c r="AH69" s="212">
        <f>'Mortality Costs'!$L151</f>
        <v>27117138</v>
      </c>
      <c r="AI69" s="212">
        <f>'Mortality Costs'!$M151</f>
        <v>85081176</v>
      </c>
      <c r="AJ69" s="212">
        <f>'Workplace Smoking Costs'!$S80</f>
        <v>62182692.222522438</v>
      </c>
      <c r="AK69" s="212">
        <f>'Workplace Smoking Costs'!$S199</f>
        <v>60269378.615675591</v>
      </c>
      <c r="AL69" s="212">
        <f>'Workplace Smoking Costs'!$S318</f>
        <v>198506286.71036008</v>
      </c>
      <c r="AM69" s="212">
        <f t="shared" si="42"/>
        <v>320958357.54855812</v>
      </c>
      <c r="AN69" s="213">
        <f t="shared" si="43"/>
        <v>538365465.13608122</v>
      </c>
      <c r="AO69" s="213">
        <f t="shared" si="44"/>
        <v>489801136.56755924</v>
      </c>
      <c r="AP69" s="213">
        <f t="shared" si="45"/>
        <v>673058857.20754588</v>
      </c>
      <c r="AQ69" s="212">
        <f>tblTotalCosts_Base[Gross Domestic Product (GDP)]</f>
        <v>33921600000</v>
      </c>
      <c r="AR69" s="214">
        <f t="shared" si="34"/>
        <v>1.5870874756381811E-2</v>
      </c>
      <c r="AS69" s="214">
        <f t="shared" si="35"/>
        <v>1.4439210903010449E-2</v>
      </c>
      <c r="AT69" s="214">
        <f t="shared" si="36"/>
        <v>1.9841601139319664E-2</v>
      </c>
      <c r="AU69" s="188">
        <f>'Healthcare Expenditures'!$AL65</f>
        <v>37584421.412476927</v>
      </c>
      <c r="AV69" s="188">
        <f>'Healthcare Expenditures'!$AM65</f>
        <v>32016358.980998844</v>
      </c>
      <c r="AW69" s="188">
        <f>'Healthcare Expenditures'!$AN65</f>
        <v>60320676.341012269</v>
      </c>
      <c r="AX69" s="188">
        <f>'Healthcare Expenditures'!$AO65</f>
        <v>13627711.179345295</v>
      </c>
      <c r="AY69" s="188">
        <f>'Healthcare Expenditures'!$AP65</f>
        <v>11608791.004627466</v>
      </c>
      <c r="AZ69" s="188">
        <f>'Healthcare Expenditures'!$AQ65</f>
        <v>21871635.226109698</v>
      </c>
      <c r="BA69" s="188">
        <f>'Healthcare Expenditures'!$AR65</f>
        <v>21538649.761002466</v>
      </c>
      <c r="BB69" s="188">
        <f>'Healthcare Expenditures'!$AS65</f>
        <v>18347738.685298398</v>
      </c>
      <c r="BC69" s="188">
        <f>'Healthcare Expenditures'!$AT65</f>
        <v>34568203.320127368</v>
      </c>
      <c r="BD69" s="166">
        <f>'Mortality Costs'!$N151</f>
        <v>14361149</v>
      </c>
      <c r="BE69" s="166">
        <f>'Mortality Costs'!$O151</f>
        <v>8176662</v>
      </c>
      <c r="BF69" s="166">
        <f>'Mortality Costs'!$P151</f>
        <v>22726704</v>
      </c>
      <c r="BG69" s="166">
        <f>'Workplace Smoking Costs'!$V80</f>
        <v>14047305.641287088</v>
      </c>
      <c r="BH69" s="166">
        <f>'Workplace Smoking Costs'!$V199</f>
        <v>13615080.852324419</v>
      </c>
      <c r="BI69" s="166">
        <f>'Workplace Smoking Costs'!$V318</f>
        <v>44843321.854878038</v>
      </c>
      <c r="BJ69" s="166">
        <f t="shared" si="46"/>
        <v>72505708.348489553</v>
      </c>
      <c r="BK69" s="166">
        <f t="shared" si="47"/>
        <v>124451278.76096648</v>
      </c>
      <c r="BL69" s="166">
        <f t="shared" si="37"/>
        <v>112698729.3294884</v>
      </c>
      <c r="BM69" s="166">
        <f t="shared" si="38"/>
        <v>155553088.68950182</v>
      </c>
      <c r="BN69" s="215">
        <f>SUM('Intervention Costs'!$E$48+'Intervention Costs'!$D$48+'Intervention Costs'!$G$48+'Intervention Costs'!$F$48)</f>
        <v>504727.41104759427</v>
      </c>
      <c r="BO69" s="166">
        <f t="shared" si="39"/>
        <v>246.57127003001449</v>
      </c>
      <c r="BP69" s="166">
        <f t="shared" si="40"/>
        <v>223.28632616876288</v>
      </c>
      <c r="BQ69" s="216">
        <f t="shared" si="41"/>
        <v>308.19227425481284</v>
      </c>
    </row>
    <row r="70" spans="2:69">
      <c r="B70" s="210">
        <v>8</v>
      </c>
      <c r="C70" s="211" t="s">
        <v>282</v>
      </c>
      <c r="D70" s="212">
        <f>'Healthcare Expenditures'!$J66</f>
        <v>203958000</v>
      </c>
      <c r="E70" s="212">
        <f>'Healthcare Expenditures'!$K66</f>
        <v>173742000</v>
      </c>
      <c r="F70" s="212">
        <f>'Healthcare Expenditures'!$L66</f>
        <v>327340000</v>
      </c>
      <c r="G70" s="212">
        <f>'Healthcare Expenditures'!$M66</f>
        <v>73953000</v>
      </c>
      <c r="H70" s="212">
        <f>'Healthcare Expenditures'!$N66</f>
        <v>62997000.000000007</v>
      </c>
      <c r="I70" s="212">
        <f>'Healthcare Expenditures'!$O66</f>
        <v>118690000</v>
      </c>
      <c r="J70" s="212">
        <f>'Healthcare Expenditures'!$P66</f>
        <v>116883000</v>
      </c>
      <c r="K70" s="212">
        <f>'Healthcare Expenditures'!$Q66</f>
        <v>99567000.000000015</v>
      </c>
      <c r="L70" s="212">
        <f>'Healthcare Expenditures'!$R66</f>
        <v>187590000</v>
      </c>
      <c r="M70" s="212">
        <f>'Mortality Costs'!$G152</f>
        <v>65721801</v>
      </c>
      <c r="N70" s="212">
        <f>'Mortality Costs'!$H152</f>
        <v>35470400</v>
      </c>
      <c r="O70" s="212">
        <f>'Mortality Costs'!$I152</f>
        <v>108347093</v>
      </c>
      <c r="P70" s="212">
        <f>'Workplace Smoking Costs'!$K81</f>
        <v>76229997.863809526</v>
      </c>
      <c r="Q70" s="212">
        <f>'Workplace Smoking Costs'!$K200</f>
        <v>73884459.46800001</v>
      </c>
      <c r="R70" s="212">
        <f>'Workplace Smoking Costs'!$K319</f>
        <v>243349608.56523812</v>
      </c>
      <c r="S70" s="212">
        <f t="shared" si="30"/>
        <v>393464065.89704764</v>
      </c>
      <c r="T70" s="213">
        <f t="shared" si="31"/>
        <v>663143866.89704764</v>
      </c>
      <c r="U70" s="213">
        <f t="shared" si="32"/>
        <v>602676465.89704764</v>
      </c>
      <c r="V70" s="213">
        <f t="shared" si="33"/>
        <v>829151158.89704764</v>
      </c>
      <c r="W70" s="355">
        <f>Table1536[[#This Row],[Relative Change in Smoking Prevalence:
Increase Cigarette Taxes]]</f>
        <v>-9.1000000000000022E-3</v>
      </c>
      <c r="X70" s="212">
        <f>'Healthcare Expenditures'!$Z66</f>
        <v>164859579.0223766</v>
      </c>
      <c r="Y70" s="212">
        <f>'Healthcare Expenditures'!$AA66</f>
        <v>140435937.68572822</v>
      </c>
      <c r="Z70" s="212">
        <f>'Healthcare Expenditures'!$AB66</f>
        <v>264589447.81369093</v>
      </c>
      <c r="AA70" s="212">
        <f>'Healthcare Expenditures'!$AC66</f>
        <v>59776328.692386754</v>
      </c>
      <c r="AB70" s="212">
        <f>'Healthcare Expenditures'!$AD66</f>
        <v>50920576.293514647</v>
      </c>
      <c r="AC70" s="212">
        <f>'Healthcare Expenditures'!$AE66</f>
        <v>95937317.654447898</v>
      </c>
      <c r="AD70" s="212">
        <f>'Healthcare Expenditures'!$AF66</f>
        <v>94476716.651822656</v>
      </c>
      <c r="AE70" s="212">
        <f>'Healthcare Expenditures'!$AG66</f>
        <v>80480166.036737829</v>
      </c>
      <c r="AF70" s="212">
        <f>'Healthcare Expenditures'!$AH66</f>
        <v>151629298.33008578</v>
      </c>
      <c r="AG70" s="212">
        <f>'Mortality Costs'!$K152</f>
        <v>50947194</v>
      </c>
      <c r="AH70" s="212">
        <f>'Mortality Costs'!$L152</f>
        <v>27081998</v>
      </c>
      <c r="AI70" s="212">
        <f>'Mortality Costs'!$M152</f>
        <v>84709609</v>
      </c>
      <c r="AJ70" s="212">
        <f>'Workplace Smoking Costs'!$S81</f>
        <v>61616829.723297469</v>
      </c>
      <c r="AK70" s="212">
        <f>'Workplace Smoking Costs'!$S200</f>
        <v>59720927.27027294</v>
      </c>
      <c r="AL70" s="212">
        <f>'Workplace Smoking Costs'!$S319</f>
        <v>196699879.5012958</v>
      </c>
      <c r="AM70" s="212">
        <f t="shared" si="42"/>
        <v>318037636.49486625</v>
      </c>
      <c r="AN70" s="213">
        <f t="shared" si="43"/>
        <v>533844409.51724285</v>
      </c>
      <c r="AO70" s="213">
        <f t="shared" si="44"/>
        <v>485555572.18059444</v>
      </c>
      <c r="AP70" s="213">
        <f t="shared" si="45"/>
        <v>667336693.30855715</v>
      </c>
      <c r="AQ70" s="212">
        <f>tblTotalCosts_Base[Gross Domestic Product (GDP)]</f>
        <v>33921600000</v>
      </c>
      <c r="AR70" s="214">
        <f t="shared" si="34"/>
        <v>1.5737595205333559E-2</v>
      </c>
      <c r="AS70" s="214">
        <f t="shared" si="35"/>
        <v>1.4314052762269304E-2</v>
      </c>
      <c r="AT70" s="214">
        <f t="shared" si="36"/>
        <v>1.9672913226633094E-2</v>
      </c>
      <c r="AU70" s="188">
        <f>'Healthcare Expenditures'!$AL66</f>
        <v>39098420.977623403</v>
      </c>
      <c r="AV70" s="188">
        <f>'Healthcare Expenditures'!$AM66</f>
        <v>33306062.314271778</v>
      </c>
      <c r="AW70" s="188">
        <f>'Healthcare Expenditures'!$AN66</f>
        <v>62750552.186309069</v>
      </c>
      <c r="AX70" s="188">
        <f>'Healthcare Expenditures'!$AO66</f>
        <v>14176671.307613246</v>
      </c>
      <c r="AY70" s="188">
        <f>'Healthcare Expenditures'!$AP66</f>
        <v>12076423.706485361</v>
      </c>
      <c r="AZ70" s="188">
        <f>'Healthcare Expenditures'!$AQ66</f>
        <v>22752682.345552102</v>
      </c>
      <c r="BA70" s="188">
        <f>'Healthcare Expenditures'!$AR66</f>
        <v>22406283.348177344</v>
      </c>
      <c r="BB70" s="188">
        <f>'Healthcare Expenditures'!$AS66</f>
        <v>19086833.963262185</v>
      </c>
      <c r="BC70" s="188">
        <f>'Healthcare Expenditures'!$AT66</f>
        <v>35960701.669914216</v>
      </c>
      <c r="BD70" s="166">
        <f>'Mortality Costs'!$N152</f>
        <v>14774607</v>
      </c>
      <c r="BE70" s="166">
        <f>'Mortality Costs'!$O152</f>
        <v>8388402</v>
      </c>
      <c r="BF70" s="166">
        <f>'Mortality Costs'!$P152</f>
        <v>23637484</v>
      </c>
      <c r="BG70" s="166">
        <f>'Workplace Smoking Costs'!$V81</f>
        <v>14613168.140512057</v>
      </c>
      <c r="BH70" s="166">
        <f>'Workplace Smoking Costs'!$V200</f>
        <v>14163532.197727069</v>
      </c>
      <c r="BI70" s="166">
        <f>'Workplace Smoking Costs'!$V319</f>
        <v>46649729.063942313</v>
      </c>
      <c r="BJ70" s="166">
        <f t="shared" si="46"/>
        <v>75426429.402181447</v>
      </c>
      <c r="BK70" s="166">
        <f t="shared" si="47"/>
        <v>129299457.37980485</v>
      </c>
      <c r="BL70" s="166">
        <f t="shared" si="37"/>
        <v>117120893.71645322</v>
      </c>
      <c r="BM70" s="166">
        <f t="shared" si="38"/>
        <v>161814465.58849052</v>
      </c>
      <c r="BN70" s="215">
        <f>SUM('Intervention Costs'!$E$49+'Intervention Costs'!$D$49+'Intervention Costs'!$G$49+'Intervention Costs'!$F$49)</f>
        <v>487356.38954534929</v>
      </c>
      <c r="BO70" s="166">
        <f t="shared" si="39"/>
        <v>265.30781201089258</v>
      </c>
      <c r="BP70" s="166">
        <f t="shared" si="40"/>
        <v>240.31878155063143</v>
      </c>
      <c r="BQ70" s="216">
        <f t="shared" si="41"/>
        <v>332.02491864207605</v>
      </c>
    </row>
    <row r="71" spans="2:69">
      <c r="B71" s="210">
        <v>9</v>
      </c>
      <c r="C71" s="211" t="s">
        <v>282</v>
      </c>
      <c r="D71" s="212">
        <f>'Healthcare Expenditures'!$J67</f>
        <v>203958000</v>
      </c>
      <c r="E71" s="212">
        <f>'Healthcare Expenditures'!$K67</f>
        <v>173742000</v>
      </c>
      <c r="F71" s="212">
        <f>'Healthcare Expenditures'!$L67</f>
        <v>327340000</v>
      </c>
      <c r="G71" s="212">
        <f>'Healthcare Expenditures'!$M67</f>
        <v>73953000</v>
      </c>
      <c r="H71" s="212">
        <f>'Healthcare Expenditures'!$N67</f>
        <v>62997000.000000007</v>
      </c>
      <c r="I71" s="212">
        <f>'Healthcare Expenditures'!$O67</f>
        <v>118690000</v>
      </c>
      <c r="J71" s="212">
        <f>'Healthcare Expenditures'!$P67</f>
        <v>116883000</v>
      </c>
      <c r="K71" s="212">
        <f>'Healthcare Expenditures'!$Q67</f>
        <v>99567000.000000015</v>
      </c>
      <c r="L71" s="212">
        <f>'Healthcare Expenditures'!$R67</f>
        <v>187590000</v>
      </c>
      <c r="M71" s="212">
        <f>'Mortality Costs'!$G153</f>
        <v>66050368</v>
      </c>
      <c r="N71" s="212">
        <f>'Mortality Costs'!$H153</f>
        <v>35647711</v>
      </c>
      <c r="O71" s="212">
        <f>'Mortality Costs'!$I153</f>
        <v>108888772</v>
      </c>
      <c r="P71" s="212">
        <f>'Workplace Smoking Costs'!$K82</f>
        <v>76229997.863809526</v>
      </c>
      <c r="Q71" s="212">
        <f>'Workplace Smoking Costs'!$K201</f>
        <v>73884459.46800001</v>
      </c>
      <c r="R71" s="212">
        <f>'Workplace Smoking Costs'!$K320</f>
        <v>243349608.56523812</v>
      </c>
      <c r="S71" s="212">
        <f t="shared" si="30"/>
        <v>393464065.89704764</v>
      </c>
      <c r="T71" s="213">
        <f t="shared" si="31"/>
        <v>663472433.89704764</v>
      </c>
      <c r="U71" s="213">
        <f t="shared" si="32"/>
        <v>602853776.89704764</v>
      </c>
      <c r="V71" s="213">
        <f t="shared" si="33"/>
        <v>829692837.89704764</v>
      </c>
      <c r="W71" s="355">
        <f>Table1536[[#This Row],[Relative Change in Smoking Prevalence:
Increase Cigarette Taxes]]</f>
        <v>-9.1000000000000022E-3</v>
      </c>
      <c r="X71" s="212">
        <f>'Healthcare Expenditures'!$Z67</f>
        <v>163359356.85327294</v>
      </c>
      <c r="Y71" s="212">
        <f>'Healthcare Expenditures'!$AA67</f>
        <v>139157970.6527881</v>
      </c>
      <c r="Z71" s="212">
        <f>'Healthcare Expenditures'!$AB67</f>
        <v>262181683.83858633</v>
      </c>
      <c r="AA71" s="212">
        <f>'Healthcare Expenditures'!$AC67</f>
        <v>59232364.101286024</v>
      </c>
      <c r="AB71" s="212">
        <f>'Healthcare Expenditures'!$AD67</f>
        <v>50457199.049243659</v>
      </c>
      <c r="AC71" s="212">
        <f>'Healthcare Expenditures'!$AE67</f>
        <v>95064288.063792422</v>
      </c>
      <c r="AD71" s="212">
        <f>'Healthcare Expenditures'!$AF67</f>
        <v>93616978.530291051</v>
      </c>
      <c r="AE71" s="212">
        <f>'Healthcare Expenditures'!$AG67</f>
        <v>79747796.525803506</v>
      </c>
      <c r="AF71" s="212">
        <f>'Healthcare Expenditures'!$AH67</f>
        <v>150249471.71528199</v>
      </c>
      <c r="AG71" s="212">
        <f>'Mortality Costs'!$K153</f>
        <v>50868125</v>
      </c>
      <c r="AH71" s="212">
        <f>'Mortality Costs'!$L153</f>
        <v>27017118</v>
      </c>
      <c r="AI71" s="212">
        <f>'Mortality Costs'!$M153</f>
        <v>84608614</v>
      </c>
      <c r="AJ71" s="212">
        <f>'Workplace Smoking Costs'!$S82</f>
        <v>61056116.572815478</v>
      </c>
      <c r="AK71" s="212">
        <f>'Workplace Smoking Costs'!$S201</f>
        <v>59177466.83211346</v>
      </c>
      <c r="AL71" s="212">
        <f>'Workplace Smoking Costs'!$S320</f>
        <v>194909910.59783405</v>
      </c>
      <c r="AM71" s="212">
        <f t="shared" si="42"/>
        <v>315143494.00276297</v>
      </c>
      <c r="AN71" s="213">
        <f t="shared" si="43"/>
        <v>529370975.85603595</v>
      </c>
      <c r="AO71" s="213">
        <f t="shared" si="44"/>
        <v>481318582.65555108</v>
      </c>
      <c r="AP71" s="213">
        <f t="shared" si="45"/>
        <v>661933791.84134936</v>
      </c>
      <c r="AQ71" s="212">
        <f>tblTotalCosts_Base[Gross Domestic Product (GDP)]</f>
        <v>33921600000</v>
      </c>
      <c r="AR71" s="214">
        <f t="shared" si="34"/>
        <v>1.5605719537287037E-2</v>
      </c>
      <c r="AS71" s="214">
        <f t="shared" si="35"/>
        <v>1.4189147406241187E-2</v>
      </c>
      <c r="AT71" s="214">
        <f t="shared" si="36"/>
        <v>1.9513637087912993E-2</v>
      </c>
      <c r="AU71" s="188">
        <f>'Healthcare Expenditures'!$AL67</f>
        <v>40598643.146727055</v>
      </c>
      <c r="AV71" s="188">
        <f>'Healthcare Expenditures'!$AM67</f>
        <v>34584029.347211897</v>
      </c>
      <c r="AW71" s="188">
        <f>'Healthcare Expenditures'!$AN67</f>
        <v>65158316.16141367</v>
      </c>
      <c r="AX71" s="188">
        <f>'Healthcare Expenditures'!$AO67</f>
        <v>14720635.898713976</v>
      </c>
      <c r="AY71" s="188">
        <f>'Healthcare Expenditures'!$AP67</f>
        <v>12539800.950756349</v>
      </c>
      <c r="AZ71" s="188">
        <f>'Healthcare Expenditures'!$AQ67</f>
        <v>23625711.936207578</v>
      </c>
      <c r="BA71" s="188">
        <f>'Healthcare Expenditures'!$AR67</f>
        <v>23266021.469708949</v>
      </c>
      <c r="BB71" s="188">
        <f>'Healthcare Expenditures'!$AS67</f>
        <v>19819203.474196509</v>
      </c>
      <c r="BC71" s="188">
        <f>'Healthcare Expenditures'!$AT67</f>
        <v>37340528.284718007</v>
      </c>
      <c r="BD71" s="166">
        <f>'Mortality Costs'!$N153</f>
        <v>15182243</v>
      </c>
      <c r="BE71" s="166">
        <f>'Mortality Costs'!$O153</f>
        <v>8630593</v>
      </c>
      <c r="BF71" s="166">
        <f>'Mortality Costs'!$P153</f>
        <v>24280158</v>
      </c>
      <c r="BG71" s="166">
        <f>'Workplace Smoking Costs'!$V82</f>
        <v>15173881.290994048</v>
      </c>
      <c r="BH71" s="166">
        <f>'Workplace Smoking Costs'!$V201</f>
        <v>14706992.63588655</v>
      </c>
      <c r="BI71" s="166">
        <f>'Workplace Smoking Costs'!$V320</f>
        <v>48439697.967404068</v>
      </c>
      <c r="BJ71" s="166">
        <f t="shared" si="46"/>
        <v>78320571.894284666</v>
      </c>
      <c r="BK71" s="166">
        <f t="shared" si="47"/>
        <v>134101458.04101172</v>
      </c>
      <c r="BL71" s="166">
        <f t="shared" si="37"/>
        <v>121535194.24149656</v>
      </c>
      <c r="BM71" s="166">
        <f t="shared" si="38"/>
        <v>167759046.05569834</v>
      </c>
      <c r="BN71" s="215">
        <f>SUM('Intervention Costs'!$E$50+'Intervention Costs'!$D$50+'Intervention Costs'!$G$50+'Intervention Costs'!$F$50)</f>
        <v>487356.38954534929</v>
      </c>
      <c r="BO71" s="166">
        <f t="shared" si="39"/>
        <v>275.16097237611649</v>
      </c>
      <c r="BP71" s="166">
        <f t="shared" si="40"/>
        <v>249.37642523754687</v>
      </c>
      <c r="BQ71" s="216">
        <f t="shared" si="41"/>
        <v>344.22252309485333</v>
      </c>
    </row>
    <row r="72" spans="2:69">
      <c r="B72" s="210">
        <v>10</v>
      </c>
      <c r="C72" s="211" t="s">
        <v>282</v>
      </c>
      <c r="D72" s="212">
        <f>'Healthcare Expenditures'!$J68</f>
        <v>203958000</v>
      </c>
      <c r="E72" s="212">
        <f>'Healthcare Expenditures'!$K68</f>
        <v>173742000</v>
      </c>
      <c r="F72" s="212">
        <f>'Healthcare Expenditures'!$L68</f>
        <v>327340000</v>
      </c>
      <c r="G72" s="212">
        <f>'Healthcare Expenditures'!$M68</f>
        <v>73953000</v>
      </c>
      <c r="H72" s="212">
        <f>'Healthcare Expenditures'!$N68</f>
        <v>62997000.000000007</v>
      </c>
      <c r="I72" s="212">
        <f>'Healthcare Expenditures'!$O68</f>
        <v>118690000</v>
      </c>
      <c r="J72" s="212">
        <f>'Healthcare Expenditures'!$P68</f>
        <v>116883000</v>
      </c>
      <c r="K72" s="212">
        <f>'Healthcare Expenditures'!$Q68</f>
        <v>99567000.000000015</v>
      </c>
      <c r="L72" s="212">
        <f>'Healthcare Expenditures'!$R68</f>
        <v>187590000</v>
      </c>
      <c r="M72" s="212">
        <f>'Mortality Costs'!$G154</f>
        <v>66380616</v>
      </c>
      <c r="N72" s="212">
        <f>'Mortality Costs'!$H154</f>
        <v>35825953</v>
      </c>
      <c r="O72" s="212">
        <f>'Mortality Costs'!$I154</f>
        <v>109433221</v>
      </c>
      <c r="P72" s="212">
        <f>'Workplace Smoking Costs'!$K83</f>
        <v>76229997.863809526</v>
      </c>
      <c r="Q72" s="212">
        <f>'Workplace Smoking Costs'!$K202</f>
        <v>73884459.46800001</v>
      </c>
      <c r="R72" s="212">
        <f>'Workplace Smoking Costs'!$K321</f>
        <v>243349608.56523812</v>
      </c>
      <c r="S72" s="212">
        <f t="shared" si="30"/>
        <v>393464065.89704764</v>
      </c>
      <c r="T72" s="213">
        <f t="shared" si="31"/>
        <v>663802681.89704764</v>
      </c>
      <c r="U72" s="213">
        <f t="shared" si="32"/>
        <v>603032018.89704764</v>
      </c>
      <c r="V72" s="213">
        <f t="shared" si="33"/>
        <v>830237286.89704764</v>
      </c>
      <c r="W72" s="355">
        <f>Table1536[[#This Row],[Relative Change in Smoking Prevalence:
Increase Cigarette Taxes]]</f>
        <v>-9.1000000000000022E-3</v>
      </c>
      <c r="X72" s="212">
        <f>'Healthcare Expenditures'!$Z68</f>
        <v>161872786.70590818</v>
      </c>
      <c r="Y72" s="212">
        <f>'Healthcare Expenditures'!$AA68</f>
        <v>137891633.11984774</v>
      </c>
      <c r="Z72" s="212">
        <f>'Healthcare Expenditures'!$AB68</f>
        <v>259795830.51565522</v>
      </c>
      <c r="AA72" s="212">
        <f>'Healthcare Expenditures'!$AC68</f>
        <v>58693349.587964319</v>
      </c>
      <c r="AB72" s="212">
        <f>'Healthcare Expenditures'!$AD68</f>
        <v>49998038.537895545</v>
      </c>
      <c r="AC72" s="212">
        <f>'Healthcare Expenditures'!$AE68</f>
        <v>94199203.042411923</v>
      </c>
      <c r="AD72" s="212">
        <f>'Healthcare Expenditures'!$AF68</f>
        <v>92765064.025665402</v>
      </c>
      <c r="AE72" s="212">
        <f>'Healthcare Expenditures'!$AG68</f>
        <v>79022091.5774187</v>
      </c>
      <c r="AF72" s="212">
        <f>'Healthcare Expenditures'!$AH68</f>
        <v>148882201.52267295</v>
      </c>
      <c r="AG72" s="212">
        <f>'Mortality Costs'!$K154</f>
        <v>50346140</v>
      </c>
      <c r="AH72" s="212">
        <f>'Mortality Costs'!$L154</f>
        <v>26653820</v>
      </c>
      <c r="AI72" s="212">
        <f>'Mortality Costs'!$M154</f>
        <v>83871953</v>
      </c>
      <c r="AJ72" s="212">
        <f>'Workplace Smoking Costs'!$S83</f>
        <v>60500505.912002854</v>
      </c>
      <c r="AK72" s="212">
        <f>'Workplace Smoking Costs'!$S202</f>
        <v>58638951.883941233</v>
      </c>
      <c r="AL72" s="212">
        <f>'Workplace Smoking Costs'!$S321</f>
        <v>193136230.41139376</v>
      </c>
      <c r="AM72" s="212">
        <f t="shared" si="42"/>
        <v>312275688.20733786</v>
      </c>
      <c r="AN72" s="213">
        <f t="shared" si="43"/>
        <v>524494614.91324604</v>
      </c>
      <c r="AO72" s="213">
        <f t="shared" si="44"/>
        <v>476821141.32718563</v>
      </c>
      <c r="AP72" s="213">
        <f t="shared" si="45"/>
        <v>655943471.72299314</v>
      </c>
      <c r="AQ72" s="212">
        <f>tblTotalCosts_Base[Gross Domestic Product (GDP)]</f>
        <v>33921600000</v>
      </c>
      <c r="AR72" s="214">
        <f t="shared" si="34"/>
        <v>1.5461965677127437E-2</v>
      </c>
      <c r="AS72" s="214">
        <f t="shared" si="35"/>
        <v>1.4056563998372294E-2</v>
      </c>
      <c r="AT72" s="214">
        <f t="shared" si="36"/>
        <v>1.9337043999192054E-2</v>
      </c>
      <c r="AU72" s="188">
        <f>'Healthcare Expenditures'!$AL68</f>
        <v>42085213.294091821</v>
      </c>
      <c r="AV72" s="188">
        <f>'Healthcare Expenditures'!$AM68</f>
        <v>35850366.880152255</v>
      </c>
      <c r="AW72" s="188">
        <f>'Healthcare Expenditures'!$AN68</f>
        <v>67544169.48434478</v>
      </c>
      <c r="AX72" s="188">
        <f>'Healthcare Expenditures'!$AO68</f>
        <v>15259650.412035681</v>
      </c>
      <c r="AY72" s="188">
        <f>'Healthcare Expenditures'!$AP68</f>
        <v>12998961.462104462</v>
      </c>
      <c r="AZ72" s="188">
        <f>'Healthcare Expenditures'!$AQ68</f>
        <v>24490796.957588077</v>
      </c>
      <c r="BA72" s="188">
        <f>'Healthcare Expenditures'!$AR68</f>
        <v>24117935.974334598</v>
      </c>
      <c r="BB72" s="188">
        <f>'Healthcare Expenditures'!$AS68</f>
        <v>20544908.422581315</v>
      </c>
      <c r="BC72" s="188">
        <f>'Healthcare Expenditures'!$AT68</f>
        <v>38707798.477327049</v>
      </c>
      <c r="BD72" s="166">
        <f>'Mortality Costs'!$N154</f>
        <v>16034476</v>
      </c>
      <c r="BE72" s="166">
        <f>'Mortality Costs'!$O154</f>
        <v>9172133</v>
      </c>
      <c r="BF72" s="166">
        <f>'Mortality Costs'!$P154</f>
        <v>25561268</v>
      </c>
      <c r="BG72" s="166">
        <f>'Workplace Smoking Costs'!$V83</f>
        <v>15729491.951806672</v>
      </c>
      <c r="BH72" s="166">
        <f>'Workplace Smoking Costs'!$V202</f>
        <v>15245507.584058776</v>
      </c>
      <c r="BI72" s="166">
        <f>'Workplace Smoking Costs'!$V321</f>
        <v>50213378.153844357</v>
      </c>
      <c r="BJ72" s="166">
        <f t="shared" si="46"/>
        <v>81188377.689709812</v>
      </c>
      <c r="BK72" s="166">
        <f t="shared" si="47"/>
        <v>139308066.98380163</v>
      </c>
      <c r="BL72" s="166">
        <f t="shared" si="37"/>
        <v>126210877.56986207</v>
      </c>
      <c r="BM72" s="166">
        <f t="shared" si="38"/>
        <v>174293815.17405459</v>
      </c>
      <c r="BN72" s="215">
        <f>SUM('Intervention Costs'!$E$51+'Intervention Costs'!$D$51+'Intervention Costs'!$G$51+'Intervention Costs'!$F$51)</f>
        <v>504727.41104759427</v>
      </c>
      <c r="BO72" s="166">
        <f t="shared" si="39"/>
        <v>276.00654122322931</v>
      </c>
      <c r="BP72" s="166">
        <f t="shared" si="40"/>
        <v>250.05750590779934</v>
      </c>
      <c r="BQ72" s="216">
        <f t="shared" si="41"/>
        <v>345.32266597587113</v>
      </c>
    </row>
    <row r="73" spans="2:69">
      <c r="B73" s="210">
        <v>11</v>
      </c>
      <c r="C73" s="211" t="s">
        <v>282</v>
      </c>
      <c r="D73" s="212">
        <f>'Healthcare Expenditures'!$J69</f>
        <v>203958000</v>
      </c>
      <c r="E73" s="212">
        <f>'Healthcare Expenditures'!$K69</f>
        <v>173742000</v>
      </c>
      <c r="F73" s="212">
        <f>'Healthcare Expenditures'!$L69</f>
        <v>327340000</v>
      </c>
      <c r="G73" s="212">
        <f>'Healthcare Expenditures'!$M69</f>
        <v>73953000</v>
      </c>
      <c r="H73" s="212">
        <f>'Healthcare Expenditures'!$N69</f>
        <v>62997000.000000007</v>
      </c>
      <c r="I73" s="212">
        <f>'Healthcare Expenditures'!$O69</f>
        <v>118690000</v>
      </c>
      <c r="J73" s="212">
        <f>'Healthcare Expenditures'!$P69</f>
        <v>116883000</v>
      </c>
      <c r="K73" s="212">
        <f>'Healthcare Expenditures'!$Q69</f>
        <v>99567000.000000015</v>
      </c>
      <c r="L73" s="212">
        <f>'Healthcare Expenditures'!$R69</f>
        <v>187590000</v>
      </c>
      <c r="M73" s="212">
        <f>'Mortality Costs'!$G155</f>
        <v>66712539</v>
      </c>
      <c r="N73" s="212">
        <f>'Mortality Costs'!$H155</f>
        <v>36005105</v>
      </c>
      <c r="O73" s="212">
        <f>'Mortality Costs'!$I155</f>
        <v>109980423</v>
      </c>
      <c r="P73" s="212">
        <f>'Workplace Smoking Costs'!$K84</f>
        <v>76229997.863809526</v>
      </c>
      <c r="Q73" s="212">
        <f>'Workplace Smoking Costs'!$K203</f>
        <v>73884459.46800001</v>
      </c>
      <c r="R73" s="212">
        <f>'Workplace Smoking Costs'!$K322</f>
        <v>243349608.56523812</v>
      </c>
      <c r="S73" s="212">
        <f t="shared" si="30"/>
        <v>393464065.89704764</v>
      </c>
      <c r="T73" s="213">
        <f t="shared" si="31"/>
        <v>664134604.89704764</v>
      </c>
      <c r="U73" s="213">
        <f t="shared" si="32"/>
        <v>603211170.89704764</v>
      </c>
      <c r="V73" s="213">
        <f t="shared" si="33"/>
        <v>830784488.89704764</v>
      </c>
      <c r="W73" s="355">
        <f>Table1536[[#This Row],[Relative Change in Smoking Prevalence:
Increase Cigarette Taxes]]</f>
        <v>-9.1000000000000022E-3</v>
      </c>
      <c r="X73" s="212">
        <f>'Healthcare Expenditures'!$Z69</f>
        <v>160399744.3468844</v>
      </c>
      <c r="Y73" s="212">
        <f>'Healthcare Expenditures'!$AA69</f>
        <v>136636819.25845712</v>
      </c>
      <c r="Z73" s="212">
        <f>'Healthcare Expenditures'!$AB69</f>
        <v>257431688.45796278</v>
      </c>
      <c r="AA73" s="212">
        <f>'Healthcare Expenditures'!$AC69</f>
        <v>58159240.106713846</v>
      </c>
      <c r="AB73" s="212">
        <f>'Healthcare Expenditures'!$AD69</f>
        <v>49543056.387200698</v>
      </c>
      <c r="AC73" s="212">
        <f>'Healthcare Expenditures'!$AE69</f>
        <v>93341990.294725969</v>
      </c>
      <c r="AD73" s="212">
        <f>'Healthcare Expenditures'!$AF69</f>
        <v>91920901.943031847</v>
      </c>
      <c r="AE73" s="212">
        <f>'Healthcare Expenditures'!$AG69</f>
        <v>78302990.544064194</v>
      </c>
      <c r="AF73" s="212">
        <f>'Healthcare Expenditures'!$AH69</f>
        <v>147527373.48881662</v>
      </c>
      <c r="AG73" s="212">
        <f>'Mortality Costs'!$K155</f>
        <v>50183696</v>
      </c>
      <c r="AH73" s="212">
        <f>'Mortality Costs'!$L155</f>
        <v>26575191</v>
      </c>
      <c r="AI73" s="212">
        <f>'Mortality Costs'!$M155</f>
        <v>83626711</v>
      </c>
      <c r="AJ73" s="212">
        <f>'Workplace Smoking Costs'!$S84</f>
        <v>59949951.308203638</v>
      </c>
      <c r="AK73" s="212">
        <f>'Workplace Smoking Costs'!$S203</f>
        <v>58105337.421797365</v>
      </c>
      <c r="AL73" s="212">
        <f>'Workplace Smoking Costs'!$S322</f>
        <v>191378690.71465006</v>
      </c>
      <c r="AM73" s="212">
        <f t="shared" si="42"/>
        <v>309433979.44465107</v>
      </c>
      <c r="AN73" s="213">
        <f t="shared" si="43"/>
        <v>520017419.7915355</v>
      </c>
      <c r="AO73" s="213">
        <f t="shared" si="44"/>
        <v>472645989.70310819</v>
      </c>
      <c r="AP73" s="213">
        <f t="shared" si="45"/>
        <v>650492378.90261388</v>
      </c>
      <c r="AQ73" s="212">
        <f>tblTotalCosts_Base[Gross Domestic Product (GDP)]</f>
        <v>33921600000</v>
      </c>
      <c r="AR73" s="214">
        <f t="shared" si="34"/>
        <v>1.5329979122197523E-2</v>
      </c>
      <c r="AS73" s="214">
        <f t="shared" si="35"/>
        <v>1.3933481607680893E-2</v>
      </c>
      <c r="AT73" s="214">
        <f t="shared" si="36"/>
        <v>1.917634719183688E-2</v>
      </c>
      <c r="AU73" s="188">
        <f>'Healthcare Expenditures'!$AL69</f>
        <v>43558255.6531156</v>
      </c>
      <c r="AV73" s="188">
        <f>'Healthcare Expenditures'!$AM69</f>
        <v>37105180.741542876</v>
      </c>
      <c r="AW73" s="188">
        <f>'Healthcare Expenditures'!$AN69</f>
        <v>69908311.542037219</v>
      </c>
      <c r="AX73" s="188">
        <f>'Healthcare Expenditures'!$AO69</f>
        <v>15793759.893286154</v>
      </c>
      <c r="AY73" s="188">
        <f>'Healthcare Expenditures'!$AP69</f>
        <v>13453943.612799309</v>
      </c>
      <c r="AZ73" s="188">
        <f>'Healthcare Expenditures'!$AQ69</f>
        <v>25348009.705274031</v>
      </c>
      <c r="BA73" s="188">
        <f>'Healthcare Expenditures'!$AR69</f>
        <v>24962098.056968153</v>
      </c>
      <c r="BB73" s="188">
        <f>'Healthcare Expenditures'!$AS69</f>
        <v>21264009.455935821</v>
      </c>
      <c r="BC73" s="188">
        <f>'Healthcare Expenditures'!$AT69</f>
        <v>40062626.511183381</v>
      </c>
      <c r="BD73" s="166">
        <f>'Mortality Costs'!$N155</f>
        <v>16528843</v>
      </c>
      <c r="BE73" s="166">
        <f>'Mortality Costs'!$O155</f>
        <v>9429914</v>
      </c>
      <c r="BF73" s="166">
        <f>'Mortality Costs'!$P155</f>
        <v>26353712</v>
      </c>
      <c r="BG73" s="166">
        <f>'Workplace Smoking Costs'!$V84</f>
        <v>16280046.555605888</v>
      </c>
      <c r="BH73" s="166">
        <f>'Workplace Smoking Costs'!$V203</f>
        <v>15779122.046202645</v>
      </c>
      <c r="BI73" s="166">
        <f>'Workplace Smoking Costs'!$V322</f>
        <v>51970917.850588053</v>
      </c>
      <c r="BJ73" s="166">
        <f t="shared" si="46"/>
        <v>84030086.452396587</v>
      </c>
      <c r="BK73" s="166">
        <f t="shared" si="47"/>
        <v>144117185.1055122</v>
      </c>
      <c r="BL73" s="166">
        <f t="shared" si="37"/>
        <v>130565181.19393946</v>
      </c>
      <c r="BM73" s="166">
        <f t="shared" si="38"/>
        <v>180292109.99443382</v>
      </c>
      <c r="BN73" s="215">
        <f>SUM('Intervention Costs'!$E$52+'Intervention Costs'!$D$52+'Intervention Costs'!$G$52+'Intervention Costs'!$F$52)</f>
        <v>661371.43756002001</v>
      </c>
      <c r="BO73" s="166">
        <f t="shared" si="39"/>
        <v>217.90657552010393</v>
      </c>
      <c r="BP73" s="166">
        <f t="shared" si="40"/>
        <v>197.41581474342178</v>
      </c>
      <c r="BQ73" s="216">
        <f t="shared" si="41"/>
        <v>272.60341126853115</v>
      </c>
    </row>
    <row r="74" spans="2:69">
      <c r="B74" s="210">
        <v>12</v>
      </c>
      <c r="C74" s="211" t="s">
        <v>282</v>
      </c>
      <c r="D74" s="212">
        <f>'Healthcare Expenditures'!$J70</f>
        <v>203958000</v>
      </c>
      <c r="E74" s="212">
        <f>'Healthcare Expenditures'!$K70</f>
        <v>173742000</v>
      </c>
      <c r="F74" s="212">
        <f>'Healthcare Expenditures'!$L70</f>
        <v>327340000</v>
      </c>
      <c r="G74" s="212">
        <f>'Healthcare Expenditures'!$M70</f>
        <v>73953000</v>
      </c>
      <c r="H74" s="212">
        <f>'Healthcare Expenditures'!$N70</f>
        <v>62997000.000000007</v>
      </c>
      <c r="I74" s="212">
        <f>'Healthcare Expenditures'!$O70</f>
        <v>118690000</v>
      </c>
      <c r="J74" s="212">
        <f>'Healthcare Expenditures'!$P70</f>
        <v>116883000</v>
      </c>
      <c r="K74" s="212">
        <f>'Healthcare Expenditures'!$Q70</f>
        <v>99567000.000000015</v>
      </c>
      <c r="L74" s="212">
        <f>'Healthcare Expenditures'!$R70</f>
        <v>187590000</v>
      </c>
      <c r="M74" s="212">
        <f>'Mortality Costs'!$G156</f>
        <v>67046100</v>
      </c>
      <c r="N74" s="212">
        <f>'Mortality Costs'!$H156</f>
        <v>36185110</v>
      </c>
      <c r="O74" s="212">
        <f>'Mortality Costs'!$I156</f>
        <v>110530303</v>
      </c>
      <c r="P74" s="212">
        <f>'Workplace Smoking Costs'!$K85</f>
        <v>76229997.863809526</v>
      </c>
      <c r="Q74" s="212">
        <f>'Workplace Smoking Costs'!$K204</f>
        <v>73884459.46800001</v>
      </c>
      <c r="R74" s="212">
        <f>'Workplace Smoking Costs'!$K323</f>
        <v>243349608.56523812</v>
      </c>
      <c r="S74" s="212">
        <f t="shared" si="30"/>
        <v>393464065.89704764</v>
      </c>
      <c r="T74" s="213">
        <f t="shared" si="31"/>
        <v>664468165.89704764</v>
      </c>
      <c r="U74" s="213">
        <f t="shared" si="32"/>
        <v>603391175.89704764</v>
      </c>
      <c r="V74" s="213">
        <f t="shared" si="33"/>
        <v>831334368.89704764</v>
      </c>
      <c r="W74" s="355">
        <f>Table1536[[#This Row],[Relative Change in Smoking Prevalence:
Increase Cigarette Taxes]]</f>
        <v>-9.1000000000000022E-3</v>
      </c>
      <c r="X74" s="212">
        <f>'Healthcare Expenditures'!$Z70</f>
        <v>158940106.67332777</v>
      </c>
      <c r="Y74" s="212">
        <f>'Healthcare Expenditures'!$AA70</f>
        <v>135393424.20320517</v>
      </c>
      <c r="Z74" s="212">
        <f>'Healthcare Expenditures'!$AB70</f>
        <v>255089060.09299529</v>
      </c>
      <c r="AA74" s="212">
        <f>'Healthcare Expenditures'!$AC70</f>
        <v>57629991.021742754</v>
      </c>
      <c r="AB74" s="212">
        <f>'Healthcare Expenditures'!$AD70</f>
        <v>49092214.574077174</v>
      </c>
      <c r="AC74" s="212">
        <f>'Healthcare Expenditures'!$AE70</f>
        <v>92492578.183043972</v>
      </c>
      <c r="AD74" s="212">
        <f>'Healthcare Expenditures'!$AF70</f>
        <v>91084421.735350266</v>
      </c>
      <c r="AE74" s="212">
        <f>'Healthcare Expenditures'!$AG70</f>
        <v>77590433.330113202</v>
      </c>
      <c r="AF74" s="212">
        <f>'Healthcare Expenditures'!$AH70</f>
        <v>146184874.39006838</v>
      </c>
      <c r="AG74" s="212">
        <f>'Mortality Costs'!$K156</f>
        <v>50057074</v>
      </c>
      <c r="AH74" s="212">
        <f>'Mortality Costs'!$L156</f>
        <v>26543498</v>
      </c>
      <c r="AI74" s="212">
        <f>'Mortality Costs'!$M156</f>
        <v>83231694</v>
      </c>
      <c r="AJ74" s="212">
        <f>'Workplace Smoking Costs'!$S85</f>
        <v>59404406.751298971</v>
      </c>
      <c r="AK74" s="212">
        <f>'Workplace Smoking Costs'!$S204</f>
        <v>57576578.851259001</v>
      </c>
      <c r="AL74" s="212">
        <f>'Workplace Smoking Costs'!$S323</f>
        <v>189637144.62914675</v>
      </c>
      <c r="AM74" s="212">
        <f t="shared" si="42"/>
        <v>306618130.23170471</v>
      </c>
      <c r="AN74" s="213">
        <f t="shared" si="43"/>
        <v>515615310.90503252</v>
      </c>
      <c r="AO74" s="213">
        <f t="shared" si="44"/>
        <v>468555052.43490988</v>
      </c>
      <c r="AP74" s="213">
        <f t="shared" si="45"/>
        <v>644938884.3247</v>
      </c>
      <c r="AQ74" s="212">
        <f>tblTotalCosts_Base[Gross Domestic Product (GDP)]</f>
        <v>33921600000</v>
      </c>
      <c r="AR74" s="214">
        <f t="shared" si="34"/>
        <v>1.5200206090073361E-2</v>
      </c>
      <c r="AS74" s="214">
        <f t="shared" si="35"/>
        <v>1.381288183443322E-2</v>
      </c>
      <c r="AT74" s="214">
        <f t="shared" si="36"/>
        <v>1.9012631607138224E-2</v>
      </c>
      <c r="AU74" s="188">
        <f>'Healthcare Expenditures'!$AL70</f>
        <v>45017893.326672226</v>
      </c>
      <c r="AV74" s="188">
        <f>'Healthcare Expenditures'!$AM70</f>
        <v>38348575.796794832</v>
      </c>
      <c r="AW74" s="188">
        <f>'Healthcare Expenditures'!$AN70</f>
        <v>72250939.907004714</v>
      </c>
      <c r="AX74" s="188">
        <f>'Healthcare Expenditures'!$AO70</f>
        <v>16323008.978257246</v>
      </c>
      <c r="AY74" s="188">
        <f>'Healthcare Expenditures'!$AP70</f>
        <v>13904785.425922833</v>
      </c>
      <c r="AZ74" s="188">
        <f>'Healthcare Expenditures'!$AQ70</f>
        <v>26197421.816956028</v>
      </c>
      <c r="BA74" s="188">
        <f>'Healthcare Expenditures'!$AR70</f>
        <v>25798578.264649734</v>
      </c>
      <c r="BB74" s="188">
        <f>'Healthcare Expenditures'!$AS70</f>
        <v>21976566.669886813</v>
      </c>
      <c r="BC74" s="188">
        <f>'Healthcare Expenditures'!$AT70</f>
        <v>41405125.609931618</v>
      </c>
      <c r="BD74" s="166">
        <f>'Mortality Costs'!$N156</f>
        <v>16989026</v>
      </c>
      <c r="BE74" s="166">
        <f>'Mortality Costs'!$O156</f>
        <v>9641612</v>
      </c>
      <c r="BF74" s="166">
        <f>'Mortality Costs'!$P156</f>
        <v>27298608</v>
      </c>
      <c r="BG74" s="166">
        <f>'Workplace Smoking Costs'!$V85</f>
        <v>16825591.112510554</v>
      </c>
      <c r="BH74" s="166">
        <f>'Workplace Smoking Costs'!$V204</f>
        <v>16307880.616741009</v>
      </c>
      <c r="BI74" s="166">
        <f>'Workplace Smoking Costs'!$V323</f>
        <v>53712463.936091363</v>
      </c>
      <c r="BJ74" s="166">
        <f t="shared" si="46"/>
        <v>86845935.665342927</v>
      </c>
      <c r="BK74" s="166">
        <f t="shared" si="47"/>
        <v>148852854.99201515</v>
      </c>
      <c r="BL74" s="166">
        <f t="shared" si="37"/>
        <v>134836123.46213776</v>
      </c>
      <c r="BM74" s="166">
        <f t="shared" si="38"/>
        <v>186395483.57234764</v>
      </c>
      <c r="BN74" s="215">
        <f>SUM('Intervention Costs'!$E$53+'Intervention Costs'!$D$53+'Intervention Costs'!$G$53+'Intervention Costs'!$F$53)</f>
        <v>487356.38954534929</v>
      </c>
      <c r="BO74" s="166">
        <f t="shared" si="39"/>
        <v>305.42916474508263</v>
      </c>
      <c r="BP74" s="166">
        <f t="shared" si="40"/>
        <v>276.66842244117339</v>
      </c>
      <c r="BQ74" s="216">
        <f t="shared" si="41"/>
        <v>382.46237778114374</v>
      </c>
    </row>
    <row r="75" spans="2:69">
      <c r="B75" s="210">
        <v>13</v>
      </c>
      <c r="C75" s="211" t="s">
        <v>282</v>
      </c>
      <c r="D75" s="212">
        <f>'Healthcare Expenditures'!$J71</f>
        <v>203958000</v>
      </c>
      <c r="E75" s="212">
        <f>'Healthcare Expenditures'!$K71</f>
        <v>173742000</v>
      </c>
      <c r="F75" s="212">
        <f>'Healthcare Expenditures'!$L71</f>
        <v>327340000</v>
      </c>
      <c r="G75" s="212">
        <f>'Healthcare Expenditures'!$M71</f>
        <v>73953000</v>
      </c>
      <c r="H75" s="212">
        <f>'Healthcare Expenditures'!$N71</f>
        <v>62997000.000000007</v>
      </c>
      <c r="I75" s="212">
        <f>'Healthcare Expenditures'!$O71</f>
        <v>118690000</v>
      </c>
      <c r="J75" s="212">
        <f>'Healthcare Expenditures'!$P71</f>
        <v>116883000</v>
      </c>
      <c r="K75" s="212">
        <f>'Healthcare Expenditures'!$Q71</f>
        <v>99567000.000000015</v>
      </c>
      <c r="L75" s="212">
        <f>'Healthcare Expenditures'!$R71</f>
        <v>187590000</v>
      </c>
      <c r="M75" s="212">
        <f>'Mortality Costs'!$G157</f>
        <v>67381313</v>
      </c>
      <c r="N75" s="212">
        <f>'Mortality Costs'!$H157</f>
        <v>36366011</v>
      </c>
      <c r="O75" s="212">
        <f>'Mortality Costs'!$I157</f>
        <v>111082917</v>
      </c>
      <c r="P75" s="212">
        <f>'Workplace Smoking Costs'!$K86</f>
        <v>76229997.863809526</v>
      </c>
      <c r="Q75" s="212">
        <f>'Workplace Smoking Costs'!$K205</f>
        <v>73884459.46800001</v>
      </c>
      <c r="R75" s="212">
        <f>'Workplace Smoking Costs'!$K324</f>
        <v>243349608.56523812</v>
      </c>
      <c r="S75" s="212">
        <f t="shared" si="30"/>
        <v>393464065.89704764</v>
      </c>
      <c r="T75" s="213">
        <f t="shared" si="31"/>
        <v>664803378.89704764</v>
      </c>
      <c r="U75" s="213">
        <f t="shared" si="32"/>
        <v>603572076.89704764</v>
      </c>
      <c r="V75" s="213">
        <f t="shared" si="33"/>
        <v>831886982.89704764</v>
      </c>
      <c r="W75" s="355">
        <f>Table1536[[#This Row],[Relative Change in Smoking Prevalence:
Increase Cigarette Taxes]]</f>
        <v>-9.1000000000000022E-3</v>
      </c>
      <c r="X75" s="212">
        <f>'Healthcare Expenditures'!$Z71</f>
        <v>157493751.70260048</v>
      </c>
      <c r="Y75" s="212">
        <f>'Healthcare Expenditures'!$AA71</f>
        <v>134161344.04295599</v>
      </c>
      <c r="Z75" s="212">
        <f>'Healthcare Expenditures'!$AB71</f>
        <v>252767749.64614904</v>
      </c>
      <c r="AA75" s="212">
        <f>'Healthcare Expenditures'!$AC71</f>
        <v>57105558.103444889</v>
      </c>
      <c r="AB75" s="212">
        <f>'Healthcare Expenditures'!$AD71</f>
        <v>48645475.421453066</v>
      </c>
      <c r="AC75" s="212">
        <f>'Healthcare Expenditures'!$AE71</f>
        <v>91650895.72157827</v>
      </c>
      <c r="AD75" s="212">
        <f>'Healthcare Expenditures'!$AF71</f>
        <v>90255553.497558564</v>
      </c>
      <c r="AE75" s="212">
        <f>'Healthcare Expenditures'!$AG71</f>
        <v>76884360.38680917</v>
      </c>
      <c r="AF75" s="212">
        <f>'Healthcare Expenditures'!$AH71</f>
        <v>144854592.03311878</v>
      </c>
      <c r="AG75" s="212">
        <f>'Mortality Costs'!$K157</f>
        <v>49694429</v>
      </c>
      <c r="AH75" s="212">
        <f>'Mortality Costs'!$L157</f>
        <v>26413526</v>
      </c>
      <c r="AI75" s="212">
        <f>'Mortality Costs'!$M157</f>
        <v>82723600</v>
      </c>
      <c r="AJ75" s="212">
        <f>'Workplace Smoking Costs'!$S86</f>
        <v>58863826.649862163</v>
      </c>
      <c r="AK75" s="212">
        <f>'Workplace Smoking Costs'!$S205</f>
        <v>57052631.983712554</v>
      </c>
      <c r="AL75" s="212">
        <f>'Workplace Smoking Costs'!$S324</f>
        <v>187911446.61302152</v>
      </c>
      <c r="AM75" s="212">
        <f t="shared" si="42"/>
        <v>303827905.24659622</v>
      </c>
      <c r="AN75" s="213">
        <f t="shared" si="43"/>
        <v>511016085.9491967</v>
      </c>
      <c r="AO75" s="213">
        <f t="shared" si="44"/>
        <v>464402775.28955221</v>
      </c>
      <c r="AP75" s="213">
        <f t="shared" si="45"/>
        <v>639319254.89274526</v>
      </c>
      <c r="AQ75" s="212">
        <f>tblTotalCosts_Base[Gross Domestic Product (GDP)]</f>
        <v>33921600000</v>
      </c>
      <c r="AR75" s="214">
        <f t="shared" si="34"/>
        <v>1.5064622127175508E-2</v>
      </c>
      <c r="AS75" s="214">
        <f t="shared" si="35"/>
        <v>1.3690473777461918E-2</v>
      </c>
      <c r="AT75" s="214">
        <f t="shared" si="36"/>
        <v>1.8846966384036875E-2</v>
      </c>
      <c r="AU75" s="188">
        <f>'Healthcare Expenditures'!$AL71</f>
        <v>46464248.297399521</v>
      </c>
      <c r="AV75" s="188">
        <f>'Healthcare Expenditures'!$AM71</f>
        <v>39580655.957044005</v>
      </c>
      <c r="AW75" s="188">
        <f>'Healthcare Expenditures'!$AN71</f>
        <v>74572250.353850961</v>
      </c>
      <c r="AX75" s="188">
        <f>'Healthcare Expenditures'!$AO71</f>
        <v>16847441.896555111</v>
      </c>
      <c r="AY75" s="188">
        <f>'Healthcare Expenditures'!$AP71</f>
        <v>14351524.578546941</v>
      </c>
      <c r="AZ75" s="188">
        <f>'Healthcare Expenditures'!$AQ71</f>
        <v>27039104.27842173</v>
      </c>
      <c r="BA75" s="188">
        <f>'Healthcare Expenditures'!$AR71</f>
        <v>26627446.502441436</v>
      </c>
      <c r="BB75" s="188">
        <f>'Healthcare Expenditures'!$AS71</f>
        <v>22682639.613190845</v>
      </c>
      <c r="BC75" s="188">
        <f>'Healthcare Expenditures'!$AT71</f>
        <v>42735407.966881216</v>
      </c>
      <c r="BD75" s="166">
        <f>'Mortality Costs'!$N157</f>
        <v>17686884</v>
      </c>
      <c r="BE75" s="166">
        <f>'Mortality Costs'!$O157</f>
        <v>9952485</v>
      </c>
      <c r="BF75" s="166">
        <f>'Mortality Costs'!$P157</f>
        <v>28359316</v>
      </c>
      <c r="BG75" s="166">
        <f>'Workplace Smoking Costs'!$V86</f>
        <v>17366171.213947363</v>
      </c>
      <c r="BH75" s="166">
        <f>'Workplace Smoking Costs'!$V205</f>
        <v>16831827.484287456</v>
      </c>
      <c r="BI75" s="166">
        <f>'Workplace Smoking Costs'!$V324</f>
        <v>55438161.952216595</v>
      </c>
      <c r="BJ75" s="166">
        <f t="shared" si="46"/>
        <v>89636160.650451422</v>
      </c>
      <c r="BK75" s="166">
        <f t="shared" si="47"/>
        <v>153787292.94785094</v>
      </c>
      <c r="BL75" s="166">
        <f t="shared" si="37"/>
        <v>139169301.60749543</v>
      </c>
      <c r="BM75" s="166">
        <f t="shared" si="38"/>
        <v>192567727.00430238</v>
      </c>
      <c r="BN75" s="215">
        <f>SUM('Intervention Costs'!$E$54+'Intervention Costs'!$D$54+'Intervention Costs'!$G$54+'Intervention Costs'!$F$54)</f>
        <v>504727.41104759427</v>
      </c>
      <c r="BO75" s="166">
        <f t="shared" si="39"/>
        <v>304.69376059575507</v>
      </c>
      <c r="BP75" s="166">
        <f t="shared" si="40"/>
        <v>275.73160989739108</v>
      </c>
      <c r="BQ75" s="216">
        <f t="shared" si="41"/>
        <v>381.528173008507</v>
      </c>
    </row>
    <row r="76" spans="2:69">
      <c r="B76" s="210">
        <v>14</v>
      </c>
      <c r="C76" s="211" t="s">
        <v>282</v>
      </c>
      <c r="D76" s="212">
        <f>'Healthcare Expenditures'!$J72</f>
        <v>203958000</v>
      </c>
      <c r="E76" s="212">
        <f>'Healthcare Expenditures'!$K72</f>
        <v>173742000</v>
      </c>
      <c r="F76" s="212">
        <f>'Healthcare Expenditures'!$L72</f>
        <v>327340000</v>
      </c>
      <c r="G76" s="212">
        <f>'Healthcare Expenditures'!$M72</f>
        <v>73953000</v>
      </c>
      <c r="H76" s="212">
        <f>'Healthcare Expenditures'!$N72</f>
        <v>62997000.000000007</v>
      </c>
      <c r="I76" s="212">
        <f>'Healthcare Expenditures'!$O72</f>
        <v>118690000</v>
      </c>
      <c r="J76" s="212">
        <f>'Healthcare Expenditures'!$P72</f>
        <v>116883000</v>
      </c>
      <c r="K76" s="212">
        <f>'Healthcare Expenditures'!$Q72</f>
        <v>99567000.000000015</v>
      </c>
      <c r="L76" s="212">
        <f>'Healthcare Expenditures'!$R72</f>
        <v>187590000</v>
      </c>
      <c r="M76" s="212">
        <f>'Mortality Costs'!$G158</f>
        <v>67718222</v>
      </c>
      <c r="N76" s="212">
        <f>'Mortality Costs'!$H158</f>
        <v>36547863</v>
      </c>
      <c r="O76" s="212">
        <f>'Mortality Costs'!$I158</f>
        <v>111638347</v>
      </c>
      <c r="P76" s="212">
        <f>'Workplace Smoking Costs'!$K87</f>
        <v>76229997.863809526</v>
      </c>
      <c r="Q76" s="212">
        <f>'Workplace Smoking Costs'!$K206</f>
        <v>73884459.46800001</v>
      </c>
      <c r="R76" s="212">
        <f>'Workplace Smoking Costs'!$K325</f>
        <v>243349608.56523812</v>
      </c>
      <c r="S76" s="212">
        <f t="shared" si="30"/>
        <v>393464065.89704764</v>
      </c>
      <c r="T76" s="213">
        <f t="shared" si="31"/>
        <v>665140287.89704764</v>
      </c>
      <c r="U76" s="213">
        <f t="shared" si="32"/>
        <v>603753928.89704764</v>
      </c>
      <c r="V76" s="213">
        <f t="shared" si="33"/>
        <v>832442412.89704764</v>
      </c>
      <c r="W76" s="355">
        <f>Table1536[[#This Row],[Relative Change in Smoking Prevalence:
Increase Cigarette Taxes]]</f>
        <v>-9.1000000000000022E-3</v>
      </c>
      <c r="X76" s="212">
        <f>'Healthcare Expenditures'!$Z72</f>
        <v>156060558.56210682</v>
      </c>
      <c r="Y76" s="212">
        <f>'Healthcare Expenditures'!$AA72</f>
        <v>132940475.8121651</v>
      </c>
      <c r="Z76" s="212">
        <f>'Healthcare Expenditures'!$AB72</f>
        <v>250467563.12436908</v>
      </c>
      <c r="AA76" s="212">
        <f>'Healthcare Expenditures'!$AC72</f>
        <v>56585897.52470354</v>
      </c>
      <c r="AB76" s="212">
        <f>'Healthcare Expenditures'!$AD72</f>
        <v>48202801.595117845</v>
      </c>
      <c r="AC76" s="212">
        <f>'Healthcare Expenditures'!$AE72</f>
        <v>90816872.570511907</v>
      </c>
      <c r="AD76" s="212">
        <f>'Healthcare Expenditures'!$AF72</f>
        <v>89434227.960730791</v>
      </c>
      <c r="AE76" s="212">
        <f>'Healthcare Expenditures'!$AG72</f>
        <v>76184712.707289204</v>
      </c>
      <c r="AF76" s="212">
        <f>'Healthcare Expenditures'!$AH72</f>
        <v>143536415.24561739</v>
      </c>
      <c r="AG76" s="212">
        <f>'Mortality Costs'!$K158</f>
        <v>49512697</v>
      </c>
      <c r="AH76" s="212">
        <f>'Mortality Costs'!$L158</f>
        <v>26291389</v>
      </c>
      <c r="AI76" s="212">
        <f>'Mortality Costs'!$M158</f>
        <v>82531019</v>
      </c>
      <c r="AJ76" s="212">
        <f>'Workplace Smoking Costs'!$S87</f>
        <v>58328165.827348411</v>
      </c>
      <c r="AK76" s="212">
        <f>'Workplace Smoking Costs'!$S206</f>
        <v>56533453.03266076</v>
      </c>
      <c r="AL76" s="212">
        <f>'Workplace Smoking Costs'!$S325</f>
        <v>186201452.448843</v>
      </c>
      <c r="AM76" s="212">
        <f t="shared" si="42"/>
        <v>301063071.3088522</v>
      </c>
      <c r="AN76" s="213">
        <f t="shared" si="43"/>
        <v>506636326.87095904</v>
      </c>
      <c r="AO76" s="213">
        <f t="shared" si="44"/>
        <v>460294936.12101728</v>
      </c>
      <c r="AP76" s="213">
        <f t="shared" si="45"/>
        <v>634061653.43322134</v>
      </c>
      <c r="AQ76" s="212">
        <f>tblTotalCosts_Base[Gross Domestic Product (GDP)]</f>
        <v>33921600000</v>
      </c>
      <c r="AR76" s="214">
        <f t="shared" si="34"/>
        <v>1.4935507961622066E-2</v>
      </c>
      <c r="AS76" s="214">
        <f t="shared" si="35"/>
        <v>1.3569375740561097E-2</v>
      </c>
      <c r="AT76" s="214">
        <f t="shared" si="36"/>
        <v>1.8691973651986386E-2</v>
      </c>
      <c r="AU76" s="188">
        <f>'Healthcare Expenditures'!$AL72</f>
        <v>47897441.437893182</v>
      </c>
      <c r="AV76" s="188">
        <f>'Healthcare Expenditures'!$AM72</f>
        <v>40801524.187834904</v>
      </c>
      <c r="AW76" s="188">
        <f>'Healthcare Expenditures'!$AN72</f>
        <v>76872436.875630915</v>
      </c>
      <c r="AX76" s="188">
        <f>'Healthcare Expenditures'!$AO72</f>
        <v>17367102.47529646</v>
      </c>
      <c r="AY76" s="188">
        <f>'Healthcare Expenditures'!$AP72</f>
        <v>14794198.404882163</v>
      </c>
      <c r="AZ76" s="188">
        <f>'Healthcare Expenditures'!$AQ72</f>
        <v>27873127.429488093</v>
      </c>
      <c r="BA76" s="188">
        <f>'Healthcare Expenditures'!$AR72</f>
        <v>27448772.039269209</v>
      </c>
      <c r="BB76" s="188">
        <f>'Healthcare Expenditures'!$AS72</f>
        <v>23382287.292710811</v>
      </c>
      <c r="BC76" s="188">
        <f>'Healthcare Expenditures'!$AT72</f>
        <v>44053584.75438261</v>
      </c>
      <c r="BD76" s="166">
        <f>'Mortality Costs'!$N158</f>
        <v>18205524</v>
      </c>
      <c r="BE76" s="166">
        <f>'Mortality Costs'!$O158</f>
        <v>10256474</v>
      </c>
      <c r="BF76" s="166">
        <f>'Mortality Costs'!$P158</f>
        <v>29107328</v>
      </c>
      <c r="BG76" s="166">
        <f>'Workplace Smoking Costs'!$V87</f>
        <v>17901832.036461115</v>
      </c>
      <c r="BH76" s="166">
        <f>'Workplace Smoking Costs'!$V206</f>
        <v>17351006.43533925</v>
      </c>
      <c r="BI76" s="166">
        <f>'Workplace Smoking Costs'!$V325</f>
        <v>57148156.116395116</v>
      </c>
      <c r="BJ76" s="166">
        <f t="shared" si="46"/>
        <v>92400994.588195473</v>
      </c>
      <c r="BK76" s="166">
        <f t="shared" si="47"/>
        <v>158503960.02608865</v>
      </c>
      <c r="BL76" s="166">
        <f t="shared" si="37"/>
        <v>143458992.77603036</v>
      </c>
      <c r="BM76" s="166">
        <f t="shared" si="38"/>
        <v>198380759.46382639</v>
      </c>
      <c r="BN76" s="215">
        <f>SUM('Intervention Costs'!$E$55+'Intervention Costs'!$D$55+'Intervention Costs'!$G$55+'Intervention Costs'!$F$55)</f>
        <v>487356.38954534929</v>
      </c>
      <c r="BO76" s="166">
        <f t="shared" si="39"/>
        <v>325.23213694593329</v>
      </c>
      <c r="BP76" s="166">
        <f t="shared" si="40"/>
        <v>294.36157164136506</v>
      </c>
      <c r="BQ76" s="216">
        <f t="shared" si="41"/>
        <v>407.05480367025484</v>
      </c>
    </row>
    <row r="77" spans="2:69">
      <c r="B77" s="210">
        <v>15</v>
      </c>
      <c r="C77" s="211" t="s">
        <v>282</v>
      </c>
      <c r="D77" s="212">
        <f>'Healthcare Expenditures'!$J73</f>
        <v>203958000</v>
      </c>
      <c r="E77" s="212">
        <f>'Healthcare Expenditures'!$K73</f>
        <v>173742000</v>
      </c>
      <c r="F77" s="212">
        <f>'Healthcare Expenditures'!$L73</f>
        <v>327340000</v>
      </c>
      <c r="G77" s="212">
        <f>'Healthcare Expenditures'!$M73</f>
        <v>73953000</v>
      </c>
      <c r="H77" s="212">
        <f>'Healthcare Expenditures'!$N73</f>
        <v>62997000.000000007</v>
      </c>
      <c r="I77" s="212">
        <f>'Healthcare Expenditures'!$O73</f>
        <v>118690000</v>
      </c>
      <c r="J77" s="212">
        <f>'Healthcare Expenditures'!$P73</f>
        <v>116883000</v>
      </c>
      <c r="K77" s="212">
        <f>'Healthcare Expenditures'!$Q73</f>
        <v>99567000.000000015</v>
      </c>
      <c r="L77" s="212">
        <f>'Healthcare Expenditures'!$R73</f>
        <v>187590000</v>
      </c>
      <c r="M77" s="212">
        <f>'Mortality Costs'!$G159</f>
        <v>68056809</v>
      </c>
      <c r="N77" s="212">
        <f>'Mortality Costs'!$H159</f>
        <v>36730607</v>
      </c>
      <c r="O77" s="212">
        <f>'Mortality Costs'!$I159</f>
        <v>112196551</v>
      </c>
      <c r="P77" s="212">
        <f>'Workplace Smoking Costs'!$K88</f>
        <v>76229997.863809526</v>
      </c>
      <c r="Q77" s="212">
        <f>'Workplace Smoking Costs'!$K207</f>
        <v>73884459.46800001</v>
      </c>
      <c r="R77" s="212">
        <f>'Workplace Smoking Costs'!$K326</f>
        <v>243349608.56523812</v>
      </c>
      <c r="S77" s="212">
        <f t="shared" si="30"/>
        <v>393464065.89704764</v>
      </c>
      <c r="T77" s="213">
        <f t="shared" si="31"/>
        <v>665478874.89704764</v>
      </c>
      <c r="U77" s="213">
        <f t="shared" si="32"/>
        <v>603936672.89704764</v>
      </c>
      <c r="V77" s="213">
        <f t="shared" si="33"/>
        <v>833000616.89704764</v>
      </c>
      <c r="W77" s="355">
        <f>Table1536[[#This Row],[Relative Change in Smoking Prevalence:
Increase Cigarette Taxes]]</f>
        <v>-9.1000000000000022E-3</v>
      </c>
      <c r="X77" s="181">
        <f>'Healthcare Expenditures'!$Z73</f>
        <v>154640407.47919163</v>
      </c>
      <c r="Y77" s="181">
        <f>'Healthcare Expenditures'!$AA73</f>
        <v>131730717.48227438</v>
      </c>
      <c r="Z77" s="181">
        <f>'Healthcare Expenditures'!$AB73</f>
        <v>248188308.29993734</v>
      </c>
      <c r="AA77" s="181">
        <f>'Healthcare Expenditures'!$AC73</f>
        <v>56070965.857228741</v>
      </c>
      <c r="AB77" s="181">
        <f>'Healthcare Expenditures'!$AD73</f>
        <v>47764156.100602269</v>
      </c>
      <c r="AC77" s="181">
        <f>'Healthcare Expenditures'!$AE73</f>
        <v>89990439.030120254</v>
      </c>
      <c r="AD77" s="181">
        <f>'Healthcare Expenditures'!$AF73</f>
        <v>88620376.486288145</v>
      </c>
      <c r="AE77" s="181">
        <f>'Healthcare Expenditures'!$AG73</f>
        <v>75491431.821652874</v>
      </c>
      <c r="AF77" s="181">
        <f>'Healthcare Expenditures'!$AH73</f>
        <v>142230233.86688229</v>
      </c>
      <c r="AG77" s="181">
        <f>'Mortality Costs'!$K159</f>
        <v>49377017</v>
      </c>
      <c r="AH77" s="181">
        <f>'Mortality Costs'!$L159</f>
        <v>26236135</v>
      </c>
      <c r="AI77" s="181">
        <f>'Mortality Costs'!$M159</f>
        <v>82226326</v>
      </c>
      <c r="AJ77" s="181">
        <f>'Workplace Smoking Costs'!$S88</f>
        <v>57797379.518319532</v>
      </c>
      <c r="AK77" s="181">
        <f>'Workplace Smoking Costs'!$S207</f>
        <v>56018998.610063553</v>
      </c>
      <c r="AL77" s="181">
        <f>'Workplace Smoking Costs'!$S326</f>
        <v>184507019.23155856</v>
      </c>
      <c r="AM77" s="181">
        <f t="shared" si="42"/>
        <v>298323397.35994166</v>
      </c>
      <c r="AN77" s="192">
        <f t="shared" si="43"/>
        <v>502340821.83913326</v>
      </c>
      <c r="AO77" s="192">
        <f t="shared" si="44"/>
        <v>456290249.84221601</v>
      </c>
      <c r="AP77" s="192">
        <f t="shared" si="45"/>
        <v>628738031.65987897</v>
      </c>
      <c r="AQ77" s="181">
        <f>tblTotalCosts_Base[Gross Domestic Product (GDP)]</f>
        <v>33921600000</v>
      </c>
      <c r="AR77" s="194">
        <f t="shared" si="34"/>
        <v>1.4808877583578996E-2</v>
      </c>
      <c r="AS77" s="194">
        <f t="shared" si="35"/>
        <v>1.3451318624186831E-2</v>
      </c>
      <c r="AT77" s="194">
        <f t="shared" si="36"/>
        <v>1.853503465814935E-2</v>
      </c>
      <c r="AU77" s="189">
        <f>'Healthcare Expenditures'!$AL73</f>
        <v>49317592.520808369</v>
      </c>
      <c r="AV77" s="189">
        <f>'Healthcare Expenditures'!$AM73</f>
        <v>42011282.517725617</v>
      </c>
      <c r="AW77" s="189">
        <f>'Healthcare Expenditures'!$AN73</f>
        <v>79151691.700062662</v>
      </c>
      <c r="AX77" s="189">
        <f>'Healthcare Expenditures'!$AO73</f>
        <v>17882034.142771259</v>
      </c>
      <c r="AY77" s="189">
        <f>'Healthcare Expenditures'!$AP73</f>
        <v>15232843.899397738</v>
      </c>
      <c r="AZ77" s="189">
        <f>'Healthcare Expenditures'!$AQ73</f>
        <v>28699560.969879746</v>
      </c>
      <c r="BA77" s="189">
        <f>'Healthcare Expenditures'!$AR73</f>
        <v>28262623.513711855</v>
      </c>
      <c r="BB77" s="189">
        <f>'Healthcare Expenditures'!$AS73</f>
        <v>24075568.178347141</v>
      </c>
      <c r="BC77" s="189">
        <f>'Healthcare Expenditures'!$AT73</f>
        <v>45359766.133117706</v>
      </c>
      <c r="BD77" s="190">
        <f>'Mortality Costs'!$N159</f>
        <v>18679792</v>
      </c>
      <c r="BE77" s="190">
        <f>'Mortality Costs'!$O159</f>
        <v>10494472</v>
      </c>
      <c r="BF77" s="190">
        <f>'Mortality Costs'!$P159</f>
        <v>29970224</v>
      </c>
      <c r="BG77" s="190">
        <f>'Workplace Smoking Costs'!$V88</f>
        <v>18432618.345489994</v>
      </c>
      <c r="BH77" s="190">
        <f>'Workplace Smoking Costs'!$V207</f>
        <v>17865460.857936457</v>
      </c>
      <c r="BI77" s="190">
        <f>'Workplace Smoking Costs'!$V326</f>
        <v>58842589.333679557</v>
      </c>
      <c r="BJ77" s="190">
        <f t="shared" si="46"/>
        <v>95140668.537106007</v>
      </c>
      <c r="BK77" s="190">
        <f t="shared" si="47"/>
        <v>163138053.05791438</v>
      </c>
      <c r="BL77" s="190">
        <f t="shared" si="37"/>
        <v>147646423.05483162</v>
      </c>
      <c r="BM77" s="190">
        <f t="shared" si="38"/>
        <v>204262584.23716867</v>
      </c>
      <c r="BN77" s="197">
        <f>SUM('Intervention Costs'!$E$56+'Intervention Costs'!$D$56+'Intervention Costs'!$G$56+'Intervention Costs'!$F$56)</f>
        <v>487356.38954534929</v>
      </c>
      <c r="BO77" s="190">
        <f t="shared" si="39"/>
        <v>334.74076991194164</v>
      </c>
      <c r="BP77" s="190">
        <f t="shared" si="40"/>
        <v>302.95370333108741</v>
      </c>
      <c r="BQ77" s="218">
        <f t="shared" si="41"/>
        <v>419.12364056152734</v>
      </c>
    </row>
    <row r="78" spans="2:69">
      <c r="B78" s="202" t="s">
        <v>200</v>
      </c>
      <c r="C78" s="203" t="s">
        <v>282</v>
      </c>
      <c r="D78" s="204">
        <f>SUM(D$63:D$67)</f>
        <v>1019790000</v>
      </c>
      <c r="E78" s="204">
        <f t="shared" ref="E78:V78" si="48">SUM(E$63:E$67)</f>
        <v>868710000</v>
      </c>
      <c r="F78" s="204">
        <f t="shared" si="48"/>
        <v>1636700000</v>
      </c>
      <c r="G78" s="204">
        <f t="shared" si="48"/>
        <v>369765000</v>
      </c>
      <c r="H78" s="204">
        <f t="shared" si="48"/>
        <v>314985000.00000006</v>
      </c>
      <c r="I78" s="204">
        <f t="shared" si="48"/>
        <v>593450000</v>
      </c>
      <c r="J78" s="204">
        <f t="shared" si="48"/>
        <v>584415000</v>
      </c>
      <c r="K78" s="204">
        <f t="shared" si="48"/>
        <v>497835000.00000006</v>
      </c>
      <c r="L78" s="204">
        <f t="shared" si="48"/>
        <v>937950000</v>
      </c>
      <c r="M78" s="204">
        <f t="shared" si="48"/>
        <v>320523302</v>
      </c>
      <c r="N78" s="204">
        <f t="shared" si="48"/>
        <v>172988000</v>
      </c>
      <c r="O78" s="204">
        <f t="shared" si="48"/>
        <v>528405685</v>
      </c>
      <c r="P78" s="204">
        <f t="shared" si="48"/>
        <v>381149989.31904763</v>
      </c>
      <c r="Q78" s="204">
        <f t="shared" si="48"/>
        <v>369422297.34000003</v>
      </c>
      <c r="R78" s="204">
        <f t="shared" si="48"/>
        <v>1216748042.8261905</v>
      </c>
      <c r="S78" s="204">
        <f t="shared" si="48"/>
        <v>1967320329.4852381</v>
      </c>
      <c r="T78" s="205">
        <f t="shared" si="48"/>
        <v>3307633631.4852381</v>
      </c>
      <c r="U78" s="205">
        <f t="shared" si="48"/>
        <v>3009018329.4852381</v>
      </c>
      <c r="V78" s="205">
        <f t="shared" si="48"/>
        <v>4132426014.4852381</v>
      </c>
      <c r="W78" s="354">
        <f>SUM(W$63:W$67)</f>
        <v>-0.182</v>
      </c>
      <c r="X78" s="212">
        <f>SUM(X$63:X$67)</f>
        <v>913688242.15271163</v>
      </c>
      <c r="Y78" s="212">
        <f t="shared" ref="Y78:AQ78" si="49">SUM(Y$63:Y$67)</f>
        <v>778327021.09305084</v>
      </c>
      <c r="Z78" s="212">
        <f t="shared" si="49"/>
        <v>1466413228.1463277</v>
      </c>
      <c r="AA78" s="212">
        <f t="shared" si="49"/>
        <v>331293631.88460118</v>
      </c>
      <c r="AB78" s="212">
        <f t="shared" si="49"/>
        <v>282213093.82762331</v>
      </c>
      <c r="AC78" s="212">
        <f t="shared" si="49"/>
        <v>531705828.95059466</v>
      </c>
      <c r="AD78" s="212">
        <f t="shared" si="49"/>
        <v>523610855.2130115</v>
      </c>
      <c r="AE78" s="212">
        <f t="shared" si="49"/>
        <v>446038876.66293579</v>
      </c>
      <c r="AF78" s="212">
        <f t="shared" si="49"/>
        <v>840363100.95915437</v>
      </c>
      <c r="AG78" s="212">
        <f t="shared" si="49"/>
        <v>274221022</v>
      </c>
      <c r="AH78" s="212">
        <f t="shared" si="49"/>
        <v>145402122</v>
      </c>
      <c r="AI78" s="212">
        <f t="shared" si="49"/>
        <v>456805074</v>
      </c>
      <c r="AJ78" s="212">
        <f t="shared" si="49"/>
        <v>341494095.58580244</v>
      </c>
      <c r="AK78" s="212">
        <f t="shared" si="49"/>
        <v>330986584.95239317</v>
      </c>
      <c r="AL78" s="212">
        <f t="shared" si="49"/>
        <v>1090154228.2162156</v>
      </c>
      <c r="AM78" s="212">
        <f t="shared" si="49"/>
        <v>1762634908.7544112</v>
      </c>
      <c r="AN78" s="213">
        <f t="shared" si="49"/>
        <v>2950544172.9071231</v>
      </c>
      <c r="AO78" s="213">
        <f t="shared" si="49"/>
        <v>2686364051.8474617</v>
      </c>
      <c r="AP78" s="213">
        <f t="shared" si="49"/>
        <v>3685853210.9007387</v>
      </c>
      <c r="AQ78" s="212">
        <f t="shared" si="49"/>
        <v>169608000000</v>
      </c>
      <c r="AR78" s="214">
        <f t="shared" si="34"/>
        <v>1.7396255913088552E-2</v>
      </c>
      <c r="AS78" s="214">
        <f t="shared" si="35"/>
        <v>1.5838663576290397E-2</v>
      </c>
      <c r="AT78" s="214">
        <f t="shared" si="36"/>
        <v>2.1731599988802055E-2</v>
      </c>
      <c r="AU78" s="188">
        <f t="shared" ref="AU78:BN78" si="50">SUM(AU$63:AU$67)</f>
        <v>106101757.84728825</v>
      </c>
      <c r="AV78" s="188">
        <f t="shared" si="50"/>
        <v>90382978.906949162</v>
      </c>
      <c r="AW78" s="188">
        <f t="shared" si="50"/>
        <v>170286771.85367215</v>
      </c>
      <c r="AX78" s="188">
        <f t="shared" si="50"/>
        <v>38471368.115398794</v>
      </c>
      <c r="AY78" s="188">
        <f t="shared" si="50"/>
        <v>32771906.172376759</v>
      </c>
      <c r="AZ78" s="188">
        <f t="shared" si="50"/>
        <v>61744171.049405351</v>
      </c>
      <c r="BA78" s="188">
        <f t="shared" si="50"/>
        <v>60804144.786988467</v>
      </c>
      <c r="BB78" s="188">
        <f t="shared" si="50"/>
        <v>51796123.337064251</v>
      </c>
      <c r="BC78" s="188">
        <f t="shared" si="50"/>
        <v>97586899.040845484</v>
      </c>
      <c r="BD78" s="188">
        <f t="shared" si="50"/>
        <v>46302280</v>
      </c>
      <c r="BE78" s="188">
        <f t="shared" si="50"/>
        <v>27585878</v>
      </c>
      <c r="BF78" s="188">
        <f t="shared" si="50"/>
        <v>71600610</v>
      </c>
      <c r="BG78" s="188">
        <f t="shared" si="50"/>
        <v>39655893.733245134</v>
      </c>
      <c r="BH78" s="188">
        <f t="shared" si="50"/>
        <v>38435712.387606874</v>
      </c>
      <c r="BI78" s="188">
        <f t="shared" si="50"/>
        <v>126593814.60997495</v>
      </c>
      <c r="BJ78" s="188">
        <f t="shared" si="50"/>
        <v>204685420.73082697</v>
      </c>
      <c r="BK78" s="188">
        <f t="shared" si="50"/>
        <v>357089458.57811522</v>
      </c>
      <c r="BL78" s="188">
        <f t="shared" si="50"/>
        <v>322654277.63777614</v>
      </c>
      <c r="BM78" s="188">
        <f t="shared" si="50"/>
        <v>446572802.58449912</v>
      </c>
      <c r="BN78" s="215">
        <f t="shared" si="50"/>
        <v>4748445.9023322966</v>
      </c>
      <c r="BO78" s="166">
        <f t="shared" si="39"/>
        <v>75.201332377551864</v>
      </c>
      <c r="BP78" s="166">
        <f t="shared" si="40"/>
        <v>67.949447940282496</v>
      </c>
      <c r="BQ78" s="216">
        <f t="shared" si="41"/>
        <v>94.046096716644854</v>
      </c>
    </row>
    <row r="79" spans="2:69">
      <c r="B79" s="210" t="s">
        <v>329</v>
      </c>
      <c r="C79" s="211" t="s">
        <v>282</v>
      </c>
      <c r="D79" s="212">
        <f>SUM(D$68:D$73)</f>
        <v>1223748000</v>
      </c>
      <c r="E79" s="212">
        <f t="shared" ref="E79:V79" si="51">SUM(E$68:E$73)</f>
        <v>1042452000</v>
      </c>
      <c r="F79" s="212">
        <f t="shared" si="51"/>
        <v>1964040000</v>
      </c>
      <c r="G79" s="212">
        <f t="shared" si="51"/>
        <v>443718000</v>
      </c>
      <c r="H79" s="212">
        <f t="shared" si="51"/>
        <v>377982000.00000006</v>
      </c>
      <c r="I79" s="212">
        <f t="shared" si="51"/>
        <v>712140000</v>
      </c>
      <c r="J79" s="212">
        <f t="shared" si="51"/>
        <v>701298000</v>
      </c>
      <c r="K79" s="212">
        <f t="shared" si="51"/>
        <v>597402000.00000012</v>
      </c>
      <c r="L79" s="212">
        <f t="shared" si="51"/>
        <v>1125540000</v>
      </c>
      <c r="M79" s="212">
        <f t="shared" si="51"/>
        <v>395329285</v>
      </c>
      <c r="N79" s="212">
        <f t="shared" si="51"/>
        <v>213361153</v>
      </c>
      <c r="O79" s="212">
        <f t="shared" si="51"/>
        <v>651728847</v>
      </c>
      <c r="P79" s="212">
        <f t="shared" si="51"/>
        <v>457379987.18285716</v>
      </c>
      <c r="Q79" s="212">
        <f t="shared" si="51"/>
        <v>443306756.80800003</v>
      </c>
      <c r="R79" s="212">
        <f t="shared" si="51"/>
        <v>1460097651.3914285</v>
      </c>
      <c r="S79" s="212">
        <f t="shared" si="51"/>
        <v>2360784395.3822856</v>
      </c>
      <c r="T79" s="213">
        <f t="shared" si="51"/>
        <v>3979861680.3822856</v>
      </c>
      <c r="U79" s="213">
        <f t="shared" si="51"/>
        <v>3616597548.3822856</v>
      </c>
      <c r="V79" s="213">
        <f t="shared" si="51"/>
        <v>4976553242.3822861</v>
      </c>
      <c r="W79" s="355">
        <f>SUM(W$68:W$72)</f>
        <v>-4.5500000000000013E-2</v>
      </c>
      <c r="X79" s="212">
        <f>SUM(X$68:X$73)</f>
        <v>984766527.59036529</v>
      </c>
      <c r="Y79" s="212">
        <f t="shared" ref="Y79:AQ79" si="52">SUM(Y$68:Y$73)</f>
        <v>838875190.16957068</v>
      </c>
      <c r="Z79" s="212">
        <f t="shared" si="52"/>
        <v>1580489488.7252781</v>
      </c>
      <c r="AA79" s="212">
        <f t="shared" si="52"/>
        <v>357065861.67196327</v>
      </c>
      <c r="AB79" s="212">
        <f t="shared" si="52"/>
        <v>304167215.49833918</v>
      </c>
      <c r="AC79" s="212">
        <f t="shared" si="52"/>
        <v>573068666.88092899</v>
      </c>
      <c r="AD79" s="212">
        <f t="shared" si="52"/>
        <v>564343963.1901896</v>
      </c>
      <c r="AE79" s="212">
        <f t="shared" si="52"/>
        <v>480737450.12497628</v>
      </c>
      <c r="AF79" s="212">
        <f t="shared" si="52"/>
        <v>905737224.87314403</v>
      </c>
      <c r="AG79" s="212">
        <f t="shared" si="52"/>
        <v>304656210</v>
      </c>
      <c r="AH79" s="212">
        <f t="shared" si="52"/>
        <v>161615376</v>
      </c>
      <c r="AI79" s="212">
        <f t="shared" si="52"/>
        <v>507288705</v>
      </c>
      <c r="AJ79" s="212">
        <f t="shared" si="52"/>
        <v>368059847.09873939</v>
      </c>
      <c r="AK79" s="212">
        <f t="shared" si="52"/>
        <v>356734928.72647047</v>
      </c>
      <c r="AL79" s="212">
        <f t="shared" si="52"/>
        <v>1174960281.1228988</v>
      </c>
      <c r="AM79" s="212">
        <f t="shared" si="52"/>
        <v>1899755056.9481087</v>
      </c>
      <c r="AN79" s="213">
        <f t="shared" si="52"/>
        <v>3189177794.5384741</v>
      </c>
      <c r="AO79" s="213">
        <f t="shared" si="52"/>
        <v>2900245623.1176796</v>
      </c>
      <c r="AP79" s="213">
        <f t="shared" si="52"/>
        <v>3987533250.6733866</v>
      </c>
      <c r="AQ79" s="212">
        <f t="shared" si="52"/>
        <v>203529600000</v>
      </c>
      <c r="AR79" s="214">
        <f t="shared" si="34"/>
        <v>1.5669356174917427E-2</v>
      </c>
      <c r="AS79" s="214">
        <f t="shared" si="35"/>
        <v>1.4249748553122886E-2</v>
      </c>
      <c r="AT79" s="214">
        <f t="shared" si="36"/>
        <v>1.9591908256456979E-2</v>
      </c>
      <c r="AU79" s="166">
        <f t="shared" ref="AU79:BN79" si="53">SUM(AU$68:AU$73)</f>
        <v>238981472.40963471</v>
      </c>
      <c r="AV79" s="166">
        <f t="shared" si="53"/>
        <v>203576809.8304294</v>
      </c>
      <c r="AW79" s="166">
        <f t="shared" si="53"/>
        <v>383550511.27472174</v>
      </c>
      <c r="AX79" s="166">
        <f t="shared" si="53"/>
        <v>86652138.328036726</v>
      </c>
      <c r="AY79" s="166">
        <f t="shared" si="53"/>
        <v>73814784.501660898</v>
      </c>
      <c r="AZ79" s="166">
        <f t="shared" si="53"/>
        <v>139071333.11907107</v>
      </c>
      <c r="BA79" s="166">
        <f t="shared" si="53"/>
        <v>136954036.80981052</v>
      </c>
      <c r="BB79" s="166">
        <f t="shared" si="53"/>
        <v>116664549.87502375</v>
      </c>
      <c r="BC79" s="166">
        <f t="shared" si="53"/>
        <v>219802775.12685603</v>
      </c>
      <c r="BD79" s="166">
        <f t="shared" si="53"/>
        <v>90673075</v>
      </c>
      <c r="BE79" s="166">
        <f t="shared" si="53"/>
        <v>51745777</v>
      </c>
      <c r="BF79" s="166">
        <f t="shared" si="53"/>
        <v>144440142</v>
      </c>
      <c r="BG79" s="166">
        <f t="shared" si="53"/>
        <v>89320140.08411777</v>
      </c>
      <c r="BH79" s="166">
        <f t="shared" si="53"/>
        <v>86571828.081529588</v>
      </c>
      <c r="BI79" s="166">
        <f t="shared" si="53"/>
        <v>285137370.26852989</v>
      </c>
      <c r="BJ79" s="166">
        <f t="shared" si="53"/>
        <v>461029338.43417722</v>
      </c>
      <c r="BK79" s="166">
        <f t="shared" si="53"/>
        <v>790683885.84381199</v>
      </c>
      <c r="BL79" s="166">
        <f t="shared" si="53"/>
        <v>716351925.26460671</v>
      </c>
      <c r="BM79" s="166">
        <f t="shared" si="53"/>
        <v>989019991.70889902</v>
      </c>
      <c r="BN79" s="215">
        <f t="shared" si="53"/>
        <v>3306910.4763059271</v>
      </c>
      <c r="BO79" s="166">
        <f t="shared" si="39"/>
        <v>239.10048110134102</v>
      </c>
      <c r="BP79" s="166">
        <f t="shared" si="40"/>
        <v>216.62271488668384</v>
      </c>
      <c r="BQ79" s="216">
        <f t="shared" si="41"/>
        <v>299.07673606384117</v>
      </c>
    </row>
    <row r="80" spans="2:69">
      <c r="B80" s="217" t="s">
        <v>330</v>
      </c>
      <c r="C80" s="180" t="s">
        <v>282</v>
      </c>
      <c r="D80" s="181">
        <f>SUM(D$63:D$77)</f>
        <v>3059370000</v>
      </c>
      <c r="E80" s="181">
        <f t="shared" ref="E80:V80" si="54">SUM(E$63:E$77)</f>
        <v>2606130000</v>
      </c>
      <c r="F80" s="181">
        <f t="shared" si="54"/>
        <v>4910100000</v>
      </c>
      <c r="G80" s="181">
        <f t="shared" si="54"/>
        <v>1109295000</v>
      </c>
      <c r="H80" s="181">
        <f t="shared" si="54"/>
        <v>944955000.00000012</v>
      </c>
      <c r="I80" s="181">
        <f t="shared" si="54"/>
        <v>1780350000</v>
      </c>
      <c r="J80" s="181">
        <f t="shared" si="54"/>
        <v>1753245000</v>
      </c>
      <c r="K80" s="181">
        <f t="shared" si="54"/>
        <v>1493505000.0000002</v>
      </c>
      <c r="L80" s="181">
        <f t="shared" si="54"/>
        <v>2813850000</v>
      </c>
      <c r="M80" s="181">
        <f t="shared" si="54"/>
        <v>986055031</v>
      </c>
      <c r="N80" s="181">
        <f t="shared" si="54"/>
        <v>532178744</v>
      </c>
      <c r="O80" s="181">
        <f t="shared" si="54"/>
        <v>1625582650</v>
      </c>
      <c r="P80" s="181">
        <f t="shared" si="54"/>
        <v>1143449967.9571433</v>
      </c>
      <c r="Q80" s="181">
        <f t="shared" si="54"/>
        <v>1108266892.0200005</v>
      </c>
      <c r="R80" s="181">
        <f t="shared" si="54"/>
        <v>3650244128.4785705</v>
      </c>
      <c r="S80" s="181">
        <f t="shared" si="54"/>
        <v>5901960988.4557152</v>
      </c>
      <c r="T80" s="192">
        <f t="shared" si="54"/>
        <v>9947386019.4557152</v>
      </c>
      <c r="U80" s="192">
        <f t="shared" si="54"/>
        <v>9040269732.4557171</v>
      </c>
      <c r="V80" s="192">
        <f t="shared" si="54"/>
        <v>12437643638.455713</v>
      </c>
      <c r="W80" s="356">
        <f>SUM(W$63:W$77)</f>
        <v>-0.27299999999999996</v>
      </c>
      <c r="X80" s="181">
        <f>SUM(X$63:X$77)</f>
        <v>2525589594.1603036</v>
      </c>
      <c r="Y80" s="181">
        <f t="shared" ref="Y80:AQ80" si="55">SUM(Y$63:Y$77)</f>
        <v>2151428172.8032222</v>
      </c>
      <c r="Z80" s="181">
        <f t="shared" si="55"/>
        <v>4053415398.0350571</v>
      </c>
      <c r="AA80" s="181">
        <f t="shared" si="55"/>
        <v>915751906.06368434</v>
      </c>
      <c r="AB80" s="181">
        <f t="shared" si="55"/>
        <v>780084957.01721287</v>
      </c>
      <c r="AC80" s="181">
        <f t="shared" si="55"/>
        <v>1469725281.3367782</v>
      </c>
      <c r="AD80" s="181">
        <f t="shared" si="55"/>
        <v>1447349398.0831289</v>
      </c>
      <c r="AE80" s="181">
        <f t="shared" si="55"/>
        <v>1232927265.0337765</v>
      </c>
      <c r="AF80" s="181">
        <f t="shared" si="55"/>
        <v>2322906441.3679848</v>
      </c>
      <c r="AG80" s="181">
        <f t="shared" si="55"/>
        <v>777518449</v>
      </c>
      <c r="AH80" s="181">
        <f t="shared" si="55"/>
        <v>412502046</v>
      </c>
      <c r="AI80" s="181">
        <f t="shared" si="55"/>
        <v>1294806418</v>
      </c>
      <c r="AJ80" s="181">
        <f t="shared" si="55"/>
        <v>943947721.43137085</v>
      </c>
      <c r="AK80" s="181">
        <f t="shared" si="55"/>
        <v>914903176.15655947</v>
      </c>
      <c r="AL80" s="181">
        <f t="shared" si="55"/>
        <v>3013371572.2616844</v>
      </c>
      <c r="AM80" s="181">
        <f t="shared" si="55"/>
        <v>4872222469.8496151</v>
      </c>
      <c r="AN80" s="192">
        <f t="shared" si="55"/>
        <v>8175330513.0099192</v>
      </c>
      <c r="AO80" s="192">
        <f t="shared" si="55"/>
        <v>7436152688.6528358</v>
      </c>
      <c r="AP80" s="192">
        <f t="shared" si="55"/>
        <v>10220444285.884674</v>
      </c>
      <c r="AQ80" s="181">
        <f t="shared" si="55"/>
        <v>508824000000</v>
      </c>
      <c r="AR80" s="194">
        <f t="shared" si="34"/>
        <v>1.6067108691826485E-2</v>
      </c>
      <c r="AS80" s="194">
        <f t="shared" si="35"/>
        <v>1.4614390611788822E-2</v>
      </c>
      <c r="AT80" s="194">
        <f t="shared" si="36"/>
        <v>2.0086403718937537E-2</v>
      </c>
      <c r="AU80" s="190">
        <f t="shared" ref="AU80:BN80" si="56">SUM(AU$63:AU$77)</f>
        <v>533780405.83969617</v>
      </c>
      <c r="AV80" s="190">
        <f t="shared" si="56"/>
        <v>454701827.19677794</v>
      </c>
      <c r="AW80" s="190">
        <f t="shared" si="56"/>
        <v>856684601.96494305</v>
      </c>
      <c r="AX80" s="190">
        <f t="shared" si="56"/>
        <v>193543093.9363156</v>
      </c>
      <c r="AY80" s="190">
        <f t="shared" si="56"/>
        <v>164870042.98278734</v>
      </c>
      <c r="AZ80" s="190">
        <f t="shared" si="56"/>
        <v>310624718.66322201</v>
      </c>
      <c r="BA80" s="190">
        <f t="shared" si="56"/>
        <v>305895601.91687125</v>
      </c>
      <c r="BB80" s="190">
        <f t="shared" si="56"/>
        <v>260577734.9662236</v>
      </c>
      <c r="BC80" s="190">
        <f t="shared" si="56"/>
        <v>490943558.63201463</v>
      </c>
      <c r="BD80" s="190">
        <f t="shared" si="56"/>
        <v>208536581</v>
      </c>
      <c r="BE80" s="190">
        <f t="shared" si="56"/>
        <v>119676698</v>
      </c>
      <c r="BF80" s="190">
        <f t="shared" si="56"/>
        <v>330776228</v>
      </c>
      <c r="BG80" s="190">
        <f t="shared" si="56"/>
        <v>199502246.52577192</v>
      </c>
      <c r="BH80" s="190">
        <f t="shared" si="56"/>
        <v>193363715.86344063</v>
      </c>
      <c r="BI80" s="190">
        <f t="shared" si="56"/>
        <v>636872556.21688747</v>
      </c>
      <c r="BJ80" s="190">
        <f t="shared" si="56"/>
        <v>1029738518.6061001</v>
      </c>
      <c r="BK80" s="190">
        <f t="shared" si="56"/>
        <v>1772055505.4457965</v>
      </c>
      <c r="BL80" s="190">
        <f t="shared" si="56"/>
        <v>1604117043.8028779</v>
      </c>
      <c r="BM80" s="190">
        <f>SUM(BM$63:BM$77)</f>
        <v>2217199348.571043</v>
      </c>
      <c r="BN80" s="197">
        <f t="shared" si="56"/>
        <v>10022152.958321868</v>
      </c>
      <c r="BO80" s="190">
        <f t="shared" si="39"/>
        <v>176.81385554731281</v>
      </c>
      <c r="BP80" s="190">
        <f t="shared" si="40"/>
        <v>160.05713048620993</v>
      </c>
      <c r="BQ80" s="218">
        <f t="shared" si="41"/>
        <v>221.22984530284958</v>
      </c>
    </row>
    <row r="83" spans="2:69" ht="21">
      <c r="B83" s="199" t="s">
        <v>360</v>
      </c>
    </row>
    <row r="86" spans="2:69" ht="101.1" customHeight="1">
      <c r="B86" s="4" t="s">
        <v>0</v>
      </c>
      <c r="C86" s="4" t="s">
        <v>120</v>
      </c>
      <c r="D86" s="4" t="s">
        <v>698</v>
      </c>
      <c r="E86" s="4" t="s">
        <v>699</v>
      </c>
      <c r="F86" s="4" t="s">
        <v>700</v>
      </c>
      <c r="G86" s="358" t="s">
        <v>720</v>
      </c>
      <c r="H86" s="358" t="s">
        <v>721</v>
      </c>
      <c r="I86" s="358" t="s">
        <v>722</v>
      </c>
      <c r="J86" s="358" t="s">
        <v>723</v>
      </c>
      <c r="K86" s="358" t="s">
        <v>724</v>
      </c>
      <c r="L86" s="358" t="s">
        <v>725</v>
      </c>
      <c r="M86" s="358" t="s">
        <v>704</v>
      </c>
      <c r="N86" s="358" t="s">
        <v>705</v>
      </c>
      <c r="O86" s="358" t="s">
        <v>706</v>
      </c>
      <c r="P86" s="358" t="s">
        <v>711</v>
      </c>
      <c r="Q86" s="358" t="s">
        <v>712</v>
      </c>
      <c r="R86" s="358" t="s">
        <v>713</v>
      </c>
      <c r="S86" s="358" t="s">
        <v>714</v>
      </c>
      <c r="T86" s="359" t="s">
        <v>715</v>
      </c>
      <c r="U86" s="359" t="s">
        <v>716</v>
      </c>
      <c r="V86" s="359" t="s">
        <v>717</v>
      </c>
      <c r="W86" s="357" t="s">
        <v>332</v>
      </c>
      <c r="X86" s="4" t="s">
        <v>472</v>
      </c>
      <c r="Y86" s="4" t="s">
        <v>473</v>
      </c>
      <c r="Z86" s="4" t="s">
        <v>476</v>
      </c>
      <c r="AA86" s="4" t="s">
        <v>474</v>
      </c>
      <c r="AB86" s="4" t="s">
        <v>475</v>
      </c>
      <c r="AC86" s="4" t="s">
        <v>477</v>
      </c>
      <c r="AD86" s="4" t="s">
        <v>478</v>
      </c>
      <c r="AE86" s="4" t="s">
        <v>479</v>
      </c>
      <c r="AF86" s="4" t="s">
        <v>480</v>
      </c>
      <c r="AG86" s="4" t="s">
        <v>606</v>
      </c>
      <c r="AH86" s="4" t="s">
        <v>612</v>
      </c>
      <c r="AI86" s="4" t="s">
        <v>613</v>
      </c>
      <c r="AJ86" s="4" t="s">
        <v>337</v>
      </c>
      <c r="AK86" s="4" t="s">
        <v>338</v>
      </c>
      <c r="AL86" s="4" t="s">
        <v>339</v>
      </c>
      <c r="AM86" s="4" t="s">
        <v>324</v>
      </c>
      <c r="AN86" s="195" t="s">
        <v>482</v>
      </c>
      <c r="AO86" s="195" t="s">
        <v>483</v>
      </c>
      <c r="AP86" s="195" t="s">
        <v>484</v>
      </c>
      <c r="AQ86" s="4" t="s">
        <v>340</v>
      </c>
      <c r="AR86" s="195" t="s">
        <v>481</v>
      </c>
      <c r="AS86" s="195" t="s">
        <v>485</v>
      </c>
      <c r="AT86" s="195" t="s">
        <v>486</v>
      </c>
      <c r="AU86" s="185" t="s">
        <v>355</v>
      </c>
      <c r="AV86" s="185" t="s">
        <v>487</v>
      </c>
      <c r="AW86" s="185" t="s">
        <v>488</v>
      </c>
      <c r="AX86" s="185" t="s">
        <v>356</v>
      </c>
      <c r="AY86" s="185" t="s">
        <v>489</v>
      </c>
      <c r="AZ86" s="185" t="s">
        <v>490</v>
      </c>
      <c r="BA86" s="185" t="s">
        <v>357</v>
      </c>
      <c r="BB86" s="185" t="s">
        <v>491</v>
      </c>
      <c r="BC86" s="185" t="s">
        <v>492</v>
      </c>
      <c r="BD86" s="187" t="s">
        <v>358</v>
      </c>
      <c r="BE86" s="187" t="s">
        <v>495</v>
      </c>
      <c r="BF86" s="187" t="s">
        <v>496</v>
      </c>
      <c r="BG86" s="186" t="s">
        <v>351</v>
      </c>
      <c r="BH86" s="186" t="s">
        <v>352</v>
      </c>
      <c r="BI86" s="186" t="s">
        <v>353</v>
      </c>
      <c r="BJ86" s="186" t="s">
        <v>354</v>
      </c>
      <c r="BK86" s="191" t="s">
        <v>174</v>
      </c>
      <c r="BL86" s="191" t="s">
        <v>493</v>
      </c>
      <c r="BM86" s="191" t="s">
        <v>494</v>
      </c>
      <c r="BN86" s="198" t="s">
        <v>202</v>
      </c>
      <c r="BO86" s="191" t="s">
        <v>366</v>
      </c>
      <c r="BP86" s="191" t="s">
        <v>367</v>
      </c>
      <c r="BQ86" s="191" t="s">
        <v>368</v>
      </c>
    </row>
    <row r="87" spans="2:69">
      <c r="B87" s="202">
        <v>1</v>
      </c>
      <c r="C87" s="203" t="s">
        <v>77</v>
      </c>
      <c r="D87" s="204">
        <f>'Healthcare Expenditures'!$J83</f>
        <v>203958000</v>
      </c>
      <c r="E87" s="204">
        <f>'Healthcare Expenditures'!$K83</f>
        <v>173742000</v>
      </c>
      <c r="F87" s="204">
        <f>'Healthcare Expenditures'!$L83</f>
        <v>327340000</v>
      </c>
      <c r="G87" s="204">
        <f>'Healthcare Expenditures'!$M83</f>
        <v>73953000</v>
      </c>
      <c r="H87" s="204">
        <f>'Healthcare Expenditures'!$N83</f>
        <v>62997000.000000007</v>
      </c>
      <c r="I87" s="204">
        <f>'Healthcare Expenditures'!$O83</f>
        <v>118690000</v>
      </c>
      <c r="J87" s="204">
        <f>'Healthcare Expenditures'!$P83</f>
        <v>116883000</v>
      </c>
      <c r="K87" s="204">
        <f>'Healthcare Expenditures'!$Q83</f>
        <v>99567000.000000015</v>
      </c>
      <c r="L87" s="204">
        <f>'Healthcare Expenditures'!$R83</f>
        <v>187590000</v>
      </c>
      <c r="M87" s="212">
        <f>'Mortality Costs'!$G160</f>
        <v>63466799</v>
      </c>
      <c r="N87" s="212">
        <f>'Mortality Costs'!$H160</f>
        <v>34253341</v>
      </c>
      <c r="O87" s="212">
        <f>'Mortality Costs'!$I160</f>
        <v>104629575</v>
      </c>
      <c r="P87" s="204">
        <f>'Workplace Smoking Costs'!$K97</f>
        <v>76229997.863809526</v>
      </c>
      <c r="Q87" s="204">
        <f>'Workplace Smoking Costs'!$K216</f>
        <v>73884459.46800001</v>
      </c>
      <c r="R87" s="204">
        <f>'Workplace Smoking Costs'!$K335</f>
        <v>243349608.56523812</v>
      </c>
      <c r="S87" s="204">
        <f t="shared" ref="S87:S101" si="57">P87+Q87+R87</f>
        <v>393464065.89704764</v>
      </c>
      <c r="T87" s="205">
        <f t="shared" ref="T87:T101" si="58">D87+M87+S87</f>
        <v>660888864.89704764</v>
      </c>
      <c r="U87" s="205">
        <f t="shared" ref="U87:U101" si="59">E87+N87+S87</f>
        <v>601459406.89704764</v>
      </c>
      <c r="V87" s="205">
        <f t="shared" ref="V87:V101" si="60">F87+O87+S87</f>
        <v>825433640.89704764</v>
      </c>
      <c r="W87" s="354">
        <f>'Intervention Impacts'!$E$63</f>
        <v>-1.0800000000000001E-2</v>
      </c>
      <c r="X87" s="204">
        <f>'Healthcare Expenditures'!$Z83</f>
        <v>201755253.59999999</v>
      </c>
      <c r="Y87" s="204">
        <f>'Healthcare Expenditures'!$AA83</f>
        <v>171865586.40000001</v>
      </c>
      <c r="Z87" s="204">
        <f>'Healthcare Expenditures'!$AB83</f>
        <v>323804727.99999994</v>
      </c>
      <c r="AA87" s="204">
        <f>'Healthcare Expenditures'!$AC83</f>
        <v>73154307.599999994</v>
      </c>
      <c r="AB87" s="204">
        <f>'Healthcare Expenditures'!$AD83</f>
        <v>62316632.400000006</v>
      </c>
      <c r="AC87" s="204">
        <f>'Healthcare Expenditures'!$AE83</f>
        <v>117408147.99999999</v>
      </c>
      <c r="AD87" s="204">
        <f>'Healthcare Expenditures'!$AF83</f>
        <v>115620663.59999999</v>
      </c>
      <c r="AE87" s="204">
        <f>'Healthcare Expenditures'!$AG83</f>
        <v>98491676.400000006</v>
      </c>
      <c r="AF87" s="204">
        <f>'Healthcare Expenditures'!$AH83</f>
        <v>185564027.99999997</v>
      </c>
      <c r="AG87" s="204">
        <f>'Mortality Costs'!$K160</f>
        <v>59306583</v>
      </c>
      <c r="AH87" s="204">
        <f>'Mortality Costs'!$L160</f>
        <v>31403517</v>
      </c>
      <c r="AI87" s="204">
        <f>'Mortality Costs'!$M160</f>
        <v>99122335</v>
      </c>
      <c r="AJ87" s="204">
        <f>'Workplace Smoking Costs'!$S97</f>
        <v>75406713.886880383</v>
      </c>
      <c r="AK87" s="204">
        <f>'Workplace Smoking Costs'!$S216</f>
        <v>73086507.305745602</v>
      </c>
      <c r="AL87" s="204">
        <f>'Workplace Smoking Costs'!$S335</f>
        <v>240721432.79273355</v>
      </c>
      <c r="AM87" s="204">
        <f>AJ87+AK87+AL87</f>
        <v>389214653.98535955</v>
      </c>
      <c r="AN87" s="205">
        <f>X87+AG87+AM87</f>
        <v>650276490.58535957</v>
      </c>
      <c r="AO87" s="205">
        <f>Y87+AH87+AM87</f>
        <v>592483757.38535953</v>
      </c>
      <c r="AP87" s="205">
        <f>Z87+AI87+AM87</f>
        <v>812141716.98535943</v>
      </c>
      <c r="AQ87" s="204">
        <f>tblTotalCosts_Base[Gross Domestic Product (GDP)]</f>
        <v>33921600000</v>
      </c>
      <c r="AR87" s="206">
        <f t="shared" ref="AR87:AR104" si="61">AN87/$AQ87</f>
        <v>1.9169982860046682E-2</v>
      </c>
      <c r="AS87" s="206">
        <f t="shared" ref="AS87:AS104" si="62">AO87/$AQ87</f>
        <v>1.7466268023482369E-2</v>
      </c>
      <c r="AT87" s="206">
        <f t="shared" ref="AT87:AT104" si="63">AP87/$AQ87</f>
        <v>2.3941727895658207E-2</v>
      </c>
      <c r="AU87" s="207">
        <f>'Healthcare Expenditures'!$AL83</f>
        <v>2202746.400000006</v>
      </c>
      <c r="AV87" s="207">
        <f>'Healthcare Expenditures'!$AM83</f>
        <v>1876413.599999994</v>
      </c>
      <c r="AW87" s="207">
        <f>'Healthcare Expenditures'!$AN83</f>
        <v>3535272.0000000596</v>
      </c>
      <c r="AX87" s="207">
        <f>'Healthcare Expenditures'!$AO83</f>
        <v>798692.40000000596</v>
      </c>
      <c r="AY87" s="207">
        <f>'Healthcare Expenditures'!$AP83</f>
        <v>680367.60000000149</v>
      </c>
      <c r="AZ87" s="207">
        <f>'Healthcare Expenditures'!$AQ83</f>
        <v>1281852.0000000149</v>
      </c>
      <c r="BA87" s="207">
        <f>'Healthcare Expenditures'!$AR83</f>
        <v>1262336.400000006</v>
      </c>
      <c r="BB87" s="207">
        <f>'Healthcare Expenditures'!$AS83</f>
        <v>1075323.6000000089</v>
      </c>
      <c r="BC87" s="207">
        <f>'Healthcare Expenditures'!$AT83</f>
        <v>2025972.0000000298</v>
      </c>
      <c r="BD87" s="208">
        <f>'Mortality Costs'!$N160</f>
        <v>4160216</v>
      </c>
      <c r="BE87" s="208">
        <f>'Mortality Costs'!$O160</f>
        <v>2849824</v>
      </c>
      <c r="BF87" s="208">
        <f>'Mortality Costs'!$P160</f>
        <v>5507240</v>
      </c>
      <c r="BG87" s="208">
        <f>'Workplace Smoking Costs'!$V97</f>
        <v>823283.97692914307</v>
      </c>
      <c r="BH87" s="208">
        <f>'Workplace Smoking Costs'!$V216</f>
        <v>797952.162254408</v>
      </c>
      <c r="BI87" s="208">
        <f>'Workplace Smoking Costs'!$V335</f>
        <v>2628175.7725045681</v>
      </c>
      <c r="BJ87" s="208">
        <f>BG87+BH87+BI87</f>
        <v>4249411.9116881192</v>
      </c>
      <c r="BK87" s="208">
        <f>AU87+BD87+BJ87</f>
        <v>10612374.311688125</v>
      </c>
      <c r="BL87" s="208">
        <f t="shared" ref="BL87:BL101" si="64">AV87+BE87+BJ87</f>
        <v>8975649.5116881132</v>
      </c>
      <c r="BM87" s="208">
        <f t="shared" ref="BM87:BM101" si="65">AW87+BF87+BJ87</f>
        <v>13291923.911688179</v>
      </c>
      <c r="BN87" s="209">
        <f>SUM('Intervention Costs'!$E$42+'Intervention Costs'!$D$42+'Intervention Costs'!$G$42+'Intervention Costs'!$F$42)</f>
        <v>977845.09626223892</v>
      </c>
      <c r="BO87" s="166">
        <f t="shared" ref="BO87:BO104" si="66">BK87/$BN87</f>
        <v>10.852817437294888</v>
      </c>
      <c r="BP87" s="166">
        <f t="shared" ref="BP87:BP104" si="67">BL87/$BN87</f>
        <v>9.1790095854620102</v>
      </c>
      <c r="BQ87" s="216">
        <f t="shared" ref="BQ87:BQ104" si="68">BM87/$BN87</f>
        <v>13.59307722920108</v>
      </c>
    </row>
    <row r="88" spans="2:69">
      <c r="B88" s="210">
        <v>2</v>
      </c>
      <c r="C88" s="211" t="s">
        <v>77</v>
      </c>
      <c r="D88" s="212">
        <f>'Healthcare Expenditures'!$J84</f>
        <v>203958000</v>
      </c>
      <c r="E88" s="212">
        <f>'Healthcare Expenditures'!$K84</f>
        <v>173742000</v>
      </c>
      <c r="F88" s="212">
        <f>'Healthcare Expenditures'!$L84</f>
        <v>327340000</v>
      </c>
      <c r="G88" s="212">
        <f>'Healthcare Expenditures'!$M84</f>
        <v>73953000</v>
      </c>
      <c r="H88" s="212">
        <f>'Healthcare Expenditures'!$N84</f>
        <v>62997000.000000007</v>
      </c>
      <c r="I88" s="212">
        <f>'Healthcare Expenditures'!$O84</f>
        <v>118690000</v>
      </c>
      <c r="J88" s="212">
        <f>'Healthcare Expenditures'!$P84</f>
        <v>116883000</v>
      </c>
      <c r="K88" s="212">
        <f>'Healthcare Expenditures'!$Q84</f>
        <v>99567000.000000015</v>
      </c>
      <c r="L88" s="212">
        <f>'Healthcare Expenditures'!$R84</f>
        <v>187590000</v>
      </c>
      <c r="M88" s="212">
        <f>'Mortality Costs'!$G161</f>
        <v>63784156</v>
      </c>
      <c r="N88" s="212">
        <f>'Mortality Costs'!$H161</f>
        <v>34424628</v>
      </c>
      <c r="O88" s="212">
        <f>'Mortality Costs'!$I161</f>
        <v>105152764</v>
      </c>
      <c r="P88" s="212">
        <f>'Workplace Smoking Costs'!$K98</f>
        <v>76229997.863809526</v>
      </c>
      <c r="Q88" s="212">
        <f>'Workplace Smoking Costs'!$K217</f>
        <v>73884459.46800001</v>
      </c>
      <c r="R88" s="212">
        <f>'Workplace Smoking Costs'!$K336</f>
        <v>243349608.56523812</v>
      </c>
      <c r="S88" s="212">
        <f t="shared" si="57"/>
        <v>393464065.89704764</v>
      </c>
      <c r="T88" s="213">
        <f t="shared" si="58"/>
        <v>661206221.89704764</v>
      </c>
      <c r="U88" s="213">
        <f t="shared" si="59"/>
        <v>601630693.89704764</v>
      </c>
      <c r="V88" s="213">
        <f t="shared" si="60"/>
        <v>825956829.89704764</v>
      </c>
      <c r="W88" s="355">
        <f>'Intervention Impacts'!$E$64</f>
        <v>-1.0800000000000001E-2</v>
      </c>
      <c r="X88" s="212">
        <f>'Healthcare Expenditures'!$Z84</f>
        <v>199576296.86111999</v>
      </c>
      <c r="Y88" s="212">
        <f>'Healthcare Expenditures'!$AA84</f>
        <v>170009438.06687999</v>
      </c>
      <c r="Z88" s="212">
        <f>'Healthcare Expenditures'!$AB84</f>
        <v>320307636.93759996</v>
      </c>
      <c r="AA88" s="212">
        <f>'Healthcare Expenditures'!$AC84</f>
        <v>72364241.07791999</v>
      </c>
      <c r="AB88" s="212">
        <f>'Healthcare Expenditures'!$AD84</f>
        <v>61643612.77008</v>
      </c>
      <c r="AC88" s="212">
        <f>'Healthcare Expenditures'!$AE84</f>
        <v>116140140.00159998</v>
      </c>
      <c r="AD88" s="212">
        <f>'Healthcare Expenditures'!$AF84</f>
        <v>114371960.43312</v>
      </c>
      <c r="AE88" s="212">
        <f>'Healthcare Expenditures'!$AG84</f>
        <v>97427966.294880003</v>
      </c>
      <c r="AF88" s="212">
        <f>'Healthcare Expenditures'!$AH84</f>
        <v>183559936.49759996</v>
      </c>
      <c r="AG88" s="212">
        <f>'Mortality Costs'!$K161</f>
        <v>59133442</v>
      </c>
      <c r="AH88" s="212">
        <f>'Mortality Costs'!$L161</f>
        <v>31348718</v>
      </c>
      <c r="AI88" s="212">
        <f>'Mortality Costs'!$M161</f>
        <v>98853568</v>
      </c>
      <c r="AJ88" s="212">
        <f>'Workplace Smoking Costs'!$S98</f>
        <v>74592321.376902059</v>
      </c>
      <c r="AK88" s="212">
        <f>'Workplace Smoking Costs'!$S217</f>
        <v>72297173.026843533</v>
      </c>
      <c r="AL88" s="212">
        <f>'Workplace Smoking Costs'!$S336</f>
        <v>238121641.31857198</v>
      </c>
      <c r="AM88" s="212">
        <f t="shared" ref="AM88:AM101" si="69">AJ88+AK88+AL88</f>
        <v>385011135.72231758</v>
      </c>
      <c r="AN88" s="213">
        <f t="shared" ref="AN88:AN101" si="70">X88+AG88+AM88</f>
        <v>643720874.58343756</v>
      </c>
      <c r="AO88" s="213">
        <f t="shared" ref="AO88:AO101" si="71">Y88+AH88+AM88</f>
        <v>586369291.78919756</v>
      </c>
      <c r="AP88" s="213">
        <f t="shared" ref="AP88:AP101" si="72">Z88+AI88+AM88</f>
        <v>804172340.65991759</v>
      </c>
      <c r="AQ88" s="212">
        <f>tblTotalCosts_Base[Gross Domestic Product (GDP)]</f>
        <v>33921600000</v>
      </c>
      <c r="AR88" s="214">
        <f t="shared" si="61"/>
        <v>1.8976724994794986E-2</v>
      </c>
      <c r="AS88" s="214">
        <f t="shared" si="62"/>
        <v>1.7286015158164636E-2</v>
      </c>
      <c r="AT88" s="214">
        <f t="shared" si="63"/>
        <v>2.3706792741495612E-2</v>
      </c>
      <c r="AU88" s="188">
        <f>'Healthcare Expenditures'!$AL84</f>
        <v>4381703.1388800144</v>
      </c>
      <c r="AV88" s="188">
        <f>'Healthcare Expenditures'!$AM84</f>
        <v>3732561.9331200123</v>
      </c>
      <c r="AW88" s="188">
        <f>'Healthcare Expenditures'!$AN84</f>
        <v>7032363.062400043</v>
      </c>
      <c r="AX88" s="188">
        <f>'Healthcare Expenditures'!$AO84</f>
        <v>1588758.9220800102</v>
      </c>
      <c r="AY88" s="188">
        <f>'Healthcare Expenditures'!$AP84</f>
        <v>1353387.2299200073</v>
      </c>
      <c r="AZ88" s="188">
        <f>'Healthcare Expenditures'!$AQ84</f>
        <v>2549859.9984000176</v>
      </c>
      <c r="BA88" s="188">
        <f>'Healthcare Expenditures'!$AR84</f>
        <v>2511039.5668800026</v>
      </c>
      <c r="BB88" s="188">
        <f>'Healthcare Expenditures'!$AS84</f>
        <v>2139033.7051200122</v>
      </c>
      <c r="BC88" s="188">
        <f>'Healthcare Expenditures'!$AT84</f>
        <v>4030063.5024000406</v>
      </c>
      <c r="BD88" s="166">
        <f>'Mortality Costs'!$N161</f>
        <v>4650714</v>
      </c>
      <c r="BE88" s="166">
        <f>'Mortality Costs'!$O161</f>
        <v>3075910</v>
      </c>
      <c r="BF88" s="166">
        <f>'Mortality Costs'!$P161</f>
        <v>6299196</v>
      </c>
      <c r="BG88" s="166">
        <f>'Workplace Smoking Costs'!$V98</f>
        <v>1637676.4869074672</v>
      </c>
      <c r="BH88" s="166">
        <f>'Workplace Smoking Costs'!$V217</f>
        <v>1587286.4411564767</v>
      </c>
      <c r="BI88" s="166">
        <f>'Workplace Smoking Costs'!$V336</f>
        <v>5227967.2466661334</v>
      </c>
      <c r="BJ88" s="166">
        <f t="shared" ref="BJ88:BJ101" si="73">BG88+BH88+BI88</f>
        <v>8452930.1747300774</v>
      </c>
      <c r="BK88" s="166">
        <f t="shared" ref="BK88:BK101" si="74">AU88+BD88+BJ88</f>
        <v>17485347.313610092</v>
      </c>
      <c r="BL88" s="166">
        <f t="shared" si="64"/>
        <v>15261402.10785009</v>
      </c>
      <c r="BM88" s="166">
        <f t="shared" si="65"/>
        <v>21784489.23713012</v>
      </c>
      <c r="BN88" s="215">
        <f>SUM('Intervention Costs'!$E$43+'Intervention Costs'!$D$43+'Intervention Costs'!$G$43+'Intervention Costs'!$F$43)</f>
        <v>1239351.5852383957</v>
      </c>
      <c r="BO88" s="166">
        <f t="shared" si="66"/>
        <v>14.10846407256315</v>
      </c>
      <c r="BP88" s="166">
        <f t="shared" si="67"/>
        <v>12.314021533215273</v>
      </c>
      <c r="BQ88" s="216">
        <f t="shared" si="68"/>
        <v>17.57732793228304</v>
      </c>
    </row>
    <row r="89" spans="2:69">
      <c r="B89" s="210">
        <v>3</v>
      </c>
      <c r="C89" s="211" t="s">
        <v>77</v>
      </c>
      <c r="D89" s="212">
        <f>'Healthcare Expenditures'!$J85</f>
        <v>203958000</v>
      </c>
      <c r="E89" s="212">
        <f>'Healthcare Expenditures'!$K85</f>
        <v>173742000</v>
      </c>
      <c r="F89" s="212">
        <f>'Healthcare Expenditures'!$L85</f>
        <v>327340000</v>
      </c>
      <c r="G89" s="212">
        <f>'Healthcare Expenditures'!$M85</f>
        <v>73953000</v>
      </c>
      <c r="H89" s="212">
        <f>'Healthcare Expenditures'!$N85</f>
        <v>62997000.000000007</v>
      </c>
      <c r="I89" s="212">
        <f>'Healthcare Expenditures'!$O85</f>
        <v>118690000</v>
      </c>
      <c r="J89" s="212">
        <f>'Healthcare Expenditures'!$P85</f>
        <v>116883000</v>
      </c>
      <c r="K89" s="212">
        <f>'Healthcare Expenditures'!$Q85</f>
        <v>99567000.000000015</v>
      </c>
      <c r="L89" s="212">
        <f>'Healthcare Expenditures'!$R85</f>
        <v>187590000</v>
      </c>
      <c r="M89" s="212">
        <f>'Mortality Costs'!$G162</f>
        <v>64103066</v>
      </c>
      <c r="N89" s="212">
        <f>'Mortality Costs'!$H162</f>
        <v>34596732</v>
      </c>
      <c r="O89" s="212">
        <f>'Mortality Costs'!$I162</f>
        <v>105678517</v>
      </c>
      <c r="P89" s="212">
        <f>'Workplace Smoking Costs'!$K99</f>
        <v>76229997.863809526</v>
      </c>
      <c r="Q89" s="212">
        <f>'Workplace Smoking Costs'!$K218</f>
        <v>73884459.46800001</v>
      </c>
      <c r="R89" s="212">
        <f>'Workplace Smoking Costs'!$K337</f>
        <v>243349608.56523812</v>
      </c>
      <c r="S89" s="212">
        <f t="shared" si="57"/>
        <v>393464065.89704764</v>
      </c>
      <c r="T89" s="213">
        <f t="shared" si="58"/>
        <v>661525131.89704764</v>
      </c>
      <c r="U89" s="213">
        <f t="shared" si="59"/>
        <v>601802797.89704764</v>
      </c>
      <c r="V89" s="213">
        <f t="shared" si="60"/>
        <v>826482582.89704764</v>
      </c>
      <c r="W89" s="355">
        <f>'Intervention Impacts'!$E$65</f>
        <v>-1.0800000000000001E-2</v>
      </c>
      <c r="X89" s="212">
        <f>'Healthcare Expenditures'!$Z85</f>
        <v>197420872.85501987</v>
      </c>
      <c r="Y89" s="212">
        <f>'Healthcare Expenditures'!$AA85</f>
        <v>168173336.13575768</v>
      </c>
      <c r="Z89" s="212">
        <f>'Healthcare Expenditures'!$AB85</f>
        <v>316848314.45867383</v>
      </c>
      <c r="AA89" s="212">
        <f>'Healthcare Expenditures'!$AC85</f>
        <v>71582707.274278462</v>
      </c>
      <c r="AB89" s="212">
        <f>'Healthcare Expenditures'!$AD85</f>
        <v>60977861.752163127</v>
      </c>
      <c r="AC89" s="212">
        <f>'Healthcare Expenditures'!$AE85</f>
        <v>114885826.4895827</v>
      </c>
      <c r="AD89" s="212">
        <f>'Healthcare Expenditures'!$AF85</f>
        <v>113136743.26044229</v>
      </c>
      <c r="AE89" s="212">
        <f>'Healthcare Expenditures'!$AG85</f>
        <v>96375744.258895278</v>
      </c>
      <c r="AF89" s="212">
        <f>'Healthcare Expenditures'!$AH85</f>
        <v>181577489.18342587</v>
      </c>
      <c r="AG89" s="212">
        <f>'Mortality Costs'!$K162</f>
        <v>58966319</v>
      </c>
      <c r="AH89" s="212">
        <f>'Mortality Costs'!$L162</f>
        <v>31200027</v>
      </c>
      <c r="AI89" s="212">
        <f>'Mortality Costs'!$M162</f>
        <v>98524087</v>
      </c>
      <c r="AJ89" s="212">
        <f>'Workplace Smoking Costs'!$S99</f>
        <v>73786724.306031525</v>
      </c>
      <c r="AK89" s="212">
        <f>'Workplace Smoking Costs'!$S218</f>
        <v>71516363.558153629</v>
      </c>
      <c r="AL89" s="212">
        <f>'Workplace Smoking Costs'!$S337</f>
        <v>235549927.59233144</v>
      </c>
      <c r="AM89" s="212">
        <f t="shared" si="69"/>
        <v>380853015.45651662</v>
      </c>
      <c r="AN89" s="213">
        <f t="shared" si="70"/>
        <v>637240207.31153655</v>
      </c>
      <c r="AO89" s="213">
        <f t="shared" si="71"/>
        <v>580226378.59227431</v>
      </c>
      <c r="AP89" s="213">
        <f t="shared" si="72"/>
        <v>796225416.91519046</v>
      </c>
      <c r="AQ89" s="212">
        <f>tblTotalCosts_Base[Gross Domestic Product (GDP)]</f>
        <v>33921600000</v>
      </c>
      <c r="AR89" s="214">
        <f t="shared" si="61"/>
        <v>1.878567659873168E-2</v>
      </c>
      <c r="AS89" s="214">
        <f t="shared" si="62"/>
        <v>1.7104923664929553E-2</v>
      </c>
      <c r="AT89" s="214">
        <f t="shared" si="63"/>
        <v>2.3472519483608983E-2</v>
      </c>
      <c r="AU89" s="188">
        <f>'Healthcare Expenditures'!$AL85</f>
        <v>6537127.1449801326</v>
      </c>
      <c r="AV89" s="188">
        <f>'Healthcare Expenditures'!$AM85</f>
        <v>5568663.8642423153</v>
      </c>
      <c r="AW89" s="188">
        <f>'Healthcare Expenditures'!$AN85</f>
        <v>10491685.541326165</v>
      </c>
      <c r="AX89" s="188">
        <f>'Healthcare Expenditures'!$AO85</f>
        <v>2370292.7257215381</v>
      </c>
      <c r="AY89" s="188">
        <f>'Healthcare Expenditures'!$AP85</f>
        <v>2019138.2478368804</v>
      </c>
      <c r="AZ89" s="188">
        <f>'Healthcare Expenditures'!$AQ85</f>
        <v>3804173.5104172975</v>
      </c>
      <c r="BA89" s="188">
        <f>'Healthcare Expenditures'!$AR85</f>
        <v>3746256.7395577133</v>
      </c>
      <c r="BB89" s="188">
        <f>'Healthcare Expenditures'!$AS85</f>
        <v>3191255.7411047369</v>
      </c>
      <c r="BC89" s="188">
        <f>'Healthcare Expenditures'!$AT85</f>
        <v>6012510.8165741265</v>
      </c>
      <c r="BD89" s="166">
        <f>'Mortality Costs'!$N162</f>
        <v>5136747</v>
      </c>
      <c r="BE89" s="166">
        <f>'Mortality Costs'!$O162</f>
        <v>3396705</v>
      </c>
      <c r="BF89" s="166">
        <f>'Mortality Costs'!$P162</f>
        <v>7154430</v>
      </c>
      <c r="BG89" s="166">
        <f>'Workplace Smoking Costs'!$V99</f>
        <v>2443273.5577780008</v>
      </c>
      <c r="BH89" s="166">
        <f>'Workplace Smoking Costs'!$V218</f>
        <v>2368095.9098463804</v>
      </c>
      <c r="BI89" s="166">
        <f>'Workplace Smoking Costs'!$V337</f>
        <v>7799680.9729066789</v>
      </c>
      <c r="BJ89" s="166">
        <f t="shared" si="73"/>
        <v>12611050.44053106</v>
      </c>
      <c r="BK89" s="166">
        <f t="shared" si="74"/>
        <v>24284924.585511193</v>
      </c>
      <c r="BL89" s="166">
        <f t="shared" si="64"/>
        <v>21576419.304773375</v>
      </c>
      <c r="BM89" s="166">
        <f t="shared" si="65"/>
        <v>30257165.981857225</v>
      </c>
      <c r="BN89" s="215">
        <f>SUM('Intervention Costs'!$E$44+'Intervention Costs'!$D$44+'Intervention Costs'!$G$44+'Intervention Costs'!$F$44)</f>
        <v>837959.39977647236</v>
      </c>
      <c r="BO89" s="166">
        <f t="shared" si="66"/>
        <v>28.981027710876273</v>
      </c>
      <c r="BP89" s="166">
        <f t="shared" si="67"/>
        <v>25.748764570847868</v>
      </c>
      <c r="BQ89" s="216">
        <f t="shared" si="68"/>
        <v>36.108152721872202</v>
      </c>
    </row>
    <row r="90" spans="2:69">
      <c r="B90" s="210">
        <v>4</v>
      </c>
      <c r="C90" s="211" t="s">
        <v>77</v>
      </c>
      <c r="D90" s="212">
        <f>'Healthcare Expenditures'!$J86</f>
        <v>203958000</v>
      </c>
      <c r="E90" s="212">
        <f>'Healthcare Expenditures'!$K86</f>
        <v>173742000</v>
      </c>
      <c r="F90" s="212">
        <f>'Healthcare Expenditures'!$L86</f>
        <v>327340000</v>
      </c>
      <c r="G90" s="212">
        <f>'Healthcare Expenditures'!$M86</f>
        <v>73953000</v>
      </c>
      <c r="H90" s="212">
        <f>'Healthcare Expenditures'!$N86</f>
        <v>62997000.000000007</v>
      </c>
      <c r="I90" s="212">
        <f>'Healthcare Expenditures'!$O86</f>
        <v>118690000</v>
      </c>
      <c r="J90" s="212">
        <f>'Healthcare Expenditures'!$P86</f>
        <v>116883000</v>
      </c>
      <c r="K90" s="212">
        <f>'Healthcare Expenditures'!$Q86</f>
        <v>99567000.000000015</v>
      </c>
      <c r="L90" s="212">
        <f>'Healthcare Expenditures'!$R86</f>
        <v>187590000</v>
      </c>
      <c r="M90" s="212">
        <f>'Mortality Costs'!$G163</f>
        <v>64423567</v>
      </c>
      <c r="N90" s="212">
        <f>'Mortality Costs'!$H163</f>
        <v>34769710</v>
      </c>
      <c r="O90" s="212">
        <f>'Mortality Costs'!$I163</f>
        <v>106206876</v>
      </c>
      <c r="P90" s="212">
        <f>'Workplace Smoking Costs'!$K100</f>
        <v>76229997.863809526</v>
      </c>
      <c r="Q90" s="212">
        <f>'Workplace Smoking Costs'!$K219</f>
        <v>73884459.46800001</v>
      </c>
      <c r="R90" s="212">
        <f>'Workplace Smoking Costs'!$K338</f>
        <v>243349608.56523812</v>
      </c>
      <c r="S90" s="212">
        <f t="shared" si="57"/>
        <v>393464065.89704764</v>
      </c>
      <c r="T90" s="213">
        <f t="shared" si="58"/>
        <v>661845632.89704764</v>
      </c>
      <c r="U90" s="213">
        <f t="shared" si="59"/>
        <v>601975775.89704764</v>
      </c>
      <c r="V90" s="213">
        <f t="shared" si="60"/>
        <v>827010941.89704764</v>
      </c>
      <c r="W90" s="355">
        <f>'Intervention Impacts'!$E$66</f>
        <v>-1.0800000000000001E-2</v>
      </c>
      <c r="X90" s="212">
        <f>'Healthcare Expenditures'!$Z86</f>
        <v>195288727.42818567</v>
      </c>
      <c r="Y90" s="212">
        <f>'Healthcare Expenditures'!$AA86</f>
        <v>166357064.10549149</v>
      </c>
      <c r="Z90" s="212">
        <f>'Healthcare Expenditures'!$AB86</f>
        <v>313426352.66252017</v>
      </c>
      <c r="AA90" s="212">
        <f>'Healthcare Expenditures'!$AC86</f>
        <v>70809614.035716251</v>
      </c>
      <c r="AB90" s="212">
        <f>'Healthcare Expenditures'!$AD86</f>
        <v>60319300.845239773</v>
      </c>
      <c r="AC90" s="212">
        <f>'Healthcare Expenditures'!$AE86</f>
        <v>113645059.5634952</v>
      </c>
      <c r="AD90" s="212">
        <f>'Healthcare Expenditures'!$AF86</f>
        <v>111914866.43322951</v>
      </c>
      <c r="AE90" s="212">
        <f>'Healthcare Expenditures'!$AG86</f>
        <v>95334886.220899224</v>
      </c>
      <c r="AF90" s="212">
        <f>'Healthcare Expenditures'!$AH86</f>
        <v>179616452.30024487</v>
      </c>
      <c r="AG90" s="212">
        <f>'Mortality Costs'!$K163</f>
        <v>58712347</v>
      </c>
      <c r="AH90" s="212">
        <f>'Mortality Costs'!$L163</f>
        <v>31104876</v>
      </c>
      <c r="AI90" s="212">
        <f>'Mortality Costs'!$M163</f>
        <v>98105135</v>
      </c>
      <c r="AJ90" s="212">
        <f>'Workplace Smoking Costs'!$S100</f>
        <v>72989827.683526382</v>
      </c>
      <c r="AK90" s="212">
        <f>'Workplace Smoking Costs'!$S219</f>
        <v>70743986.831725582</v>
      </c>
      <c r="AL90" s="212">
        <f>'Workplace Smoking Costs'!$S338</f>
        <v>233005988.37433425</v>
      </c>
      <c r="AM90" s="212">
        <f t="shared" si="69"/>
        <v>376739802.88958621</v>
      </c>
      <c r="AN90" s="213">
        <f t="shared" si="70"/>
        <v>630740877.31777191</v>
      </c>
      <c r="AO90" s="213">
        <f t="shared" si="71"/>
        <v>574201742.99507773</v>
      </c>
      <c r="AP90" s="213">
        <f t="shared" si="72"/>
        <v>788271290.55210638</v>
      </c>
      <c r="AQ90" s="212">
        <f>tblTotalCosts_Base[Gross Domestic Product (GDP)]</f>
        <v>33921600000</v>
      </c>
      <c r="AR90" s="214">
        <f t="shared" si="61"/>
        <v>1.8594078030451745E-2</v>
      </c>
      <c r="AS90" s="214">
        <f t="shared" si="62"/>
        <v>1.6927318964762208E-2</v>
      </c>
      <c r="AT90" s="214">
        <f t="shared" si="63"/>
        <v>2.3238033894394911E-2</v>
      </c>
      <c r="AU90" s="188">
        <f>'Healthcare Expenditures'!$AL86</f>
        <v>8669272.5718143284</v>
      </c>
      <c r="AV90" s="188">
        <f>'Healthcare Expenditures'!$AM86</f>
        <v>7384935.8945085108</v>
      </c>
      <c r="AW90" s="188">
        <f>'Healthcare Expenditures'!$AN86</f>
        <v>13913647.33747983</v>
      </c>
      <c r="AX90" s="188">
        <f>'Healthcare Expenditures'!$AO86</f>
        <v>3143385.9642837495</v>
      </c>
      <c r="AY90" s="188">
        <f>'Healthcare Expenditures'!$AP86</f>
        <v>2677699.1547602341</v>
      </c>
      <c r="AZ90" s="188">
        <f>'Healthcare Expenditures'!$AQ86</f>
        <v>5044940.4365047961</v>
      </c>
      <c r="BA90" s="188">
        <f>'Healthcare Expenditures'!$AR86</f>
        <v>4968133.566770494</v>
      </c>
      <c r="BB90" s="188">
        <f>'Healthcare Expenditures'!$AS86</f>
        <v>4232113.7791007906</v>
      </c>
      <c r="BC90" s="188">
        <f>'Healthcare Expenditures'!$AT86</f>
        <v>7973547.6997551322</v>
      </c>
      <c r="BD90" s="166">
        <f>'Mortality Costs'!$N163</f>
        <v>5711220</v>
      </c>
      <c r="BE90" s="166">
        <f>'Mortality Costs'!$O163</f>
        <v>3664834</v>
      </c>
      <c r="BF90" s="166">
        <f>'Mortality Costs'!$P163</f>
        <v>8101741</v>
      </c>
      <c r="BG90" s="166">
        <f>'Workplace Smoking Costs'!$V100</f>
        <v>3240170.1802831441</v>
      </c>
      <c r="BH90" s="166">
        <f>'Workplace Smoking Costs'!$V219</f>
        <v>3140472.6362744272</v>
      </c>
      <c r="BI90" s="166">
        <f>'Workplace Smoking Costs'!$V338</f>
        <v>10343620.190903872</v>
      </c>
      <c r="BJ90" s="166">
        <f t="shared" si="73"/>
        <v>16724263.007461444</v>
      </c>
      <c r="BK90" s="166">
        <f t="shared" si="74"/>
        <v>31104755.579275772</v>
      </c>
      <c r="BL90" s="166">
        <f t="shared" si="64"/>
        <v>27774032.901969954</v>
      </c>
      <c r="BM90" s="166">
        <f t="shared" si="65"/>
        <v>38739651.344941273</v>
      </c>
      <c r="BN90" s="215">
        <f>SUM('Intervention Costs'!$E$45+'Intervention Costs'!$D$45+'Intervention Costs'!$G$45+'Intervention Costs'!$F$45)</f>
        <v>855330.42127871746</v>
      </c>
      <c r="BO90" s="166">
        <f t="shared" si="66"/>
        <v>36.365777254565806</v>
      </c>
      <c r="BP90" s="166">
        <f t="shared" si="67"/>
        <v>32.471700071707758</v>
      </c>
      <c r="BQ90" s="216">
        <f t="shared" si="68"/>
        <v>45.292030285822833</v>
      </c>
    </row>
    <row r="91" spans="2:69">
      <c r="B91" s="210">
        <v>5</v>
      </c>
      <c r="C91" s="211" t="s">
        <v>77</v>
      </c>
      <c r="D91" s="212">
        <f>'Healthcare Expenditures'!$J87</f>
        <v>203958000</v>
      </c>
      <c r="E91" s="212">
        <f>'Healthcare Expenditures'!$K87</f>
        <v>173742000</v>
      </c>
      <c r="F91" s="212">
        <f>'Healthcare Expenditures'!$L87</f>
        <v>327340000</v>
      </c>
      <c r="G91" s="212">
        <f>'Healthcare Expenditures'!$M87</f>
        <v>73953000</v>
      </c>
      <c r="H91" s="212">
        <f>'Healthcare Expenditures'!$N87</f>
        <v>62997000.000000007</v>
      </c>
      <c r="I91" s="212">
        <f>'Healthcare Expenditures'!$O87</f>
        <v>118690000</v>
      </c>
      <c r="J91" s="212">
        <f>'Healthcare Expenditures'!$P87</f>
        <v>116883000</v>
      </c>
      <c r="K91" s="212">
        <f>'Healthcare Expenditures'!$Q87</f>
        <v>99567000.000000015</v>
      </c>
      <c r="L91" s="212">
        <f>'Healthcare Expenditures'!$R87</f>
        <v>187590000</v>
      </c>
      <c r="M91" s="212">
        <f>'Mortality Costs'!$G164</f>
        <v>64745714</v>
      </c>
      <c r="N91" s="212">
        <f>'Mortality Costs'!$H164</f>
        <v>34943589</v>
      </c>
      <c r="O91" s="212">
        <f>'Mortality Costs'!$I164</f>
        <v>106737953</v>
      </c>
      <c r="P91" s="212">
        <f>'Workplace Smoking Costs'!$K101</f>
        <v>76229997.863809526</v>
      </c>
      <c r="Q91" s="212">
        <f>'Workplace Smoking Costs'!$K220</f>
        <v>73884459.46800001</v>
      </c>
      <c r="R91" s="212">
        <f>'Workplace Smoking Costs'!$K339</f>
        <v>243349608.56523812</v>
      </c>
      <c r="S91" s="212">
        <f t="shared" si="57"/>
        <v>393464065.89704764</v>
      </c>
      <c r="T91" s="213">
        <f t="shared" si="58"/>
        <v>662167779.89704764</v>
      </c>
      <c r="U91" s="213">
        <f t="shared" si="59"/>
        <v>602149654.89704764</v>
      </c>
      <c r="V91" s="213">
        <f t="shared" si="60"/>
        <v>827542018.89704764</v>
      </c>
      <c r="W91" s="355">
        <f>'Intervention Impacts'!$E$67</f>
        <v>-1.0800000000000001E-2</v>
      </c>
      <c r="X91" s="212">
        <f>'Healthcare Expenditures'!$Z87</f>
        <v>193179609.17196128</v>
      </c>
      <c r="Y91" s="212">
        <f>'Healthcare Expenditures'!$AA87</f>
        <v>164560407.81315219</v>
      </c>
      <c r="Z91" s="212">
        <f>'Healthcare Expenditures'!$AB87</f>
        <v>310041348.05376494</v>
      </c>
      <c r="AA91" s="212">
        <f>'Healthcare Expenditures'!$AC87</f>
        <v>70044870.204130515</v>
      </c>
      <c r="AB91" s="212">
        <f>'Healthcare Expenditures'!$AD87</f>
        <v>59667852.396111175</v>
      </c>
      <c r="AC91" s="212">
        <f>'Healthcare Expenditures'!$AE87</f>
        <v>112417692.92020945</v>
      </c>
      <c r="AD91" s="212">
        <f>'Healthcare Expenditures'!$AF87</f>
        <v>110706185.87575063</v>
      </c>
      <c r="AE91" s="212">
        <f>'Healthcare Expenditures'!$AG87</f>
        <v>94305269.449713513</v>
      </c>
      <c r="AF91" s="212">
        <f>'Healthcare Expenditures'!$AH87</f>
        <v>177676594.61540222</v>
      </c>
      <c r="AG91" s="212">
        <f>'Mortality Costs'!$K164</f>
        <v>58435681</v>
      </c>
      <c r="AH91" s="212">
        <f>'Mortality Costs'!$L164</f>
        <v>30961267</v>
      </c>
      <c r="AI91" s="212">
        <f>'Mortality Costs'!$M164</f>
        <v>97529984</v>
      </c>
      <c r="AJ91" s="212">
        <f>'Workplace Smoking Costs'!$S101</f>
        <v>72201537.544544294</v>
      </c>
      <c r="AK91" s="212">
        <f>'Workplace Smoking Costs'!$S220</f>
        <v>69979951.773942932</v>
      </c>
      <c r="AL91" s="212">
        <f>'Workplace Smoking Costs'!$S339</f>
        <v>230489523.69989145</v>
      </c>
      <c r="AM91" s="212">
        <f t="shared" si="69"/>
        <v>372671013.01837867</v>
      </c>
      <c r="AN91" s="213">
        <f t="shared" si="70"/>
        <v>624286303.19033992</v>
      </c>
      <c r="AO91" s="213">
        <f t="shared" si="71"/>
        <v>568192687.83153081</v>
      </c>
      <c r="AP91" s="213">
        <f t="shared" si="72"/>
        <v>780242345.07214355</v>
      </c>
      <c r="AQ91" s="212">
        <f>tblTotalCosts_Base[Gross Domestic Product (GDP)]</f>
        <v>33921600000</v>
      </c>
      <c r="AR91" s="214">
        <f t="shared" si="61"/>
        <v>1.8403798853542874E-2</v>
      </c>
      <c r="AS91" s="214">
        <f t="shared" si="62"/>
        <v>1.675017357175165E-2</v>
      </c>
      <c r="AT91" s="214">
        <f t="shared" si="63"/>
        <v>2.3001342656954377E-2</v>
      </c>
      <c r="AU91" s="188">
        <f>'Healthcare Expenditures'!$AL87</f>
        <v>10778390.828038722</v>
      </c>
      <c r="AV91" s="188">
        <f>'Healthcare Expenditures'!$AM87</f>
        <v>9181592.186847806</v>
      </c>
      <c r="AW91" s="188">
        <f>'Healthcare Expenditures'!$AN87</f>
        <v>17298651.946235061</v>
      </c>
      <c r="AX91" s="188">
        <f>'Healthcare Expenditures'!$AO87</f>
        <v>3908129.7958694845</v>
      </c>
      <c r="AY91" s="188">
        <f>'Healthcare Expenditures'!$AP87</f>
        <v>3329147.603888832</v>
      </c>
      <c r="AZ91" s="188">
        <f>'Healthcare Expenditures'!$AQ87</f>
        <v>6272307.0797905475</v>
      </c>
      <c r="BA91" s="188">
        <f>'Healthcare Expenditures'!$AR87</f>
        <v>6176814.1242493689</v>
      </c>
      <c r="BB91" s="188">
        <f>'Healthcare Expenditures'!$AS87</f>
        <v>5261730.5502865016</v>
      </c>
      <c r="BC91" s="188">
        <f>'Healthcare Expenditures'!$AT87</f>
        <v>9913405.3845977783</v>
      </c>
      <c r="BD91" s="166">
        <f>'Mortality Costs'!$N164</f>
        <v>6310033</v>
      </c>
      <c r="BE91" s="166">
        <f>'Mortality Costs'!$O164</f>
        <v>3982322</v>
      </c>
      <c r="BF91" s="166">
        <f>'Mortality Costs'!$P164</f>
        <v>9207969</v>
      </c>
      <c r="BG91" s="166">
        <f>'Workplace Smoking Costs'!$V101</f>
        <v>4028460.3192652315</v>
      </c>
      <c r="BH91" s="166">
        <f>'Workplace Smoking Costs'!$V220</f>
        <v>3904507.6940570772</v>
      </c>
      <c r="BI91" s="166">
        <f>'Workplace Smoking Costs'!$V339</f>
        <v>12860084.86534667</v>
      </c>
      <c r="BJ91" s="166">
        <f t="shared" si="73"/>
        <v>20793052.878668979</v>
      </c>
      <c r="BK91" s="166">
        <f t="shared" si="74"/>
        <v>37881476.706707701</v>
      </c>
      <c r="BL91" s="166">
        <f t="shared" si="64"/>
        <v>33956967.065516785</v>
      </c>
      <c r="BM91" s="166">
        <f t="shared" si="65"/>
        <v>47299673.82490404</v>
      </c>
      <c r="BN91" s="215">
        <f>SUM('Intervention Costs'!$E$46+'Intervention Costs'!$D$46+'Intervention Costs'!$G$46+'Intervention Costs'!$F$46)</f>
        <v>837959.39977647236</v>
      </c>
      <c r="BO91" s="166">
        <f t="shared" si="66"/>
        <v>45.206816364626583</v>
      </c>
      <c r="BP91" s="166">
        <f t="shared" si="67"/>
        <v>40.523403728838041</v>
      </c>
      <c r="BQ91" s="216">
        <f t="shared" si="68"/>
        <v>56.446259612961363</v>
      </c>
    </row>
    <row r="92" spans="2:69">
      <c r="B92" s="210">
        <v>6</v>
      </c>
      <c r="C92" s="211" t="s">
        <v>77</v>
      </c>
      <c r="D92" s="212">
        <f>'Healthcare Expenditures'!$J88</f>
        <v>203958000</v>
      </c>
      <c r="E92" s="212">
        <f>'Healthcare Expenditures'!$K88</f>
        <v>173742000</v>
      </c>
      <c r="F92" s="212">
        <f>'Healthcare Expenditures'!$L88</f>
        <v>327340000</v>
      </c>
      <c r="G92" s="212">
        <f>'Healthcare Expenditures'!$M88</f>
        <v>73953000</v>
      </c>
      <c r="H92" s="212">
        <f>'Healthcare Expenditures'!$N88</f>
        <v>62997000.000000007</v>
      </c>
      <c r="I92" s="212">
        <f>'Healthcare Expenditures'!$O88</f>
        <v>118690000</v>
      </c>
      <c r="J92" s="212">
        <f>'Healthcare Expenditures'!$P88</f>
        <v>116883000</v>
      </c>
      <c r="K92" s="212">
        <f>'Healthcare Expenditures'!$Q88</f>
        <v>99567000.000000015</v>
      </c>
      <c r="L92" s="212">
        <f>'Healthcare Expenditures'!$R88</f>
        <v>187590000</v>
      </c>
      <c r="M92" s="212">
        <f>'Mortality Costs'!$G165</f>
        <v>65069283</v>
      </c>
      <c r="N92" s="212">
        <f>'Mortality Costs'!$H165</f>
        <v>35118184</v>
      </c>
      <c r="O92" s="212">
        <f>'Mortality Costs'!$I165</f>
        <v>107271458</v>
      </c>
      <c r="P92" s="212">
        <f>'Workplace Smoking Costs'!$K102</f>
        <v>76229997.863809526</v>
      </c>
      <c r="Q92" s="212">
        <f>'Workplace Smoking Costs'!$K221</f>
        <v>73884459.46800001</v>
      </c>
      <c r="R92" s="212">
        <f>'Workplace Smoking Costs'!$K340</f>
        <v>243349608.56523812</v>
      </c>
      <c r="S92" s="212">
        <f t="shared" si="57"/>
        <v>393464065.89704764</v>
      </c>
      <c r="T92" s="213">
        <f t="shared" si="58"/>
        <v>662491348.89704764</v>
      </c>
      <c r="U92" s="213">
        <f t="shared" si="59"/>
        <v>602324249.89704764</v>
      </c>
      <c r="V92" s="213">
        <f t="shared" si="60"/>
        <v>828075523.89704764</v>
      </c>
      <c r="W92" s="355">
        <f>'Intervention Impacts'!$E$68</f>
        <v>-8.0000000000000004E-4</v>
      </c>
      <c r="X92" s="212">
        <f>'Healthcare Expenditures'!$Z88</f>
        <v>193025065.4846237</v>
      </c>
      <c r="Y92" s="212">
        <f>'Healthcare Expenditures'!$AA88</f>
        <v>164428759.48690164</v>
      </c>
      <c r="Z92" s="212">
        <f>'Healthcare Expenditures'!$AB88</f>
        <v>309793314.97532195</v>
      </c>
      <c r="AA92" s="212">
        <f>'Healthcare Expenditures'!$AC88</f>
        <v>69988834.307967216</v>
      </c>
      <c r="AB92" s="212">
        <f>'Healthcare Expenditures'!$AD88</f>
        <v>59620118.114194281</v>
      </c>
      <c r="AC92" s="212">
        <f>'Healthcare Expenditures'!$AE88</f>
        <v>112327758.76587328</v>
      </c>
      <c r="AD92" s="212">
        <f>'Healthcare Expenditures'!$AF88</f>
        <v>110617620.92705004</v>
      </c>
      <c r="AE92" s="212">
        <f>'Healthcare Expenditures'!$AG88</f>
        <v>94229825.234153718</v>
      </c>
      <c r="AF92" s="212">
        <f>'Healthcare Expenditures'!$AH88</f>
        <v>177534453.33970991</v>
      </c>
      <c r="AG92" s="212">
        <f>'Mortality Costs'!$K165</f>
        <v>58718355</v>
      </c>
      <c r="AH92" s="212">
        <f>'Mortality Costs'!$L165</f>
        <v>31097215</v>
      </c>
      <c r="AI92" s="212">
        <f>'Mortality Costs'!$M165</f>
        <v>97989324</v>
      </c>
      <c r="AJ92" s="212">
        <f>'Workplace Smoking Costs'!$S102</f>
        <v>72143776.314508647</v>
      </c>
      <c r="AK92" s="212">
        <f>'Workplace Smoking Costs'!$S221</f>
        <v>69923967.812523782</v>
      </c>
      <c r="AL92" s="212">
        <f>'Workplace Smoking Costs'!$S340</f>
        <v>230305132.08093151</v>
      </c>
      <c r="AM92" s="212">
        <f t="shared" si="69"/>
        <v>372372876.20796394</v>
      </c>
      <c r="AN92" s="213">
        <f t="shared" si="70"/>
        <v>624116296.69258761</v>
      </c>
      <c r="AO92" s="213">
        <f t="shared" si="71"/>
        <v>567898850.69486558</v>
      </c>
      <c r="AP92" s="213">
        <f t="shared" si="72"/>
        <v>780155515.18328595</v>
      </c>
      <c r="AQ92" s="212">
        <f>tblTotalCosts_Base[Gross Domestic Product (GDP)]</f>
        <v>33921600000</v>
      </c>
      <c r="AR92" s="214">
        <f t="shared" si="61"/>
        <v>1.8398787105932138E-2</v>
      </c>
      <c r="AS92" s="214">
        <f t="shared" si="62"/>
        <v>1.6741511328913307E-2</v>
      </c>
      <c r="AT92" s="214">
        <f t="shared" si="63"/>
        <v>2.2998782934274504E-2</v>
      </c>
      <c r="AU92" s="188">
        <f>'Healthcare Expenditures'!$AL88</f>
        <v>10932934.5153763</v>
      </c>
      <c r="AV92" s="188">
        <f>'Healthcare Expenditures'!$AM88</f>
        <v>9313240.5130983591</v>
      </c>
      <c r="AW92" s="188">
        <f>'Healthcare Expenditures'!$AN88</f>
        <v>17546685.024678051</v>
      </c>
      <c r="AX92" s="188">
        <f>'Healthcare Expenditures'!$AO88</f>
        <v>3964165.6920327842</v>
      </c>
      <c r="AY92" s="188">
        <f>'Healthcare Expenditures'!$AP88</f>
        <v>3376881.8858057261</v>
      </c>
      <c r="AZ92" s="188">
        <f>'Healthcare Expenditures'!$AQ88</f>
        <v>6362241.2341267169</v>
      </c>
      <c r="BA92" s="188">
        <f>'Healthcare Expenditures'!$AR88</f>
        <v>6265379.0729499608</v>
      </c>
      <c r="BB92" s="188">
        <f>'Healthcare Expenditures'!$AS88</f>
        <v>5337174.7658462971</v>
      </c>
      <c r="BC92" s="188">
        <f>'Healthcare Expenditures'!$AT88</f>
        <v>10055546.660290092</v>
      </c>
      <c r="BD92" s="166">
        <f>'Mortality Costs'!$N165</f>
        <v>6350928</v>
      </c>
      <c r="BE92" s="166">
        <f>'Mortality Costs'!$O165</f>
        <v>4020969</v>
      </c>
      <c r="BF92" s="166">
        <f>'Mortality Costs'!$P165</f>
        <v>9282134</v>
      </c>
      <c r="BG92" s="166">
        <f>'Workplace Smoking Costs'!$V102</f>
        <v>4086221.5493008792</v>
      </c>
      <c r="BH92" s="166">
        <f>'Workplace Smoking Costs'!$V221</f>
        <v>3960491.6554762274</v>
      </c>
      <c r="BI92" s="166">
        <f>'Workplace Smoking Costs'!$V340</f>
        <v>13044476.484306604</v>
      </c>
      <c r="BJ92" s="166">
        <f t="shared" si="73"/>
        <v>21091189.68908371</v>
      </c>
      <c r="BK92" s="166">
        <f t="shared" si="74"/>
        <v>38375052.20446001</v>
      </c>
      <c r="BL92" s="166">
        <f t="shared" si="64"/>
        <v>34425399.202182069</v>
      </c>
      <c r="BM92" s="166">
        <f t="shared" si="65"/>
        <v>47920008.713761762</v>
      </c>
      <c r="BN92" s="215">
        <f>SUM('Intervention Costs'!$E$47+'Intervention Costs'!$D$47+'Intervention Costs'!$G$47+'Intervention Costs'!$F$47)</f>
        <v>661371.43756002001</v>
      </c>
      <c r="BO92" s="166">
        <f t="shared" si="66"/>
        <v>58.023449494638086</v>
      </c>
      <c r="BP92" s="166">
        <f t="shared" si="67"/>
        <v>52.051536016110369</v>
      </c>
      <c r="BQ92" s="216">
        <f t="shared" si="68"/>
        <v>72.455515905784765</v>
      </c>
    </row>
    <row r="93" spans="2:69">
      <c r="B93" s="210">
        <v>7</v>
      </c>
      <c r="C93" s="211" t="s">
        <v>77</v>
      </c>
      <c r="D93" s="212">
        <f>'Healthcare Expenditures'!$J89</f>
        <v>203958000</v>
      </c>
      <c r="E93" s="212">
        <f>'Healthcare Expenditures'!$K89</f>
        <v>173742000</v>
      </c>
      <c r="F93" s="212">
        <f>'Healthcare Expenditures'!$L89</f>
        <v>327340000</v>
      </c>
      <c r="G93" s="212">
        <f>'Healthcare Expenditures'!$M89</f>
        <v>73953000</v>
      </c>
      <c r="H93" s="212">
        <f>'Healthcare Expenditures'!$N89</f>
        <v>62997000.000000007</v>
      </c>
      <c r="I93" s="212">
        <f>'Healthcare Expenditures'!$O89</f>
        <v>118690000</v>
      </c>
      <c r="J93" s="212">
        <f>'Healthcare Expenditures'!$P89</f>
        <v>116883000</v>
      </c>
      <c r="K93" s="212">
        <f>'Healthcare Expenditures'!$Q89</f>
        <v>99567000.000000015</v>
      </c>
      <c r="L93" s="212">
        <f>'Healthcare Expenditures'!$R89</f>
        <v>187590000</v>
      </c>
      <c r="M93" s="212">
        <f>'Mortality Costs'!$G166</f>
        <v>65394678</v>
      </c>
      <c r="N93" s="212">
        <f>'Mortality Costs'!$H166</f>
        <v>35293800</v>
      </c>
      <c r="O93" s="212">
        <f>'Mortality Costs'!$I166</f>
        <v>107807880</v>
      </c>
      <c r="P93" s="212">
        <f>'Workplace Smoking Costs'!$K103</f>
        <v>76229997.863809526</v>
      </c>
      <c r="Q93" s="212">
        <f>'Workplace Smoking Costs'!$K222</f>
        <v>73884459.46800001</v>
      </c>
      <c r="R93" s="212">
        <f>'Workplace Smoking Costs'!$K341</f>
        <v>243349608.56523812</v>
      </c>
      <c r="S93" s="212">
        <f t="shared" si="57"/>
        <v>393464065.89704764</v>
      </c>
      <c r="T93" s="213">
        <f t="shared" si="58"/>
        <v>662816743.89704764</v>
      </c>
      <c r="U93" s="213">
        <f t="shared" si="59"/>
        <v>602499865.89704764</v>
      </c>
      <c r="V93" s="213">
        <f t="shared" si="60"/>
        <v>828611945.89704764</v>
      </c>
      <c r="W93" s="355">
        <f>'Intervention Impacts'!$E$69</f>
        <v>-8.0000000000000004E-4</v>
      </c>
      <c r="X93" s="212">
        <f>'Healthcare Expenditures'!$Z89</f>
        <v>192870645.43223602</v>
      </c>
      <c r="Y93" s="212">
        <f>'Healthcare Expenditures'!$AA89</f>
        <v>164297216.47931212</v>
      </c>
      <c r="Z93" s="212">
        <f>'Healthcare Expenditures'!$AB89</f>
        <v>309545480.32334167</v>
      </c>
      <c r="AA93" s="212">
        <f>'Healthcare Expenditures'!$AC89</f>
        <v>69932843.240520835</v>
      </c>
      <c r="AB93" s="212">
        <f>'Healthcare Expenditures'!$AD89</f>
        <v>59572422.019702926</v>
      </c>
      <c r="AC93" s="212">
        <f>'Healthcare Expenditures'!$AE89</f>
        <v>112237896.55886057</v>
      </c>
      <c r="AD93" s="212">
        <f>'Healthcare Expenditures'!$AF89</f>
        <v>110529126.83030841</v>
      </c>
      <c r="AE93" s="212">
        <f>'Healthcare Expenditures'!$AG89</f>
        <v>94154441.373966396</v>
      </c>
      <c r="AF93" s="212">
        <f>'Healthcare Expenditures'!$AH89</f>
        <v>177392425.77703813</v>
      </c>
      <c r="AG93" s="212">
        <f>'Mortality Costs'!$K166</f>
        <v>58974225</v>
      </c>
      <c r="AH93" s="212">
        <f>'Mortality Costs'!$L166</f>
        <v>31233838</v>
      </c>
      <c r="AI93" s="212">
        <f>'Mortality Costs'!$M166</f>
        <v>98394349</v>
      </c>
      <c r="AJ93" s="212">
        <f>'Workplace Smoking Costs'!$S103</f>
        <v>72086061.293457046</v>
      </c>
      <c r="AK93" s="212">
        <f>'Workplace Smoking Costs'!$S222</f>
        <v>69868028.638273761</v>
      </c>
      <c r="AL93" s="212">
        <f>'Workplace Smoking Costs'!$S341</f>
        <v>230120887.97526675</v>
      </c>
      <c r="AM93" s="212">
        <f t="shared" si="69"/>
        <v>372074977.90699756</v>
      </c>
      <c r="AN93" s="213">
        <f t="shared" si="70"/>
        <v>623919848.33923364</v>
      </c>
      <c r="AO93" s="213">
        <f t="shared" si="71"/>
        <v>567606032.38630962</v>
      </c>
      <c r="AP93" s="213">
        <f t="shared" si="72"/>
        <v>780014807.23033929</v>
      </c>
      <c r="AQ93" s="212">
        <f>tblTotalCosts_Base[Gross Domestic Product (GDP)]</f>
        <v>33921600000</v>
      </c>
      <c r="AR93" s="214">
        <f t="shared" si="61"/>
        <v>1.8392995859252914E-2</v>
      </c>
      <c r="AS93" s="214">
        <f t="shared" si="62"/>
        <v>1.6732879120864276E-2</v>
      </c>
      <c r="AT93" s="214">
        <f t="shared" si="63"/>
        <v>2.2994634900191598E-2</v>
      </c>
      <c r="AU93" s="188">
        <f>'Healthcare Expenditures'!$AL89</f>
        <v>11087354.567763984</v>
      </c>
      <c r="AV93" s="188">
        <f>'Healthcare Expenditures'!$AM89</f>
        <v>9444783.5206878781</v>
      </c>
      <c r="AW93" s="188">
        <f>'Healthcare Expenditures'!$AN89</f>
        <v>17794519.676658332</v>
      </c>
      <c r="AX93" s="188">
        <f>'Healthcare Expenditures'!$AO89</f>
        <v>4020156.7594791651</v>
      </c>
      <c r="AY93" s="188">
        <f>'Healthcare Expenditures'!$AP89</f>
        <v>3424577.9802970812</v>
      </c>
      <c r="AZ93" s="188">
        <f>'Healthcare Expenditures'!$AQ89</f>
        <v>6452103.4411394298</v>
      </c>
      <c r="BA93" s="188">
        <f>'Healthcare Expenditures'!$AR89</f>
        <v>6353873.1696915925</v>
      </c>
      <c r="BB93" s="188">
        <f>'Healthcare Expenditures'!$AS89</f>
        <v>5412558.626033619</v>
      </c>
      <c r="BC93" s="188">
        <f>'Healthcare Expenditures'!$AT89</f>
        <v>10197574.222961873</v>
      </c>
      <c r="BD93" s="166">
        <f>'Mortality Costs'!$N166</f>
        <v>6420453</v>
      </c>
      <c r="BE93" s="166">
        <f>'Mortality Costs'!$O166</f>
        <v>4059962</v>
      </c>
      <c r="BF93" s="166">
        <f>'Mortality Costs'!$P166</f>
        <v>9413531</v>
      </c>
      <c r="BG93" s="166">
        <f>'Workplace Smoking Costs'!$V103</f>
        <v>4143936.5703524798</v>
      </c>
      <c r="BH93" s="166">
        <f>'Workplace Smoking Costs'!$V222</f>
        <v>4016430.829726249</v>
      </c>
      <c r="BI93" s="166">
        <f>'Workplace Smoking Costs'!$V341</f>
        <v>13228720.589971364</v>
      </c>
      <c r="BJ93" s="166">
        <f t="shared" si="73"/>
        <v>21389087.990050092</v>
      </c>
      <c r="BK93" s="166">
        <f t="shared" si="74"/>
        <v>38896895.557814077</v>
      </c>
      <c r="BL93" s="166">
        <f t="shared" si="64"/>
        <v>34893833.51073797</v>
      </c>
      <c r="BM93" s="166">
        <f t="shared" si="65"/>
        <v>48597138.666708425</v>
      </c>
      <c r="BN93" s="215">
        <f>SUM('Intervention Costs'!$E$48+'Intervention Costs'!$D$48+'Intervention Costs'!$G$48+'Intervention Costs'!$F$48)</f>
        <v>504727.41104759427</v>
      </c>
      <c r="BO93" s="166">
        <f t="shared" si="66"/>
        <v>77.065153796741612</v>
      </c>
      <c r="BP93" s="166">
        <f t="shared" si="67"/>
        <v>69.134017188235461</v>
      </c>
      <c r="BQ93" s="216">
        <f t="shared" si="68"/>
        <v>96.283929905534421</v>
      </c>
    </row>
    <row r="94" spans="2:69">
      <c r="B94" s="210">
        <v>8</v>
      </c>
      <c r="C94" s="211" t="s">
        <v>77</v>
      </c>
      <c r="D94" s="212">
        <f>'Healthcare Expenditures'!$J90</f>
        <v>203958000</v>
      </c>
      <c r="E94" s="212">
        <f>'Healthcare Expenditures'!$K90</f>
        <v>173742000</v>
      </c>
      <c r="F94" s="212">
        <f>'Healthcare Expenditures'!$L90</f>
        <v>327340000</v>
      </c>
      <c r="G94" s="212">
        <f>'Healthcare Expenditures'!$M90</f>
        <v>73953000</v>
      </c>
      <c r="H94" s="212">
        <f>'Healthcare Expenditures'!$N90</f>
        <v>62997000.000000007</v>
      </c>
      <c r="I94" s="212">
        <f>'Healthcare Expenditures'!$O90</f>
        <v>118690000</v>
      </c>
      <c r="J94" s="212">
        <f>'Healthcare Expenditures'!$P90</f>
        <v>116883000</v>
      </c>
      <c r="K94" s="212">
        <f>'Healthcare Expenditures'!$Q90</f>
        <v>99567000.000000015</v>
      </c>
      <c r="L94" s="212">
        <f>'Healthcare Expenditures'!$R90</f>
        <v>187590000</v>
      </c>
      <c r="M94" s="212">
        <f>'Mortality Costs'!$G167</f>
        <v>65721801</v>
      </c>
      <c r="N94" s="212">
        <f>'Mortality Costs'!$H167</f>
        <v>35470400</v>
      </c>
      <c r="O94" s="212">
        <f>'Mortality Costs'!$I167</f>
        <v>108347093</v>
      </c>
      <c r="P94" s="212">
        <f>'Workplace Smoking Costs'!$K104</f>
        <v>76229997.863809526</v>
      </c>
      <c r="Q94" s="212">
        <f>'Workplace Smoking Costs'!$K223</f>
        <v>73884459.46800001</v>
      </c>
      <c r="R94" s="212">
        <f>'Workplace Smoking Costs'!$K342</f>
        <v>243349608.56523812</v>
      </c>
      <c r="S94" s="212">
        <f t="shared" si="57"/>
        <v>393464065.89704764</v>
      </c>
      <c r="T94" s="213">
        <f t="shared" si="58"/>
        <v>663143866.89704764</v>
      </c>
      <c r="U94" s="213">
        <f t="shared" si="59"/>
        <v>602676465.89704764</v>
      </c>
      <c r="V94" s="213">
        <f t="shared" si="60"/>
        <v>829151158.89704764</v>
      </c>
      <c r="W94" s="355">
        <f>'Intervention Impacts'!$E$70</f>
        <v>-8.0000000000000004E-4</v>
      </c>
      <c r="X94" s="212">
        <f>'Healthcare Expenditures'!$Z90</f>
        <v>192716348.91589022</v>
      </c>
      <c r="Y94" s="212">
        <f>'Healthcare Expenditures'!$AA90</f>
        <v>164165778.70612869</v>
      </c>
      <c r="Z94" s="212">
        <f>'Healthcare Expenditures'!$AB90</f>
        <v>309297843.93908298</v>
      </c>
      <c r="AA94" s="212">
        <f>'Healthcare Expenditures'!$AC90</f>
        <v>69876896.96592842</v>
      </c>
      <c r="AB94" s="212">
        <f>'Healthcare Expenditures'!$AD90</f>
        <v>59524764.082087167</v>
      </c>
      <c r="AC94" s="212">
        <f>'Healthcare Expenditures'!$AE90</f>
        <v>112148106.24161349</v>
      </c>
      <c r="AD94" s="212">
        <f>'Healthcare Expenditures'!$AF90</f>
        <v>110440703.52884415</v>
      </c>
      <c r="AE94" s="212">
        <f>'Healthcare Expenditures'!$AG90</f>
        <v>94079117.820867226</v>
      </c>
      <c r="AF94" s="212">
        <f>'Healthcare Expenditures'!$AH90</f>
        <v>177250511.83641651</v>
      </c>
      <c r="AG94" s="212">
        <f>'Mortality Costs'!$K167</f>
        <v>59231243</v>
      </c>
      <c r="AH94" s="212">
        <f>'Mortality Costs'!$L167</f>
        <v>31371099</v>
      </c>
      <c r="AI94" s="212">
        <f>'Mortality Costs'!$M167</f>
        <v>98838987</v>
      </c>
      <c r="AJ94" s="212">
        <f>'Workplace Smoking Costs'!$S104</f>
        <v>72028392.44442229</v>
      </c>
      <c r="AK94" s="212">
        <f>'Workplace Smoking Costs'!$S223</f>
        <v>69812134.21536313</v>
      </c>
      <c r="AL94" s="212">
        <f>'Workplace Smoking Costs'!$S342</f>
        <v>229936791.26488656</v>
      </c>
      <c r="AM94" s="212">
        <f t="shared" si="69"/>
        <v>371777317.92467201</v>
      </c>
      <c r="AN94" s="213">
        <f t="shared" si="70"/>
        <v>623724909.84056222</v>
      </c>
      <c r="AO94" s="213">
        <f t="shared" si="71"/>
        <v>567314195.63080072</v>
      </c>
      <c r="AP94" s="213">
        <f t="shared" si="72"/>
        <v>779914148.86375499</v>
      </c>
      <c r="AQ94" s="212">
        <f>tblTotalCosts_Base[Gross Domestic Product (GDP)]</f>
        <v>33921600000</v>
      </c>
      <c r="AR94" s="214">
        <f t="shared" si="61"/>
        <v>1.8387249122699467E-2</v>
      </c>
      <c r="AS94" s="214">
        <f t="shared" si="62"/>
        <v>1.6724275848745362E-2</v>
      </c>
      <c r="AT94" s="214">
        <f t="shared" si="63"/>
        <v>2.2991667517562701E-2</v>
      </c>
      <c r="AU94" s="188">
        <f>'Healthcare Expenditures'!$AL90</f>
        <v>11241651.084109783</v>
      </c>
      <c r="AV94" s="188">
        <f>'Healthcare Expenditures'!$AM90</f>
        <v>9576221.2938713133</v>
      </c>
      <c r="AW94" s="188">
        <f>'Healthcare Expenditures'!$AN90</f>
        <v>18042156.06091702</v>
      </c>
      <c r="AX94" s="188">
        <f>'Healthcare Expenditures'!$AO90</f>
        <v>4076103.0340715796</v>
      </c>
      <c r="AY94" s="188">
        <f>'Healthcare Expenditures'!$AP90</f>
        <v>3472235.9179128408</v>
      </c>
      <c r="AZ94" s="188">
        <f>'Healthcare Expenditures'!$AQ90</f>
        <v>6541893.7583865076</v>
      </c>
      <c r="BA94" s="188">
        <f>'Healthcare Expenditures'!$AR90</f>
        <v>6442296.4711558521</v>
      </c>
      <c r="BB94" s="188">
        <f>'Healthcare Expenditures'!$AS90</f>
        <v>5487882.1791327894</v>
      </c>
      <c r="BC94" s="188">
        <f>'Healthcare Expenditures'!$AT90</f>
        <v>10339488.163583487</v>
      </c>
      <c r="BD94" s="166">
        <f>'Mortality Costs'!$N167</f>
        <v>6490558</v>
      </c>
      <c r="BE94" s="166">
        <f>'Mortality Costs'!$O167</f>
        <v>4099301</v>
      </c>
      <c r="BF94" s="166">
        <f>'Mortality Costs'!$P167</f>
        <v>9508106</v>
      </c>
      <c r="BG94" s="166">
        <f>'Workplace Smoking Costs'!$V104</f>
        <v>4201605.4193872362</v>
      </c>
      <c r="BH94" s="166">
        <f>'Workplace Smoking Costs'!$V223</f>
        <v>4072325.2526368797</v>
      </c>
      <c r="BI94" s="166">
        <f>'Workplace Smoking Costs'!$V342</f>
        <v>13412817.30035156</v>
      </c>
      <c r="BJ94" s="166">
        <f t="shared" si="73"/>
        <v>21686747.972375676</v>
      </c>
      <c r="BK94" s="166">
        <f t="shared" si="74"/>
        <v>39418957.056485459</v>
      </c>
      <c r="BL94" s="166">
        <f t="shared" si="64"/>
        <v>35362270.266246989</v>
      </c>
      <c r="BM94" s="166">
        <f t="shared" si="65"/>
        <v>49237010.033292696</v>
      </c>
      <c r="BN94" s="215">
        <f>SUM('Intervention Costs'!$E$49+'Intervention Costs'!$D$49+'Intervention Costs'!$G$49+'Intervention Costs'!$F$49)</f>
        <v>487356.38954534929</v>
      </c>
      <c r="BO94" s="166">
        <f t="shared" si="66"/>
        <v>80.883226119717179</v>
      </c>
      <c r="BP94" s="166">
        <f t="shared" si="67"/>
        <v>72.559365230106366</v>
      </c>
      <c r="BQ94" s="216">
        <f t="shared" si="68"/>
        <v>101.02875655170027</v>
      </c>
    </row>
    <row r="95" spans="2:69">
      <c r="B95" s="210">
        <v>9</v>
      </c>
      <c r="C95" s="211" t="s">
        <v>77</v>
      </c>
      <c r="D95" s="212">
        <f>'Healthcare Expenditures'!$J91</f>
        <v>203958000</v>
      </c>
      <c r="E95" s="212">
        <f>'Healthcare Expenditures'!$K91</f>
        <v>173742000</v>
      </c>
      <c r="F95" s="212">
        <f>'Healthcare Expenditures'!$L91</f>
        <v>327340000</v>
      </c>
      <c r="G95" s="212">
        <f>'Healthcare Expenditures'!$M91</f>
        <v>73953000</v>
      </c>
      <c r="H95" s="212">
        <f>'Healthcare Expenditures'!$N91</f>
        <v>62997000.000000007</v>
      </c>
      <c r="I95" s="212">
        <f>'Healthcare Expenditures'!$O91</f>
        <v>118690000</v>
      </c>
      <c r="J95" s="212">
        <f>'Healthcare Expenditures'!$P91</f>
        <v>116883000</v>
      </c>
      <c r="K95" s="212">
        <f>'Healthcare Expenditures'!$Q91</f>
        <v>99567000.000000015</v>
      </c>
      <c r="L95" s="212">
        <f>'Healthcare Expenditures'!$R91</f>
        <v>187590000</v>
      </c>
      <c r="M95" s="212">
        <f>'Mortality Costs'!$G168</f>
        <v>66050368</v>
      </c>
      <c r="N95" s="212">
        <f>'Mortality Costs'!$H168</f>
        <v>35647711</v>
      </c>
      <c r="O95" s="212">
        <f>'Mortality Costs'!$I168</f>
        <v>108888772</v>
      </c>
      <c r="P95" s="212">
        <f>'Workplace Smoking Costs'!$K105</f>
        <v>76229997.863809526</v>
      </c>
      <c r="Q95" s="212">
        <f>'Workplace Smoking Costs'!$K224</f>
        <v>73884459.46800001</v>
      </c>
      <c r="R95" s="212">
        <f>'Workplace Smoking Costs'!$K343</f>
        <v>243349608.56523812</v>
      </c>
      <c r="S95" s="212">
        <f t="shared" si="57"/>
        <v>393464065.89704764</v>
      </c>
      <c r="T95" s="213">
        <f t="shared" si="58"/>
        <v>663472433.89704764</v>
      </c>
      <c r="U95" s="213">
        <f t="shared" si="59"/>
        <v>602853776.89704764</v>
      </c>
      <c r="V95" s="213">
        <f t="shared" si="60"/>
        <v>829692837.89704764</v>
      </c>
      <c r="W95" s="355">
        <f>'Intervention Impacts'!$E$71</f>
        <v>-8.0000000000000004E-4</v>
      </c>
      <c r="X95" s="212">
        <f>'Healthcare Expenditures'!$Z91</f>
        <v>192562175.83675748</v>
      </c>
      <c r="Y95" s="212">
        <f>'Healthcare Expenditures'!$AA91</f>
        <v>164034446.08316377</v>
      </c>
      <c r="Z95" s="212">
        <f>'Healthcare Expenditures'!$AB91</f>
        <v>309050405.66393173</v>
      </c>
      <c r="AA95" s="212">
        <f>'Healthcare Expenditures'!$AC91</f>
        <v>69820995.448355675</v>
      </c>
      <c r="AB95" s="212">
        <f>'Healthcare Expenditures'!$AD91</f>
        <v>59477144.270821497</v>
      </c>
      <c r="AC95" s="212">
        <f>'Healthcare Expenditures'!$AE91</f>
        <v>112058387.7566202</v>
      </c>
      <c r="AD95" s="212">
        <f>'Healthcare Expenditures'!$AF91</f>
        <v>110352350.96602106</v>
      </c>
      <c r="AE95" s="212">
        <f>'Healthcare Expenditures'!$AG91</f>
        <v>94003854.526610538</v>
      </c>
      <c r="AF95" s="212">
        <f>'Healthcare Expenditures'!$AH91</f>
        <v>177108711.42694736</v>
      </c>
      <c r="AG95" s="212">
        <f>'Mortality Costs'!$K168</f>
        <v>59422465</v>
      </c>
      <c r="AH95" s="212">
        <f>'Mortality Costs'!$L168</f>
        <v>31470718</v>
      </c>
      <c r="AI95" s="212">
        <f>'Mortality Costs'!$M168</f>
        <v>99209164</v>
      </c>
      <c r="AJ95" s="212">
        <f>'Workplace Smoking Costs'!$S105</f>
        <v>71970769.730466738</v>
      </c>
      <c r="AK95" s="212">
        <f>'Workplace Smoking Costs'!$S224</f>
        <v>69756284.507990837</v>
      </c>
      <c r="AL95" s="212">
        <f>'Workplace Smoking Costs'!$S343</f>
        <v>229752841.83187461</v>
      </c>
      <c r="AM95" s="212">
        <f t="shared" si="69"/>
        <v>371479896.07033217</v>
      </c>
      <c r="AN95" s="213">
        <f t="shared" si="70"/>
        <v>623464536.90708971</v>
      </c>
      <c r="AO95" s="213">
        <f t="shared" si="71"/>
        <v>566985060.15349591</v>
      </c>
      <c r="AP95" s="213">
        <f t="shared" si="72"/>
        <v>779739465.7342639</v>
      </c>
      <c r="AQ95" s="212">
        <f>tblTotalCosts_Base[Gross Domestic Product (GDP)]</f>
        <v>33921600000</v>
      </c>
      <c r="AR95" s="214">
        <f t="shared" si="61"/>
        <v>1.8379573395921469E-2</v>
      </c>
      <c r="AS95" s="214">
        <f t="shared" si="62"/>
        <v>1.671457301994882E-2</v>
      </c>
      <c r="AT95" s="214">
        <f t="shared" si="63"/>
        <v>2.2986517904057115E-2</v>
      </c>
      <c r="AU95" s="188">
        <f>'Healthcare Expenditures'!$AL91</f>
        <v>11395824.163242519</v>
      </c>
      <c r="AV95" s="188">
        <f>'Healthcare Expenditures'!$AM91</f>
        <v>9707553.9168362319</v>
      </c>
      <c r="AW95" s="188">
        <f>'Healthcare Expenditures'!$AN91</f>
        <v>18289594.336068273</v>
      </c>
      <c r="AX95" s="188">
        <f>'Healthcare Expenditures'!$AO91</f>
        <v>4132004.5516443253</v>
      </c>
      <c r="AY95" s="188">
        <f>'Healthcare Expenditures'!$AP91</f>
        <v>3519855.7291785106</v>
      </c>
      <c r="AZ95" s="188">
        <f>'Healthcare Expenditures'!$AQ91</f>
        <v>6631612.2433798015</v>
      </c>
      <c r="BA95" s="188">
        <f>'Healthcare Expenditures'!$AR91</f>
        <v>6530649.0339789391</v>
      </c>
      <c r="BB95" s="188">
        <f>'Healthcare Expenditures'!$AS91</f>
        <v>5563145.4733894765</v>
      </c>
      <c r="BC95" s="188">
        <f>'Healthcare Expenditures'!$AT91</f>
        <v>10481288.573052645</v>
      </c>
      <c r="BD95" s="166">
        <f>'Mortality Costs'!$N168</f>
        <v>6627903</v>
      </c>
      <c r="BE95" s="166">
        <f>'Mortality Costs'!$O168</f>
        <v>4176993</v>
      </c>
      <c r="BF95" s="166">
        <f>'Mortality Costs'!$P168</f>
        <v>9679608</v>
      </c>
      <c r="BG95" s="166">
        <f>'Workplace Smoking Costs'!$V105</f>
        <v>4259228.1333427876</v>
      </c>
      <c r="BH95" s="166">
        <f>'Workplace Smoking Costs'!$V224</f>
        <v>4128174.9600091726</v>
      </c>
      <c r="BI95" s="166">
        <f>'Workplace Smoking Costs'!$V343</f>
        <v>13596766.733363509</v>
      </c>
      <c r="BJ95" s="166">
        <f t="shared" si="73"/>
        <v>21984169.826715469</v>
      </c>
      <c r="BK95" s="166">
        <f t="shared" si="74"/>
        <v>40007896.989957988</v>
      </c>
      <c r="BL95" s="166">
        <f t="shared" si="64"/>
        <v>35868716.743551701</v>
      </c>
      <c r="BM95" s="166">
        <f t="shared" si="65"/>
        <v>49953372.162783742</v>
      </c>
      <c r="BN95" s="215">
        <f>SUM('Intervention Costs'!$E$50+'Intervention Costs'!$D$50+'Intervention Costs'!$G$50+'Intervention Costs'!$F$50)</f>
        <v>487356.38954534929</v>
      </c>
      <c r="BO95" s="166">
        <f t="shared" si="66"/>
        <v>82.091664022874554</v>
      </c>
      <c r="BP95" s="166">
        <f t="shared" si="67"/>
        <v>73.598535923604757</v>
      </c>
      <c r="BQ95" s="216">
        <f t="shared" si="68"/>
        <v>102.49865033961046</v>
      </c>
    </row>
    <row r="96" spans="2:69">
      <c r="B96" s="210">
        <v>10</v>
      </c>
      <c r="C96" s="211" t="s">
        <v>77</v>
      </c>
      <c r="D96" s="212">
        <f>'Healthcare Expenditures'!$J92</f>
        <v>203958000</v>
      </c>
      <c r="E96" s="212">
        <f>'Healthcare Expenditures'!$K92</f>
        <v>173742000</v>
      </c>
      <c r="F96" s="212">
        <f>'Healthcare Expenditures'!$L92</f>
        <v>327340000</v>
      </c>
      <c r="G96" s="212">
        <f>'Healthcare Expenditures'!$M92</f>
        <v>73953000</v>
      </c>
      <c r="H96" s="212">
        <f>'Healthcare Expenditures'!$N92</f>
        <v>62997000.000000007</v>
      </c>
      <c r="I96" s="212">
        <f>'Healthcare Expenditures'!$O92</f>
        <v>118690000</v>
      </c>
      <c r="J96" s="212">
        <f>'Healthcare Expenditures'!$P92</f>
        <v>116883000</v>
      </c>
      <c r="K96" s="212">
        <f>'Healthcare Expenditures'!$Q92</f>
        <v>99567000.000000015</v>
      </c>
      <c r="L96" s="212">
        <f>'Healthcare Expenditures'!$R92</f>
        <v>187590000</v>
      </c>
      <c r="M96" s="212">
        <f>'Mortality Costs'!$G169</f>
        <v>66380616</v>
      </c>
      <c r="N96" s="212">
        <f>'Mortality Costs'!$H169</f>
        <v>35825953</v>
      </c>
      <c r="O96" s="212">
        <f>'Mortality Costs'!$I169</f>
        <v>109433221</v>
      </c>
      <c r="P96" s="212">
        <f>'Workplace Smoking Costs'!$K106</f>
        <v>76229997.863809526</v>
      </c>
      <c r="Q96" s="212">
        <f>'Workplace Smoking Costs'!$K225</f>
        <v>73884459.46800001</v>
      </c>
      <c r="R96" s="212">
        <f>'Workplace Smoking Costs'!$K344</f>
        <v>243349608.56523812</v>
      </c>
      <c r="S96" s="212">
        <f t="shared" si="57"/>
        <v>393464065.89704764</v>
      </c>
      <c r="T96" s="213">
        <f t="shared" si="58"/>
        <v>663802681.89704764</v>
      </c>
      <c r="U96" s="213">
        <f t="shared" si="59"/>
        <v>603032018.89704764</v>
      </c>
      <c r="V96" s="213">
        <f t="shared" si="60"/>
        <v>830237286.89704764</v>
      </c>
      <c r="W96" s="355">
        <f>'Intervention Impacts'!$E$72</f>
        <v>-8.0000000000000004E-4</v>
      </c>
      <c r="X96" s="212">
        <f>'Healthcare Expenditures'!$Z92</f>
        <v>192408126.09608805</v>
      </c>
      <c r="Y96" s="212">
        <f>'Healthcare Expenditures'!$AA92</f>
        <v>163903218.52629724</v>
      </c>
      <c r="Z96" s="212">
        <f>'Healthcare Expenditures'!$AB92</f>
        <v>308803165.33940053</v>
      </c>
      <c r="AA96" s="212">
        <f>'Healthcare Expenditures'!$AC92</f>
        <v>69765138.651996985</v>
      </c>
      <c r="AB96" s="212">
        <f>'Healthcare Expenditures'!$AD92</f>
        <v>59429562.555404834</v>
      </c>
      <c r="AC96" s="212">
        <f>'Healthcare Expenditures'!$AE92</f>
        <v>111968741.0464149</v>
      </c>
      <c r="AD96" s="212">
        <f>'Healthcare Expenditures'!$AF92</f>
        <v>110264069.08524825</v>
      </c>
      <c r="AE96" s="212">
        <f>'Healthcare Expenditures'!$AG92</f>
        <v>93928651.44298923</v>
      </c>
      <c r="AF96" s="212">
        <f>'Healthcare Expenditures'!$AH92</f>
        <v>176967024.45780578</v>
      </c>
      <c r="AG96" s="212">
        <f>'Mortality Costs'!$K169</f>
        <v>59681237</v>
      </c>
      <c r="AH96" s="212">
        <f>'Mortality Costs'!$L169</f>
        <v>31618491</v>
      </c>
      <c r="AI96" s="212">
        <f>'Mortality Costs'!$M169</f>
        <v>99628538</v>
      </c>
      <c r="AJ96" s="212">
        <f>'Workplace Smoking Costs'!$S106</f>
        <v>71913193.114682361</v>
      </c>
      <c r="AK96" s="212">
        <f>'Workplace Smoking Costs'!$S225</f>
        <v>69700479.480384439</v>
      </c>
      <c r="AL96" s="212">
        <f>'Workplace Smoking Costs'!$S344</f>
        <v>229569039.55840912</v>
      </c>
      <c r="AM96" s="212">
        <f t="shared" si="69"/>
        <v>371182712.15347588</v>
      </c>
      <c r="AN96" s="213">
        <f t="shared" si="70"/>
        <v>623272075.24956393</v>
      </c>
      <c r="AO96" s="213">
        <f t="shared" si="71"/>
        <v>566704421.67977309</v>
      </c>
      <c r="AP96" s="213">
        <f t="shared" si="72"/>
        <v>779614415.49287641</v>
      </c>
      <c r="AQ96" s="212">
        <f>tblTotalCosts_Base[Gross Domestic Product (GDP)]</f>
        <v>33921600000</v>
      </c>
      <c r="AR96" s="214">
        <f t="shared" si="61"/>
        <v>1.8373899676004786E-2</v>
      </c>
      <c r="AS96" s="214">
        <f t="shared" si="62"/>
        <v>1.6706299870282448E-2</v>
      </c>
      <c r="AT96" s="214">
        <f t="shared" si="63"/>
        <v>2.2982831455263798E-2</v>
      </c>
      <c r="AU96" s="188">
        <f>'Healthcare Expenditures'!$AL92</f>
        <v>11549873.903911948</v>
      </c>
      <c r="AV96" s="188">
        <f>'Healthcare Expenditures'!$AM92</f>
        <v>9838781.4737027586</v>
      </c>
      <c r="AW96" s="188">
        <f>'Healthcare Expenditures'!$AN92</f>
        <v>18536834.66059947</v>
      </c>
      <c r="AX96" s="188">
        <f>'Healthcare Expenditures'!$AO92</f>
        <v>4187861.3480030149</v>
      </c>
      <c r="AY96" s="188">
        <f>'Healthcare Expenditures'!$AP92</f>
        <v>3567437.444595173</v>
      </c>
      <c r="AZ96" s="188">
        <f>'Healthcare Expenditures'!$AQ92</f>
        <v>6721258.9535851032</v>
      </c>
      <c r="BA96" s="188">
        <f>'Healthcare Expenditures'!$AR92</f>
        <v>6618930.9147517532</v>
      </c>
      <c r="BB96" s="188">
        <f>'Healthcare Expenditures'!$AS92</f>
        <v>5638348.5570107847</v>
      </c>
      <c r="BC96" s="188">
        <f>'Healthcare Expenditures'!$AT92</f>
        <v>10622975.542194217</v>
      </c>
      <c r="BD96" s="166">
        <f>'Mortality Costs'!$N169</f>
        <v>6699379</v>
      </c>
      <c r="BE96" s="166">
        <f>'Mortality Costs'!$O169</f>
        <v>4207462</v>
      </c>
      <c r="BF96" s="166">
        <f>'Mortality Costs'!$P169</f>
        <v>9804683</v>
      </c>
      <c r="BG96" s="166">
        <f>'Workplace Smoking Costs'!$V106</f>
        <v>4316804.7491271645</v>
      </c>
      <c r="BH96" s="166">
        <f>'Workplace Smoking Costs'!$V225</f>
        <v>4183979.9876155704</v>
      </c>
      <c r="BI96" s="166">
        <f>'Workplace Smoking Costs'!$V344</f>
        <v>13780569.006828994</v>
      </c>
      <c r="BJ96" s="166">
        <f t="shared" si="73"/>
        <v>22281353.743571728</v>
      </c>
      <c r="BK96" s="166">
        <f t="shared" si="74"/>
        <v>40530606.647483677</v>
      </c>
      <c r="BL96" s="166">
        <f t="shared" si="64"/>
        <v>36327597.217274487</v>
      </c>
      <c r="BM96" s="166">
        <f t="shared" si="65"/>
        <v>50622871.404171199</v>
      </c>
      <c r="BN96" s="215">
        <f>SUM('Intervention Costs'!$E$51+'Intervention Costs'!$D$51+'Intervention Costs'!$G$51+'Intervention Costs'!$F$51)</f>
        <v>504727.41104759427</v>
      </c>
      <c r="BO96" s="166">
        <f t="shared" si="66"/>
        <v>80.30197243173258</v>
      </c>
      <c r="BP96" s="166">
        <f t="shared" si="67"/>
        <v>71.974686577600806</v>
      </c>
      <c r="BQ96" s="216">
        <f t="shared" si="68"/>
        <v>100.29744827826998</v>
      </c>
    </row>
    <row r="97" spans="2:69">
      <c r="B97" s="210">
        <v>11</v>
      </c>
      <c r="C97" s="211" t="s">
        <v>77</v>
      </c>
      <c r="D97" s="212">
        <f>'Healthcare Expenditures'!$J93</f>
        <v>203958000</v>
      </c>
      <c r="E97" s="212">
        <f>'Healthcare Expenditures'!$K93</f>
        <v>173742000</v>
      </c>
      <c r="F97" s="212">
        <f>'Healthcare Expenditures'!$L93</f>
        <v>327340000</v>
      </c>
      <c r="G97" s="212">
        <f>'Healthcare Expenditures'!$M93</f>
        <v>73953000</v>
      </c>
      <c r="H97" s="212">
        <f>'Healthcare Expenditures'!$N93</f>
        <v>62997000.000000007</v>
      </c>
      <c r="I97" s="212">
        <f>'Healthcare Expenditures'!$O93</f>
        <v>118690000</v>
      </c>
      <c r="J97" s="212">
        <f>'Healthcare Expenditures'!$P93</f>
        <v>116883000</v>
      </c>
      <c r="K97" s="212">
        <f>'Healthcare Expenditures'!$Q93</f>
        <v>99567000.000000015</v>
      </c>
      <c r="L97" s="212">
        <f>'Healthcare Expenditures'!$R93</f>
        <v>187590000</v>
      </c>
      <c r="M97" s="212">
        <f>'Mortality Costs'!$G170</f>
        <v>66712539</v>
      </c>
      <c r="N97" s="212">
        <f>'Mortality Costs'!$H170</f>
        <v>36005105</v>
      </c>
      <c r="O97" s="212">
        <f>'Mortality Costs'!$I170</f>
        <v>109980423</v>
      </c>
      <c r="P97" s="212">
        <f>'Workplace Smoking Costs'!$K107</f>
        <v>76229997.863809526</v>
      </c>
      <c r="Q97" s="212">
        <f>'Workplace Smoking Costs'!$K226</f>
        <v>73884459.46800001</v>
      </c>
      <c r="R97" s="212">
        <f>'Workplace Smoking Costs'!$K345</f>
        <v>243349608.56523812</v>
      </c>
      <c r="S97" s="212">
        <f t="shared" si="57"/>
        <v>393464065.89704764</v>
      </c>
      <c r="T97" s="213">
        <f t="shared" si="58"/>
        <v>664134604.89704764</v>
      </c>
      <c r="U97" s="213">
        <f t="shared" si="59"/>
        <v>603211170.89704764</v>
      </c>
      <c r="V97" s="213">
        <f t="shared" si="60"/>
        <v>830784488.89704764</v>
      </c>
      <c r="W97" s="355">
        <f>'Intervention Impacts'!$E$73</f>
        <v>-8.0000000000000004E-4</v>
      </c>
      <c r="X97" s="212">
        <f>'Healthcare Expenditures'!$Z93</f>
        <v>192254199.59521118</v>
      </c>
      <c r="Y97" s="212">
        <f>'Healthcare Expenditures'!$AA93</f>
        <v>163772095.95147619</v>
      </c>
      <c r="Z97" s="212">
        <f>'Healthcare Expenditures'!$AB93</f>
        <v>308556122.80712903</v>
      </c>
      <c r="AA97" s="212">
        <f>'Healthcare Expenditures'!$AC93</f>
        <v>69709326.541075379</v>
      </c>
      <c r="AB97" s="212">
        <f>'Healthcare Expenditures'!$AD93</f>
        <v>59382018.905360505</v>
      </c>
      <c r="AC97" s="212">
        <f>'Healthcare Expenditures'!$AE93</f>
        <v>111879166.05357777</v>
      </c>
      <c r="AD97" s="212">
        <f>'Healthcare Expenditures'!$AF93</f>
        <v>110175857.82998003</v>
      </c>
      <c r="AE97" s="212">
        <f>'Healthcare Expenditures'!$AG93</f>
        <v>93853508.521834835</v>
      </c>
      <c r="AF97" s="212">
        <f>'Healthcare Expenditures'!$AH93</f>
        <v>176825450.83823955</v>
      </c>
      <c r="AG97" s="212">
        <f>'Mortality Costs'!$K170</f>
        <v>59950759</v>
      </c>
      <c r="AH97" s="212">
        <f>'Mortality Costs'!$L170</f>
        <v>31757325</v>
      </c>
      <c r="AI97" s="212">
        <f>'Mortality Costs'!$M170</f>
        <v>100078528</v>
      </c>
      <c r="AJ97" s="212">
        <f>'Workplace Smoking Costs'!$S107</f>
        <v>71855662.560190618</v>
      </c>
      <c r="AK97" s="212">
        <f>'Workplace Smoking Costs'!$S226</f>
        <v>69644719.096800134</v>
      </c>
      <c r="AL97" s="212">
        <f>'Workplace Smoking Costs'!$S345</f>
        <v>229385384.32676238</v>
      </c>
      <c r="AM97" s="212">
        <f t="shared" si="69"/>
        <v>370885765.98375314</v>
      </c>
      <c r="AN97" s="213">
        <f t="shared" si="70"/>
        <v>623090724.57896435</v>
      </c>
      <c r="AO97" s="213">
        <f t="shared" si="71"/>
        <v>566415186.9352293</v>
      </c>
      <c r="AP97" s="213">
        <f t="shared" si="72"/>
        <v>779520416.79088211</v>
      </c>
      <c r="AQ97" s="212">
        <f>tblTotalCosts_Base[Gross Domestic Product (GDP)]</f>
        <v>33921600000</v>
      </c>
      <c r="AR97" s="214">
        <f t="shared" si="61"/>
        <v>1.8368553505110737E-2</v>
      </c>
      <c r="AS97" s="214">
        <f t="shared" si="62"/>
        <v>1.6697773304774222E-2</v>
      </c>
      <c r="AT97" s="214">
        <f t="shared" si="63"/>
        <v>2.2980060397825637E-2</v>
      </c>
      <c r="AU97" s="188">
        <f>'Healthcare Expenditures'!$AL93</f>
        <v>11703800.404788822</v>
      </c>
      <c r="AV97" s="188">
        <f>'Healthcare Expenditures'!$AM93</f>
        <v>9969904.0485238135</v>
      </c>
      <c r="AW97" s="188">
        <f>'Healthcare Expenditures'!$AN93</f>
        <v>18783877.192870975</v>
      </c>
      <c r="AX97" s="188">
        <f>'Healthcare Expenditures'!$AO93</f>
        <v>4243673.4589246213</v>
      </c>
      <c r="AY97" s="188">
        <f>'Healthcare Expenditures'!$AP93</f>
        <v>3614981.0946395025</v>
      </c>
      <c r="AZ97" s="188">
        <f>'Healthcare Expenditures'!$AQ93</f>
        <v>6810833.9464222342</v>
      </c>
      <c r="BA97" s="188">
        <f>'Healthcare Expenditures'!$AR93</f>
        <v>6707142.1700199693</v>
      </c>
      <c r="BB97" s="188">
        <f>'Healthcare Expenditures'!$AS93</f>
        <v>5713491.4781651795</v>
      </c>
      <c r="BC97" s="188">
        <f>'Healthcare Expenditures'!$AT93</f>
        <v>10764549.161760449</v>
      </c>
      <c r="BD97" s="166">
        <f>'Mortality Costs'!$N170</f>
        <v>6761780</v>
      </c>
      <c r="BE97" s="166">
        <f>'Mortality Costs'!$O170</f>
        <v>4247780</v>
      </c>
      <c r="BF97" s="166">
        <f>'Mortality Costs'!$P170</f>
        <v>9901895</v>
      </c>
      <c r="BG97" s="166">
        <f>'Workplace Smoking Costs'!$V107</f>
        <v>4374335.3036189079</v>
      </c>
      <c r="BH97" s="166">
        <f>'Workplace Smoking Costs'!$V226</f>
        <v>4239740.3711998761</v>
      </c>
      <c r="BI97" s="166">
        <f>'Workplace Smoking Costs'!$V345</f>
        <v>13964224.23847574</v>
      </c>
      <c r="BJ97" s="166">
        <f t="shared" si="73"/>
        <v>22578299.913294524</v>
      </c>
      <c r="BK97" s="166">
        <f t="shared" si="74"/>
        <v>41043880.318083346</v>
      </c>
      <c r="BL97" s="166">
        <f t="shared" si="64"/>
        <v>36795983.961818337</v>
      </c>
      <c r="BM97" s="166">
        <f t="shared" si="65"/>
        <v>51264072.106165498</v>
      </c>
      <c r="BN97" s="215">
        <f>SUM('Intervention Costs'!$E$52+'Intervention Costs'!$D$52+'Intervention Costs'!$G$52+'Intervention Costs'!$F$52)</f>
        <v>661371.43756002001</v>
      </c>
      <c r="BO97" s="166">
        <f t="shared" si="66"/>
        <v>62.058743373474726</v>
      </c>
      <c r="BP97" s="166">
        <f t="shared" si="67"/>
        <v>55.635883063787546</v>
      </c>
      <c r="BQ97" s="216">
        <f t="shared" si="68"/>
        <v>77.511772046420191</v>
      </c>
    </row>
    <row r="98" spans="2:69">
      <c r="B98" s="210">
        <v>12</v>
      </c>
      <c r="C98" s="211" t="s">
        <v>77</v>
      </c>
      <c r="D98" s="212">
        <f>'Healthcare Expenditures'!$J94</f>
        <v>203958000</v>
      </c>
      <c r="E98" s="212">
        <f>'Healthcare Expenditures'!$K94</f>
        <v>173742000</v>
      </c>
      <c r="F98" s="212">
        <f>'Healthcare Expenditures'!$L94</f>
        <v>327340000</v>
      </c>
      <c r="G98" s="212">
        <f>'Healthcare Expenditures'!$M94</f>
        <v>73953000</v>
      </c>
      <c r="H98" s="212">
        <f>'Healthcare Expenditures'!$N94</f>
        <v>62997000.000000007</v>
      </c>
      <c r="I98" s="212">
        <f>'Healthcare Expenditures'!$O94</f>
        <v>118690000</v>
      </c>
      <c r="J98" s="212">
        <f>'Healthcare Expenditures'!$P94</f>
        <v>116883000</v>
      </c>
      <c r="K98" s="212">
        <f>'Healthcare Expenditures'!$Q94</f>
        <v>99567000.000000015</v>
      </c>
      <c r="L98" s="212">
        <f>'Healthcare Expenditures'!$R94</f>
        <v>187590000</v>
      </c>
      <c r="M98" s="212">
        <f>'Mortality Costs'!$G171</f>
        <v>67046100</v>
      </c>
      <c r="N98" s="212">
        <f>'Mortality Costs'!$H171</f>
        <v>36185110</v>
      </c>
      <c r="O98" s="212">
        <f>'Mortality Costs'!$I171</f>
        <v>110530303</v>
      </c>
      <c r="P98" s="212">
        <f>'Workplace Smoking Costs'!$K108</f>
        <v>76229997.863809526</v>
      </c>
      <c r="Q98" s="212">
        <f>'Workplace Smoking Costs'!$K227</f>
        <v>73884459.46800001</v>
      </c>
      <c r="R98" s="212">
        <f>'Workplace Smoking Costs'!$K346</f>
        <v>243349608.56523812</v>
      </c>
      <c r="S98" s="212">
        <f t="shared" si="57"/>
        <v>393464065.89704764</v>
      </c>
      <c r="T98" s="213">
        <f t="shared" si="58"/>
        <v>664468165.89704764</v>
      </c>
      <c r="U98" s="213">
        <f t="shared" si="59"/>
        <v>603391175.89704764</v>
      </c>
      <c r="V98" s="213">
        <f t="shared" si="60"/>
        <v>831334368.89704764</v>
      </c>
      <c r="W98" s="355">
        <f>'Intervention Impacts'!$E$74</f>
        <v>-8.0000000000000004E-4</v>
      </c>
      <c r="X98" s="212">
        <f>'Healthcare Expenditures'!$Z94</f>
        <v>192100396.235535</v>
      </c>
      <c r="Y98" s="212">
        <f>'Healthcare Expenditures'!$AA94</f>
        <v>163641078.27471498</v>
      </c>
      <c r="Z98" s="212">
        <f>'Healthcare Expenditures'!$AB94</f>
        <v>308309277.90888333</v>
      </c>
      <c r="AA98" s="212">
        <f>'Healthcare Expenditures'!$AC94</f>
        <v>69653559.079842523</v>
      </c>
      <c r="AB98" s="212">
        <f>'Healthcare Expenditures'!$AD94</f>
        <v>59334513.290236212</v>
      </c>
      <c r="AC98" s="212">
        <f>'Healthcare Expenditures'!$AE94</f>
        <v>111789662.72073489</v>
      </c>
      <c r="AD98" s="212">
        <f>'Healthcare Expenditures'!$AF94</f>
        <v>110087717.14371605</v>
      </c>
      <c r="AE98" s="212">
        <f>'Healthcare Expenditures'!$AG94</f>
        <v>93778425.715017363</v>
      </c>
      <c r="AF98" s="212">
        <f>'Healthcare Expenditures'!$AH94</f>
        <v>176683990.47756895</v>
      </c>
      <c r="AG98" s="212">
        <f>'Mortality Costs'!$K171</f>
        <v>60221477</v>
      </c>
      <c r="AH98" s="212">
        <f>'Mortality Costs'!$L171</f>
        <v>31896748</v>
      </c>
      <c r="AI98" s="212">
        <f>'Mortality Costs'!$M171</f>
        <v>100540196</v>
      </c>
      <c r="AJ98" s="212">
        <f>'Workplace Smoking Costs'!$S108</f>
        <v>71798178.030142456</v>
      </c>
      <c r="AK98" s="212">
        <f>'Workplace Smoking Costs'!$S227</f>
        <v>69589003.321522698</v>
      </c>
      <c r="AL98" s="212">
        <f>'Workplace Smoking Costs'!$S346</f>
        <v>229201876.01930094</v>
      </c>
      <c r="AM98" s="212">
        <f t="shared" si="69"/>
        <v>370589057.37096608</v>
      </c>
      <c r="AN98" s="213">
        <f t="shared" si="70"/>
        <v>622910930.6065011</v>
      </c>
      <c r="AO98" s="213">
        <f t="shared" si="71"/>
        <v>566126883.64568102</v>
      </c>
      <c r="AP98" s="213">
        <f t="shared" si="72"/>
        <v>779438531.27984941</v>
      </c>
      <c r="AQ98" s="212">
        <f>tblTotalCosts_Base[Gross Domestic Product (GDP)]</f>
        <v>33921600000</v>
      </c>
      <c r="AR98" s="214">
        <f t="shared" si="61"/>
        <v>1.8363253225275374E-2</v>
      </c>
      <c r="AS98" s="214">
        <f t="shared" si="62"/>
        <v>1.6689274198318504E-2</v>
      </c>
      <c r="AT98" s="214">
        <f t="shared" si="63"/>
        <v>2.2977646434126028E-2</v>
      </c>
      <c r="AU98" s="188">
        <f>'Healthcare Expenditures'!$AL94</f>
        <v>11857603.764465004</v>
      </c>
      <c r="AV98" s="188">
        <f>'Healthcare Expenditures'!$AM94</f>
        <v>10100921.725285023</v>
      </c>
      <c r="AW98" s="188">
        <f>'Healthcare Expenditures'!$AN94</f>
        <v>19030722.091116667</v>
      </c>
      <c r="AX98" s="188">
        <f>'Healthcare Expenditures'!$AO94</f>
        <v>4299440.9201574773</v>
      </c>
      <c r="AY98" s="188">
        <f>'Healthcare Expenditures'!$AP94</f>
        <v>3662486.7097637951</v>
      </c>
      <c r="AZ98" s="188">
        <f>'Healthcare Expenditures'!$AQ94</f>
        <v>6900337.2792651057</v>
      </c>
      <c r="BA98" s="188">
        <f>'Healthcare Expenditures'!$AR94</f>
        <v>6795282.8562839478</v>
      </c>
      <c r="BB98" s="188">
        <f>'Healthcare Expenditures'!$AS94</f>
        <v>5788574.2849826515</v>
      </c>
      <c r="BC98" s="188">
        <f>'Healthcare Expenditures'!$AT94</f>
        <v>10906009.522431046</v>
      </c>
      <c r="BD98" s="166">
        <f>'Mortality Costs'!$N171</f>
        <v>6824623</v>
      </c>
      <c r="BE98" s="166">
        <f>'Mortality Costs'!$O171</f>
        <v>4288362</v>
      </c>
      <c r="BF98" s="166">
        <f>'Mortality Costs'!$P171</f>
        <v>9990107</v>
      </c>
      <c r="BG98" s="166">
        <f>'Workplace Smoking Costs'!$V108</f>
        <v>4431819.8336670697</v>
      </c>
      <c r="BH98" s="166">
        <f>'Workplace Smoking Costs'!$V227</f>
        <v>4295456.1464773118</v>
      </c>
      <c r="BI98" s="166">
        <f>'Workplace Smoking Costs'!$V346</f>
        <v>14147732.545937181</v>
      </c>
      <c r="BJ98" s="166">
        <f t="shared" si="73"/>
        <v>22875008.526081562</v>
      </c>
      <c r="BK98" s="166">
        <f t="shared" si="74"/>
        <v>41557235.290546566</v>
      </c>
      <c r="BL98" s="166">
        <f t="shared" si="64"/>
        <v>37264292.251366585</v>
      </c>
      <c r="BM98" s="166">
        <f t="shared" si="65"/>
        <v>51895837.617198229</v>
      </c>
      <c r="BN98" s="215">
        <f>SUM('Intervention Costs'!$E$53+'Intervention Costs'!$D$53+'Intervention Costs'!$G$53+'Intervention Costs'!$F$53)</f>
        <v>487356.38954534929</v>
      </c>
      <c r="BO98" s="166">
        <f t="shared" si="66"/>
        <v>85.270730377239872</v>
      </c>
      <c r="BP98" s="166">
        <f t="shared" si="67"/>
        <v>76.462098478138628</v>
      </c>
      <c r="BQ98" s="216">
        <f t="shared" si="68"/>
        <v>106.48436899660108</v>
      </c>
    </row>
    <row r="99" spans="2:69">
      <c r="B99" s="210">
        <v>13</v>
      </c>
      <c r="C99" s="211" t="s">
        <v>77</v>
      </c>
      <c r="D99" s="212">
        <f>'Healthcare Expenditures'!$J95</f>
        <v>203958000</v>
      </c>
      <c r="E99" s="212">
        <f>'Healthcare Expenditures'!$K95</f>
        <v>173742000</v>
      </c>
      <c r="F99" s="212">
        <f>'Healthcare Expenditures'!$L95</f>
        <v>327340000</v>
      </c>
      <c r="G99" s="212">
        <f>'Healthcare Expenditures'!$M95</f>
        <v>73953000</v>
      </c>
      <c r="H99" s="212">
        <f>'Healthcare Expenditures'!$N95</f>
        <v>62997000.000000007</v>
      </c>
      <c r="I99" s="212">
        <f>'Healthcare Expenditures'!$O95</f>
        <v>118690000</v>
      </c>
      <c r="J99" s="212">
        <f>'Healthcare Expenditures'!$P95</f>
        <v>116883000</v>
      </c>
      <c r="K99" s="212">
        <f>'Healthcare Expenditures'!$Q95</f>
        <v>99567000.000000015</v>
      </c>
      <c r="L99" s="212">
        <f>'Healthcare Expenditures'!$R95</f>
        <v>187590000</v>
      </c>
      <c r="M99" s="212">
        <f>'Mortality Costs'!$G172</f>
        <v>67381313</v>
      </c>
      <c r="N99" s="212">
        <f>'Mortality Costs'!$H172</f>
        <v>36366011</v>
      </c>
      <c r="O99" s="212">
        <f>'Mortality Costs'!$I172</f>
        <v>111082917</v>
      </c>
      <c r="P99" s="212">
        <f>'Workplace Smoking Costs'!$K109</f>
        <v>76229997.863809526</v>
      </c>
      <c r="Q99" s="212">
        <f>'Workplace Smoking Costs'!$K228</f>
        <v>73884459.46800001</v>
      </c>
      <c r="R99" s="212">
        <f>'Workplace Smoking Costs'!$K347</f>
        <v>243349608.56523812</v>
      </c>
      <c r="S99" s="212">
        <f t="shared" si="57"/>
        <v>393464065.89704764</v>
      </c>
      <c r="T99" s="213">
        <f t="shared" si="58"/>
        <v>664803378.89704764</v>
      </c>
      <c r="U99" s="213">
        <f t="shared" si="59"/>
        <v>603572076.89704764</v>
      </c>
      <c r="V99" s="213">
        <f t="shared" si="60"/>
        <v>831886982.89704764</v>
      </c>
      <c r="W99" s="355">
        <f>'Intervention Impacts'!$E$75</f>
        <v>-8.0000000000000004E-4</v>
      </c>
      <c r="X99" s="212">
        <f>'Healthcare Expenditures'!$Z95</f>
        <v>191946715.91854656</v>
      </c>
      <c r="Y99" s="212">
        <f>'Healthcare Expenditures'!$AA95</f>
        <v>163510165.41209522</v>
      </c>
      <c r="Z99" s="212">
        <f>'Healthcare Expenditures'!$AB95</f>
        <v>308062630.48655617</v>
      </c>
      <c r="AA99" s="212">
        <f>'Healthcare Expenditures'!$AC95</f>
        <v>69597836.232578635</v>
      </c>
      <c r="AB99" s="212">
        <f>'Healthcare Expenditures'!$AD95</f>
        <v>59287045.679604031</v>
      </c>
      <c r="AC99" s="212">
        <f>'Healthcare Expenditures'!$AE95</f>
        <v>111700230.9905583</v>
      </c>
      <c r="AD99" s="212">
        <f>'Healthcare Expenditures'!$AF95</f>
        <v>109999646.97000107</v>
      </c>
      <c r="AE99" s="212">
        <f>'Healthcare Expenditures'!$AG95</f>
        <v>93703402.974445358</v>
      </c>
      <c r="AF99" s="212">
        <f>'Healthcare Expenditures'!$AH95</f>
        <v>176542643.28518689</v>
      </c>
      <c r="AG99" s="212">
        <f>'Mortality Costs'!$K172</f>
        <v>60473926</v>
      </c>
      <c r="AH99" s="212">
        <f>'Mortality Costs'!$L172</f>
        <v>32007576</v>
      </c>
      <c r="AI99" s="212">
        <f>'Mortality Costs'!$M172</f>
        <v>100906700</v>
      </c>
      <c r="AJ99" s="212">
        <f>'Workplace Smoking Costs'!$S109</f>
        <v>71740739.487718344</v>
      </c>
      <c r="AK99" s="212">
        <f>'Workplace Smoking Costs'!$S228</f>
        <v>69533332.118865475</v>
      </c>
      <c r="AL99" s="212">
        <f>'Workplace Smoking Costs'!$S347</f>
        <v>229018514.51848549</v>
      </c>
      <c r="AM99" s="212">
        <f t="shared" si="69"/>
        <v>370292586.12506932</v>
      </c>
      <c r="AN99" s="213">
        <f t="shared" si="70"/>
        <v>622713228.04361582</v>
      </c>
      <c r="AO99" s="213">
        <f t="shared" si="71"/>
        <v>565810327.53716457</v>
      </c>
      <c r="AP99" s="213">
        <f t="shared" si="72"/>
        <v>779261916.61162543</v>
      </c>
      <c r="AQ99" s="212">
        <f>tblTotalCosts_Base[Gross Domestic Product (GDP)]</f>
        <v>33921600000</v>
      </c>
      <c r="AR99" s="214">
        <f t="shared" si="61"/>
        <v>1.8357425004823354E-2</v>
      </c>
      <c r="AS99" s="214">
        <f t="shared" si="62"/>
        <v>1.6679942206062347E-2</v>
      </c>
      <c r="AT99" s="214">
        <f t="shared" si="63"/>
        <v>2.2972439879357855E-2</v>
      </c>
      <c r="AU99" s="188">
        <f>'Healthcare Expenditures'!$AL95</f>
        <v>12011284.081453443</v>
      </c>
      <c r="AV99" s="188">
        <f>'Healthcare Expenditures'!$AM95</f>
        <v>10231834.587904781</v>
      </c>
      <c r="AW99" s="188">
        <f>'Healthcare Expenditures'!$AN95</f>
        <v>19277369.513443828</v>
      </c>
      <c r="AX99" s="188">
        <f>'Healthcare Expenditures'!$AO95</f>
        <v>4355163.7674213648</v>
      </c>
      <c r="AY99" s="188">
        <f>'Healthcare Expenditures'!$AP95</f>
        <v>3709954.3203959763</v>
      </c>
      <c r="AZ99" s="188">
        <f>'Healthcare Expenditures'!$AQ95</f>
        <v>6989769.0094417036</v>
      </c>
      <c r="BA99" s="188">
        <f>'Healthcare Expenditures'!$AR95</f>
        <v>6883353.0299989283</v>
      </c>
      <c r="BB99" s="188">
        <f>'Healthcare Expenditures'!$AS95</f>
        <v>5863597.025554657</v>
      </c>
      <c r="BC99" s="188">
        <f>'Healthcare Expenditures'!$AT95</f>
        <v>11047356.714813113</v>
      </c>
      <c r="BD99" s="166">
        <f>'Mortality Costs'!$N172</f>
        <v>6907387</v>
      </c>
      <c r="BE99" s="166">
        <f>'Mortality Costs'!$O172</f>
        <v>4358435</v>
      </c>
      <c r="BF99" s="166">
        <f>'Mortality Costs'!$P172</f>
        <v>10176217</v>
      </c>
      <c r="BG99" s="166">
        <f>'Workplace Smoking Costs'!$V109</f>
        <v>4489258.3760911822</v>
      </c>
      <c r="BH99" s="166">
        <f>'Workplace Smoking Costs'!$V228</f>
        <v>4351127.3491345346</v>
      </c>
      <c r="BI99" s="166">
        <f>'Workplace Smoking Costs'!$V347</f>
        <v>14331094.046752632</v>
      </c>
      <c r="BJ99" s="166">
        <f t="shared" si="73"/>
        <v>23171479.771978348</v>
      </c>
      <c r="BK99" s="166">
        <f t="shared" si="74"/>
        <v>42090150.853431791</v>
      </c>
      <c r="BL99" s="166">
        <f t="shared" si="64"/>
        <v>37761749.35988313</v>
      </c>
      <c r="BM99" s="166">
        <f t="shared" si="65"/>
        <v>52625066.285422176</v>
      </c>
      <c r="BN99" s="215">
        <f>SUM('Intervention Costs'!$E$54+'Intervention Costs'!$D$54+'Intervention Costs'!$G$54+'Intervention Costs'!$F$54)</f>
        <v>504727.41104759427</v>
      </c>
      <c r="BO99" s="166">
        <f t="shared" si="66"/>
        <v>83.39184663276157</v>
      </c>
      <c r="BP99" s="166">
        <f t="shared" si="67"/>
        <v>74.816125562719463</v>
      </c>
      <c r="BQ99" s="216">
        <f t="shared" si="68"/>
        <v>104.26433186221342</v>
      </c>
    </row>
    <row r="100" spans="2:69">
      <c r="B100" s="210">
        <v>14</v>
      </c>
      <c r="C100" s="211" t="s">
        <v>77</v>
      </c>
      <c r="D100" s="212">
        <f>'Healthcare Expenditures'!$J96</f>
        <v>203958000</v>
      </c>
      <c r="E100" s="212">
        <f>'Healthcare Expenditures'!$K96</f>
        <v>173742000</v>
      </c>
      <c r="F100" s="212">
        <f>'Healthcare Expenditures'!$L96</f>
        <v>327340000</v>
      </c>
      <c r="G100" s="212">
        <f>'Healthcare Expenditures'!$M96</f>
        <v>73953000</v>
      </c>
      <c r="H100" s="212">
        <f>'Healthcare Expenditures'!$N96</f>
        <v>62997000.000000007</v>
      </c>
      <c r="I100" s="212">
        <f>'Healthcare Expenditures'!$O96</f>
        <v>118690000</v>
      </c>
      <c r="J100" s="212">
        <f>'Healthcare Expenditures'!$P96</f>
        <v>116883000</v>
      </c>
      <c r="K100" s="212">
        <f>'Healthcare Expenditures'!$Q96</f>
        <v>99567000.000000015</v>
      </c>
      <c r="L100" s="212">
        <f>'Healthcare Expenditures'!$R96</f>
        <v>187590000</v>
      </c>
      <c r="M100" s="212">
        <f>'Mortality Costs'!$G173</f>
        <v>67718222</v>
      </c>
      <c r="N100" s="212">
        <f>'Mortality Costs'!$H173</f>
        <v>36547863</v>
      </c>
      <c r="O100" s="212">
        <f>'Mortality Costs'!$I173</f>
        <v>111638347</v>
      </c>
      <c r="P100" s="212">
        <f>'Workplace Smoking Costs'!$K110</f>
        <v>76229997.863809526</v>
      </c>
      <c r="Q100" s="212">
        <f>'Workplace Smoking Costs'!$K229</f>
        <v>73884459.46800001</v>
      </c>
      <c r="R100" s="212">
        <f>'Workplace Smoking Costs'!$K348</f>
        <v>243349608.56523812</v>
      </c>
      <c r="S100" s="212">
        <f t="shared" si="57"/>
        <v>393464065.89704764</v>
      </c>
      <c r="T100" s="213">
        <f t="shared" si="58"/>
        <v>665140287.89704764</v>
      </c>
      <c r="U100" s="213">
        <f t="shared" si="59"/>
        <v>603753928.89704764</v>
      </c>
      <c r="V100" s="213">
        <f t="shared" si="60"/>
        <v>832442412.89704764</v>
      </c>
      <c r="W100" s="355">
        <f>'Intervention Impacts'!$E$76</f>
        <v>-8.0000000000000004E-4</v>
      </c>
      <c r="X100" s="212">
        <f>'Healthcare Expenditures'!$Z96</f>
        <v>191793158.54581171</v>
      </c>
      <c r="Y100" s="212">
        <f>'Healthcare Expenditures'!$AA96</f>
        <v>163379357.27976555</v>
      </c>
      <c r="Z100" s="212">
        <f>'Healthcare Expenditures'!$AB96</f>
        <v>307816180.38216698</v>
      </c>
      <c r="AA100" s="212">
        <f>'Healthcare Expenditures'!$AC96</f>
        <v>69542157.963592559</v>
      </c>
      <c r="AB100" s="212">
        <f>'Healthcare Expenditures'!$AD96</f>
        <v>59239616.043060347</v>
      </c>
      <c r="AC100" s="212">
        <f>'Healthcare Expenditures'!$AE96</f>
        <v>111610870.80576585</v>
      </c>
      <c r="AD100" s="212">
        <f>'Healthcare Expenditures'!$AF96</f>
        <v>109911647.25242506</v>
      </c>
      <c r="AE100" s="212">
        <f>'Healthcare Expenditures'!$AG96</f>
        <v>93628440.252065808</v>
      </c>
      <c r="AF100" s="212">
        <f>'Healthcare Expenditures'!$AH96</f>
        <v>176401409.17055875</v>
      </c>
      <c r="AG100" s="212">
        <f>'Mortality Costs'!$K173</f>
        <v>60746963</v>
      </c>
      <c r="AH100" s="212">
        <f>'Mortality Costs'!$L173</f>
        <v>32157833</v>
      </c>
      <c r="AI100" s="212">
        <f>'Mortality Costs'!$M173</f>
        <v>101362336</v>
      </c>
      <c r="AJ100" s="212">
        <f>'Workplace Smoking Costs'!$S110</f>
        <v>71683346.896128163</v>
      </c>
      <c r="AK100" s="212">
        <f>'Workplace Smoking Costs'!$S229</f>
        <v>69477705.453170374</v>
      </c>
      <c r="AL100" s="212">
        <f>'Workplace Smoking Costs'!$S348</f>
        <v>228835299.7068707</v>
      </c>
      <c r="AM100" s="212">
        <f t="shared" si="69"/>
        <v>369996352.05616927</v>
      </c>
      <c r="AN100" s="213">
        <f t="shared" si="70"/>
        <v>622536473.60198092</v>
      </c>
      <c r="AO100" s="213">
        <f t="shared" si="71"/>
        <v>565533542.33593488</v>
      </c>
      <c r="AP100" s="213">
        <f t="shared" si="72"/>
        <v>779174868.43833625</v>
      </c>
      <c r="AQ100" s="212">
        <f>tblTotalCosts_Base[Gross Domestic Product (GDP)]</f>
        <v>33921600000</v>
      </c>
      <c r="AR100" s="214">
        <f t="shared" si="61"/>
        <v>1.8352214329571157E-2</v>
      </c>
      <c r="AS100" s="214">
        <f t="shared" si="62"/>
        <v>1.6671782649873085E-2</v>
      </c>
      <c r="AT100" s="214">
        <f t="shared" si="63"/>
        <v>2.2969873721709361E-2</v>
      </c>
      <c r="AU100" s="188">
        <f>'Healthcare Expenditures'!$AL96</f>
        <v>12164841.454188287</v>
      </c>
      <c r="AV100" s="188">
        <f>'Healthcare Expenditures'!$AM96</f>
        <v>10362642.720234454</v>
      </c>
      <c r="AW100" s="188">
        <f>'Healthcare Expenditures'!$AN96</f>
        <v>19523819.617833018</v>
      </c>
      <c r="AX100" s="188">
        <f>'Healthcare Expenditures'!$AO96</f>
        <v>4410842.0364074409</v>
      </c>
      <c r="AY100" s="188">
        <f>'Healthcare Expenditures'!$AP96</f>
        <v>3757383.95693966</v>
      </c>
      <c r="AZ100" s="188">
        <f>'Healthcare Expenditures'!$AQ96</f>
        <v>7079129.1942341477</v>
      </c>
      <c r="BA100" s="188">
        <f>'Healthcare Expenditures'!$AR96</f>
        <v>6971352.7475749403</v>
      </c>
      <c r="BB100" s="188">
        <f>'Healthcare Expenditures'!$AS96</f>
        <v>5938559.7479342073</v>
      </c>
      <c r="BC100" s="188">
        <f>'Healthcare Expenditures'!$AT96</f>
        <v>11188590.829441249</v>
      </c>
      <c r="BD100" s="166">
        <f>'Mortality Costs'!$N173</f>
        <v>6971259</v>
      </c>
      <c r="BE100" s="166">
        <f>'Mortality Costs'!$O173</f>
        <v>4390030</v>
      </c>
      <c r="BF100" s="166">
        <f>'Mortality Costs'!$P173</f>
        <v>10276011</v>
      </c>
      <c r="BG100" s="166">
        <f>'Workplace Smoking Costs'!$V110</f>
        <v>4546650.9676813632</v>
      </c>
      <c r="BH100" s="166">
        <f>'Workplace Smoking Costs'!$V229</f>
        <v>4406754.0148296356</v>
      </c>
      <c r="BI100" s="166">
        <f>'Workplace Smoking Costs'!$V348</f>
        <v>14514308.858367413</v>
      </c>
      <c r="BJ100" s="166">
        <f t="shared" si="73"/>
        <v>23467713.840878412</v>
      </c>
      <c r="BK100" s="166">
        <f t="shared" si="74"/>
        <v>42603814.295066699</v>
      </c>
      <c r="BL100" s="166">
        <f t="shared" si="64"/>
        <v>38220386.561112866</v>
      </c>
      <c r="BM100" s="166">
        <f t="shared" si="65"/>
        <v>53267544.45871143</v>
      </c>
      <c r="BN100" s="215">
        <f>SUM('Intervention Costs'!$E$55+'Intervention Costs'!$D$55+'Intervention Costs'!$G$55+'Intervention Costs'!$F$55)</f>
        <v>487356.38954534929</v>
      </c>
      <c r="BO100" s="166">
        <f t="shared" si="66"/>
        <v>87.418191715535812</v>
      </c>
      <c r="BP100" s="166">
        <f t="shared" si="67"/>
        <v>78.423895492102503</v>
      </c>
      <c r="BQ100" s="216">
        <f t="shared" si="68"/>
        <v>109.29895575680105</v>
      </c>
    </row>
    <row r="101" spans="2:69">
      <c r="B101" s="210">
        <v>15</v>
      </c>
      <c r="C101" s="211" t="s">
        <v>77</v>
      </c>
      <c r="D101" s="212">
        <f>'Healthcare Expenditures'!$J97</f>
        <v>203958000</v>
      </c>
      <c r="E101" s="212">
        <f>'Healthcare Expenditures'!$K97</f>
        <v>173742000</v>
      </c>
      <c r="F101" s="212">
        <f>'Healthcare Expenditures'!$L97</f>
        <v>327340000</v>
      </c>
      <c r="G101" s="212">
        <f>'Healthcare Expenditures'!$M97</f>
        <v>73953000</v>
      </c>
      <c r="H101" s="212">
        <f>'Healthcare Expenditures'!$N97</f>
        <v>62997000.000000007</v>
      </c>
      <c r="I101" s="212">
        <f>'Healthcare Expenditures'!$O97</f>
        <v>118690000</v>
      </c>
      <c r="J101" s="212">
        <f>'Healthcare Expenditures'!$P97</f>
        <v>116883000</v>
      </c>
      <c r="K101" s="212">
        <f>'Healthcare Expenditures'!$Q97</f>
        <v>99567000.000000015</v>
      </c>
      <c r="L101" s="212">
        <f>'Healthcare Expenditures'!$R97</f>
        <v>187590000</v>
      </c>
      <c r="M101" s="212">
        <f>'Mortality Costs'!$G174</f>
        <v>68056809</v>
      </c>
      <c r="N101" s="212">
        <f>'Mortality Costs'!$H174</f>
        <v>36730607</v>
      </c>
      <c r="O101" s="212">
        <f>'Mortality Costs'!$I174</f>
        <v>112196551</v>
      </c>
      <c r="P101" s="212">
        <f>'Workplace Smoking Costs'!$K111</f>
        <v>76229997.863809526</v>
      </c>
      <c r="Q101" s="212">
        <f>'Workplace Smoking Costs'!$K230</f>
        <v>73884459.46800001</v>
      </c>
      <c r="R101" s="212">
        <f>'Workplace Smoking Costs'!$K349</f>
        <v>243349608.56523812</v>
      </c>
      <c r="S101" s="212">
        <f t="shared" si="57"/>
        <v>393464065.89704764</v>
      </c>
      <c r="T101" s="213">
        <f t="shared" si="58"/>
        <v>665478874.89704764</v>
      </c>
      <c r="U101" s="213">
        <f t="shared" si="59"/>
        <v>603936672.89704764</v>
      </c>
      <c r="V101" s="213">
        <f t="shared" si="60"/>
        <v>833000616.89704764</v>
      </c>
      <c r="W101" s="355">
        <f>'Intervention Impacts'!$E$77</f>
        <v>-8.0000000000000004E-4</v>
      </c>
      <c r="X101" s="181">
        <f>'Healthcare Expenditures'!$Z97</f>
        <v>191639724.01897505</v>
      </c>
      <c r="Y101" s="181">
        <f>'Healthcare Expenditures'!$AA97</f>
        <v>163248653.79394174</v>
      </c>
      <c r="Z101" s="181">
        <f>'Healthcare Expenditures'!$AB97</f>
        <v>307569927.4378612</v>
      </c>
      <c r="AA101" s="181">
        <f>'Healthcare Expenditures'!$AC97</f>
        <v>69486524.237221688</v>
      </c>
      <c r="AB101" s="181">
        <f>'Healthcare Expenditures'!$AD97</f>
        <v>59192224.350225896</v>
      </c>
      <c r="AC101" s="181">
        <f>'Healthcare Expenditures'!$AE97</f>
        <v>111521582.10912125</v>
      </c>
      <c r="AD101" s="181">
        <f>'Healthcare Expenditures'!$AF97</f>
        <v>109823717.93462311</v>
      </c>
      <c r="AE101" s="181">
        <f>'Healthcare Expenditures'!$AG97</f>
        <v>93553537.499864146</v>
      </c>
      <c r="AF101" s="181">
        <f>'Healthcare Expenditures'!$AH97</f>
        <v>176260288.04322231</v>
      </c>
      <c r="AG101" s="181">
        <f>'Mortality Costs'!$K174</f>
        <v>61011389</v>
      </c>
      <c r="AH101" s="181">
        <f>'Mortality Costs'!$L174</f>
        <v>32308802</v>
      </c>
      <c r="AI101" s="181">
        <f>'Mortality Costs'!$M174</f>
        <v>101839671</v>
      </c>
      <c r="AJ101" s="181">
        <f>'Workplace Smoking Costs'!$S111</f>
        <v>71626000.21861127</v>
      </c>
      <c r="AK101" s="181">
        <f>'Workplace Smoking Costs'!$S230</f>
        <v>69422123.288807839</v>
      </c>
      <c r="AL101" s="181">
        <f>'Workplace Smoking Costs'!$S349</f>
        <v>228652231.46710521</v>
      </c>
      <c r="AM101" s="181">
        <f t="shared" si="69"/>
        <v>369700354.97452432</v>
      </c>
      <c r="AN101" s="192">
        <f t="shared" si="70"/>
        <v>622351467.9934994</v>
      </c>
      <c r="AO101" s="192">
        <f t="shared" si="71"/>
        <v>565257810.768466</v>
      </c>
      <c r="AP101" s="192">
        <f t="shared" si="72"/>
        <v>779109953.41238546</v>
      </c>
      <c r="AQ101" s="181">
        <f>tblTotalCosts_Base[Gross Domestic Product (GDP)]</f>
        <v>33921600000</v>
      </c>
      <c r="AR101" s="194">
        <f t="shared" si="61"/>
        <v>1.8346760412053069E-2</v>
      </c>
      <c r="AS101" s="194">
        <f t="shared" si="62"/>
        <v>1.666365415453475E-2</v>
      </c>
      <c r="AT101" s="194">
        <f t="shared" si="63"/>
        <v>2.2967960043523462E-2</v>
      </c>
      <c r="AU101" s="189">
        <f>'Healthcare Expenditures'!$AL97</f>
        <v>12318275.981024951</v>
      </c>
      <c r="AV101" s="189">
        <f>'Healthcare Expenditures'!$AM97</f>
        <v>10493346.206058264</v>
      </c>
      <c r="AW101" s="189">
        <f>'Healthcare Expenditures'!$AN97</f>
        <v>19770072.562138796</v>
      </c>
      <c r="AX101" s="189">
        <f>'Healthcare Expenditures'!$AO97</f>
        <v>4466475.762778312</v>
      </c>
      <c r="AY101" s="189">
        <f>'Healthcare Expenditures'!$AP97</f>
        <v>3804775.6497741118</v>
      </c>
      <c r="AZ101" s="189">
        <f>'Healthcare Expenditures'!$AQ97</f>
        <v>7168417.8908787519</v>
      </c>
      <c r="BA101" s="189">
        <f>'Healthcare Expenditures'!$AR97</f>
        <v>7059282.0653768927</v>
      </c>
      <c r="BB101" s="189">
        <f>'Healthcare Expenditures'!$AS97</f>
        <v>6013462.5001358688</v>
      </c>
      <c r="BC101" s="189">
        <f>'Healthcare Expenditures'!$AT97</f>
        <v>11329711.956777692</v>
      </c>
      <c r="BD101" s="190">
        <f>'Mortality Costs'!$N174</f>
        <v>7045420</v>
      </c>
      <c r="BE101" s="190">
        <f>'Mortality Costs'!$O174</f>
        <v>4421805</v>
      </c>
      <c r="BF101" s="190">
        <f>'Mortality Costs'!$P174</f>
        <v>10356880</v>
      </c>
      <c r="BG101" s="190">
        <f>'Workplace Smoking Costs'!$V111</f>
        <v>4603997.6451982558</v>
      </c>
      <c r="BH101" s="190">
        <f>'Workplace Smoking Costs'!$V230</f>
        <v>4462336.1791921705</v>
      </c>
      <c r="BI101" s="190">
        <f>'Workplace Smoking Costs'!$V349</f>
        <v>14697377.098132908</v>
      </c>
      <c r="BJ101" s="190">
        <f t="shared" si="73"/>
        <v>23763710.922523335</v>
      </c>
      <c r="BK101" s="190">
        <f t="shared" si="74"/>
        <v>43127406.903548285</v>
      </c>
      <c r="BL101" s="190">
        <f t="shared" si="64"/>
        <v>38678862.128581598</v>
      </c>
      <c r="BM101" s="190">
        <f t="shared" si="65"/>
        <v>53890663.48466213</v>
      </c>
      <c r="BN101" s="197">
        <f>SUM('Intervention Costs'!$E$56+'Intervention Costs'!$D$56+'Intervention Costs'!$G$56+'Intervention Costs'!$F$56)</f>
        <v>487356.38954534929</v>
      </c>
      <c r="BO101" s="190">
        <f t="shared" si="66"/>
        <v>88.492544324250034</v>
      </c>
      <c r="BP101" s="190">
        <f t="shared" si="67"/>
        <v>79.364635322961064</v>
      </c>
      <c r="BQ101" s="218">
        <f t="shared" si="68"/>
        <v>110.57752527864933</v>
      </c>
    </row>
    <row r="102" spans="2:69">
      <c r="B102" s="202" t="s">
        <v>200</v>
      </c>
      <c r="C102" s="203" t="s">
        <v>77</v>
      </c>
      <c r="D102" s="204">
        <f t="shared" ref="D102:V102" si="75">SUM(D$87:D$91)</f>
        <v>1019790000</v>
      </c>
      <c r="E102" s="204">
        <f t="shared" si="75"/>
        <v>868710000</v>
      </c>
      <c r="F102" s="204">
        <f t="shared" si="75"/>
        <v>1636700000</v>
      </c>
      <c r="G102" s="204">
        <f t="shared" si="75"/>
        <v>369765000</v>
      </c>
      <c r="H102" s="204">
        <f t="shared" si="75"/>
        <v>314985000.00000006</v>
      </c>
      <c r="I102" s="204">
        <f t="shared" si="75"/>
        <v>593450000</v>
      </c>
      <c r="J102" s="204">
        <f t="shared" si="75"/>
        <v>584415000</v>
      </c>
      <c r="K102" s="204">
        <f t="shared" si="75"/>
        <v>497835000.00000006</v>
      </c>
      <c r="L102" s="204">
        <f t="shared" si="75"/>
        <v>937950000</v>
      </c>
      <c r="M102" s="204">
        <f t="shared" si="75"/>
        <v>320523302</v>
      </c>
      <c r="N102" s="204">
        <f t="shared" si="75"/>
        <v>172988000</v>
      </c>
      <c r="O102" s="204">
        <f t="shared" si="75"/>
        <v>528405685</v>
      </c>
      <c r="P102" s="204">
        <f t="shared" si="75"/>
        <v>381149989.31904763</v>
      </c>
      <c r="Q102" s="204">
        <f t="shared" si="75"/>
        <v>369422297.34000003</v>
      </c>
      <c r="R102" s="204">
        <f t="shared" si="75"/>
        <v>1216748042.8261905</v>
      </c>
      <c r="S102" s="204">
        <f t="shared" si="75"/>
        <v>1967320329.4852381</v>
      </c>
      <c r="T102" s="205">
        <f t="shared" si="75"/>
        <v>3307633631.4852381</v>
      </c>
      <c r="U102" s="205">
        <f t="shared" si="75"/>
        <v>3009018329.4852381</v>
      </c>
      <c r="V102" s="205">
        <f t="shared" si="75"/>
        <v>4132426014.4852381</v>
      </c>
      <c r="W102" s="360">
        <f>SUM(W$87:W$91)</f>
        <v>-5.4000000000000006E-2</v>
      </c>
      <c r="X102" s="212">
        <f t="shared" ref="X102:AQ102" si="76">SUM(X$87:X$91)</f>
        <v>987220759.91628695</v>
      </c>
      <c r="Y102" s="212">
        <f t="shared" si="76"/>
        <v>840965832.52128136</v>
      </c>
      <c r="Z102" s="212">
        <f t="shared" si="76"/>
        <v>1584428380.1125588</v>
      </c>
      <c r="AA102" s="212">
        <f t="shared" si="76"/>
        <v>357955740.19204521</v>
      </c>
      <c r="AB102" s="212">
        <f t="shared" si="76"/>
        <v>304925260.16359407</v>
      </c>
      <c r="AC102" s="212">
        <f t="shared" si="76"/>
        <v>574496866.97488737</v>
      </c>
      <c r="AD102" s="212">
        <f t="shared" si="76"/>
        <v>565750419.6025424</v>
      </c>
      <c r="AE102" s="212">
        <f t="shared" si="76"/>
        <v>481935542.62438804</v>
      </c>
      <c r="AF102" s="212">
        <f t="shared" si="76"/>
        <v>907994500.59667301</v>
      </c>
      <c r="AG102" s="212">
        <f t="shared" si="76"/>
        <v>294554372</v>
      </c>
      <c r="AH102" s="212">
        <f t="shared" si="76"/>
        <v>156018405</v>
      </c>
      <c r="AI102" s="212">
        <f t="shared" si="76"/>
        <v>492135109</v>
      </c>
      <c r="AJ102" s="212">
        <f t="shared" si="76"/>
        <v>368977124.79788464</v>
      </c>
      <c r="AK102" s="212">
        <f t="shared" si="76"/>
        <v>357623982.49641132</v>
      </c>
      <c r="AL102" s="212">
        <f t="shared" si="76"/>
        <v>1177888513.7778625</v>
      </c>
      <c r="AM102" s="212">
        <f t="shared" si="76"/>
        <v>1904489621.0721586</v>
      </c>
      <c r="AN102" s="213">
        <f t="shared" si="76"/>
        <v>3186264752.9884453</v>
      </c>
      <c r="AO102" s="213">
        <f t="shared" si="76"/>
        <v>2901473858.5934401</v>
      </c>
      <c r="AP102" s="213">
        <f t="shared" si="76"/>
        <v>3981053110.1847177</v>
      </c>
      <c r="AQ102" s="212">
        <f t="shared" si="76"/>
        <v>169608000000</v>
      </c>
      <c r="AR102" s="214">
        <f t="shared" si="61"/>
        <v>1.8786052267513592E-2</v>
      </c>
      <c r="AS102" s="214">
        <f t="shared" si="62"/>
        <v>1.7106939876618085E-2</v>
      </c>
      <c r="AT102" s="214">
        <f t="shared" si="63"/>
        <v>2.3472083334422418E-2</v>
      </c>
      <c r="AU102" s="188">
        <f t="shared" ref="AU102:BN102" si="77">SUM(AU$87:AU$91)</f>
        <v>32569240.083713204</v>
      </c>
      <c r="AV102" s="188">
        <f t="shared" si="77"/>
        <v>27744167.478718638</v>
      </c>
      <c r="AW102" s="188">
        <f t="shared" si="77"/>
        <v>52271619.887441158</v>
      </c>
      <c r="AX102" s="188">
        <f t="shared" si="77"/>
        <v>11809259.807954788</v>
      </c>
      <c r="AY102" s="188">
        <f t="shared" si="77"/>
        <v>10059739.836405955</v>
      </c>
      <c r="AZ102" s="188">
        <f t="shared" si="77"/>
        <v>18953133.025112674</v>
      </c>
      <c r="BA102" s="188">
        <f t="shared" si="77"/>
        <v>18664580.397457585</v>
      </c>
      <c r="BB102" s="188">
        <f t="shared" si="77"/>
        <v>15899457.37561205</v>
      </c>
      <c r="BC102" s="188">
        <f t="shared" si="77"/>
        <v>29955499.403327107</v>
      </c>
      <c r="BD102" s="188">
        <f t="shared" si="77"/>
        <v>25968930</v>
      </c>
      <c r="BE102" s="188">
        <f t="shared" si="77"/>
        <v>16969595</v>
      </c>
      <c r="BF102" s="188">
        <f t="shared" si="77"/>
        <v>36270576</v>
      </c>
      <c r="BG102" s="188">
        <f t="shared" si="77"/>
        <v>12172864.521162987</v>
      </c>
      <c r="BH102" s="188">
        <f t="shared" si="77"/>
        <v>11798314.843588769</v>
      </c>
      <c r="BI102" s="188">
        <f t="shared" si="77"/>
        <v>38859529.048327923</v>
      </c>
      <c r="BJ102" s="188">
        <f t="shared" si="77"/>
        <v>62830708.413079679</v>
      </c>
      <c r="BK102" s="188">
        <f t="shared" si="77"/>
        <v>121368878.49679288</v>
      </c>
      <c r="BL102" s="188">
        <f t="shared" si="77"/>
        <v>107544470.89179832</v>
      </c>
      <c r="BM102" s="188">
        <f t="shared" si="77"/>
        <v>151372904.30052084</v>
      </c>
      <c r="BN102" s="215">
        <f t="shared" si="77"/>
        <v>4748445.9023322966</v>
      </c>
      <c r="BO102" s="166">
        <f t="shared" si="66"/>
        <v>25.559705426396469</v>
      </c>
      <c r="BP102" s="166">
        <f t="shared" si="67"/>
        <v>22.648351292993702</v>
      </c>
      <c r="BQ102" s="216">
        <f t="shared" si="68"/>
        <v>31.878409781644756</v>
      </c>
    </row>
    <row r="103" spans="2:69">
      <c r="B103" s="210" t="s">
        <v>329</v>
      </c>
      <c r="C103" s="211" t="s">
        <v>77</v>
      </c>
      <c r="D103" s="212">
        <f t="shared" ref="D103:V103" si="78">SUM(D$92:D$101)</f>
        <v>2039580000</v>
      </c>
      <c r="E103" s="212">
        <f t="shared" si="78"/>
        <v>1737420000</v>
      </c>
      <c r="F103" s="212">
        <f t="shared" si="78"/>
        <v>3273400000</v>
      </c>
      <c r="G103" s="212">
        <f t="shared" si="78"/>
        <v>739530000</v>
      </c>
      <c r="H103" s="212">
        <f t="shared" si="78"/>
        <v>629970000.00000012</v>
      </c>
      <c r="I103" s="212">
        <f t="shared" si="78"/>
        <v>1186900000</v>
      </c>
      <c r="J103" s="212">
        <f t="shared" si="78"/>
        <v>1168830000</v>
      </c>
      <c r="K103" s="212">
        <f t="shared" si="78"/>
        <v>995670000.00000012</v>
      </c>
      <c r="L103" s="212">
        <f t="shared" si="78"/>
        <v>1875900000</v>
      </c>
      <c r="M103" s="212">
        <f t="shared" si="78"/>
        <v>665531729</v>
      </c>
      <c r="N103" s="212">
        <f t="shared" si="78"/>
        <v>359190744</v>
      </c>
      <c r="O103" s="212">
        <f t="shared" si="78"/>
        <v>1097176965</v>
      </c>
      <c r="P103" s="212">
        <f t="shared" si="78"/>
        <v>762299978.63809538</v>
      </c>
      <c r="Q103" s="212">
        <f t="shared" si="78"/>
        <v>738844594.68000019</v>
      </c>
      <c r="R103" s="212">
        <f t="shared" si="78"/>
        <v>2433496085.6523805</v>
      </c>
      <c r="S103" s="212">
        <f t="shared" si="78"/>
        <v>3934640658.9704757</v>
      </c>
      <c r="T103" s="213">
        <f t="shared" si="78"/>
        <v>6639752387.9704771</v>
      </c>
      <c r="U103" s="213">
        <f t="shared" si="78"/>
        <v>6031251402.9704771</v>
      </c>
      <c r="V103" s="213">
        <f t="shared" si="78"/>
        <v>8305217623.9704781</v>
      </c>
      <c r="W103" s="361">
        <f>SUM(W$92:W$101)</f>
        <v>-8.0000000000000019E-3</v>
      </c>
      <c r="X103" s="212">
        <f t="shared" ref="X103:AQ103" si="79">SUM(X$92:X$101)</f>
        <v>1923316556.079675</v>
      </c>
      <c r="Y103" s="212">
        <f t="shared" si="79"/>
        <v>1638380769.9937973</v>
      </c>
      <c r="Z103" s="212">
        <f t="shared" si="79"/>
        <v>3086804349.2636757</v>
      </c>
      <c r="AA103" s="212">
        <f t="shared" si="79"/>
        <v>697374112.66907978</v>
      </c>
      <c r="AB103" s="212">
        <f t="shared" si="79"/>
        <v>594059429.31069779</v>
      </c>
      <c r="AC103" s="212">
        <f t="shared" si="79"/>
        <v>1119242403.0491405</v>
      </c>
      <c r="AD103" s="212">
        <f t="shared" si="79"/>
        <v>1102202458.4682171</v>
      </c>
      <c r="AE103" s="212">
        <f t="shared" si="79"/>
        <v>938913205.3618145</v>
      </c>
      <c r="AF103" s="212">
        <f t="shared" si="79"/>
        <v>1768966908.6526937</v>
      </c>
      <c r="AG103" s="212">
        <f t="shared" si="79"/>
        <v>598432039</v>
      </c>
      <c r="AH103" s="212">
        <f t="shared" si="79"/>
        <v>316919645</v>
      </c>
      <c r="AI103" s="212">
        <f t="shared" si="79"/>
        <v>998787793</v>
      </c>
      <c r="AJ103" s="212">
        <f t="shared" si="79"/>
        <v>718846120.09032798</v>
      </c>
      <c r="AK103" s="212">
        <f t="shared" si="79"/>
        <v>696727777.93370259</v>
      </c>
      <c r="AL103" s="212">
        <f t="shared" si="79"/>
        <v>2294777998.7498937</v>
      </c>
      <c r="AM103" s="212">
        <f t="shared" si="79"/>
        <v>3710351896.7739239</v>
      </c>
      <c r="AN103" s="213">
        <f t="shared" si="79"/>
        <v>6232100491.8535986</v>
      </c>
      <c r="AO103" s="213">
        <f t="shared" si="79"/>
        <v>5665652311.7677202</v>
      </c>
      <c r="AP103" s="213">
        <f t="shared" si="79"/>
        <v>7795944039.0375996</v>
      </c>
      <c r="AQ103" s="212">
        <f t="shared" si="79"/>
        <v>339216000000</v>
      </c>
      <c r="AR103" s="214">
        <f t="shared" si="61"/>
        <v>1.8372071163664447E-2</v>
      </c>
      <c r="AS103" s="214">
        <f t="shared" si="62"/>
        <v>1.6702196570231712E-2</v>
      </c>
      <c r="AT103" s="214">
        <f t="shared" si="63"/>
        <v>2.2982241518789207E-2</v>
      </c>
      <c r="AU103" s="166">
        <f t="shared" ref="AU103:BN103" si="80">SUM(AU$92:AU$101)</f>
        <v>116263443.92032504</v>
      </c>
      <c r="AV103" s="166">
        <f t="shared" si="80"/>
        <v>99039230.006202877</v>
      </c>
      <c r="AW103" s="166">
        <f t="shared" si="80"/>
        <v>186595650.73632443</v>
      </c>
      <c r="AX103" s="166">
        <f t="shared" si="80"/>
        <v>42155887.330920085</v>
      </c>
      <c r="AY103" s="166">
        <f t="shared" si="80"/>
        <v>35910570.689302377</v>
      </c>
      <c r="AZ103" s="166">
        <f t="shared" si="80"/>
        <v>67657596.950859502</v>
      </c>
      <c r="BA103" s="166">
        <f t="shared" si="80"/>
        <v>66627541.531782776</v>
      </c>
      <c r="BB103" s="166">
        <f t="shared" si="80"/>
        <v>56756794.638185531</v>
      </c>
      <c r="BC103" s="166">
        <f t="shared" si="80"/>
        <v>106933091.34730586</v>
      </c>
      <c r="BD103" s="166">
        <f t="shared" si="80"/>
        <v>67099690</v>
      </c>
      <c r="BE103" s="166">
        <f t="shared" si="80"/>
        <v>42271099</v>
      </c>
      <c r="BF103" s="166">
        <f t="shared" si="80"/>
        <v>98389172</v>
      </c>
      <c r="BG103" s="166">
        <f t="shared" si="80"/>
        <v>43453858.547767326</v>
      </c>
      <c r="BH103" s="166">
        <f t="shared" si="80"/>
        <v>42116816.746297628</v>
      </c>
      <c r="BI103" s="166">
        <f t="shared" si="80"/>
        <v>138718086.9024879</v>
      </c>
      <c r="BJ103" s="166">
        <f t="shared" si="80"/>
        <v>224288762.19655281</v>
      </c>
      <c r="BK103" s="166">
        <f t="shared" si="80"/>
        <v>407651896.11687797</v>
      </c>
      <c r="BL103" s="166">
        <f t="shared" si="80"/>
        <v>365599091.20275575</v>
      </c>
      <c r="BM103" s="166">
        <f t="shared" si="80"/>
        <v>509273584.9328773</v>
      </c>
      <c r="BN103" s="215">
        <f t="shared" si="80"/>
        <v>5273707.05598957</v>
      </c>
      <c r="BO103" s="166">
        <f t="shared" si="66"/>
        <v>77.29892688178245</v>
      </c>
      <c r="BP103" s="166">
        <f t="shared" si="67"/>
        <v>69.324876661006329</v>
      </c>
      <c r="BQ103" s="216">
        <f t="shared" si="68"/>
        <v>96.568425118432387</v>
      </c>
    </row>
    <row r="104" spans="2:69">
      <c r="B104" s="217" t="s">
        <v>330</v>
      </c>
      <c r="C104" s="180" t="s">
        <v>77</v>
      </c>
      <c r="D104" s="181">
        <f t="shared" ref="D104:V104" si="81">SUM(D$87:D$101)</f>
        <v>3059370000</v>
      </c>
      <c r="E104" s="181">
        <f t="shared" si="81"/>
        <v>2606130000</v>
      </c>
      <c r="F104" s="181">
        <f t="shared" si="81"/>
        <v>4910100000</v>
      </c>
      <c r="G104" s="181">
        <f t="shared" si="81"/>
        <v>1109295000</v>
      </c>
      <c r="H104" s="181">
        <f t="shared" si="81"/>
        <v>944955000.00000012</v>
      </c>
      <c r="I104" s="181">
        <f t="shared" si="81"/>
        <v>1780350000</v>
      </c>
      <c r="J104" s="181">
        <f t="shared" si="81"/>
        <v>1753245000</v>
      </c>
      <c r="K104" s="181">
        <f t="shared" si="81"/>
        <v>1493505000.0000002</v>
      </c>
      <c r="L104" s="181">
        <f t="shared" si="81"/>
        <v>2813850000</v>
      </c>
      <c r="M104" s="181">
        <f t="shared" si="81"/>
        <v>986055031</v>
      </c>
      <c r="N104" s="181">
        <f t="shared" si="81"/>
        <v>532178744</v>
      </c>
      <c r="O104" s="181">
        <f t="shared" si="81"/>
        <v>1625582650</v>
      </c>
      <c r="P104" s="181">
        <f t="shared" si="81"/>
        <v>1143449967.9571433</v>
      </c>
      <c r="Q104" s="181">
        <f t="shared" si="81"/>
        <v>1108266892.0200005</v>
      </c>
      <c r="R104" s="181">
        <f t="shared" si="81"/>
        <v>3650244128.4785705</v>
      </c>
      <c r="S104" s="181">
        <f t="shared" si="81"/>
        <v>5901960988.4557152</v>
      </c>
      <c r="T104" s="192">
        <f t="shared" si="81"/>
        <v>9947386019.4557152</v>
      </c>
      <c r="U104" s="192">
        <f t="shared" si="81"/>
        <v>9040269732.4557171</v>
      </c>
      <c r="V104" s="192">
        <f t="shared" si="81"/>
        <v>12437643638.455713</v>
      </c>
      <c r="W104" s="362">
        <f>SUM(W$87:W$101)</f>
        <v>-6.2000000000000027E-2</v>
      </c>
      <c r="X104" s="181">
        <f t="shared" ref="X104:AQ104" si="82">SUM(X$87:X$101)</f>
        <v>2910537315.9959621</v>
      </c>
      <c r="Y104" s="181">
        <f t="shared" si="82"/>
        <v>2479346602.5150785</v>
      </c>
      <c r="Z104" s="181">
        <f t="shared" si="82"/>
        <v>4671232729.3762341</v>
      </c>
      <c r="AA104" s="181">
        <f t="shared" si="82"/>
        <v>1055329852.8611251</v>
      </c>
      <c r="AB104" s="181">
        <f t="shared" si="82"/>
        <v>898984689.47429168</v>
      </c>
      <c r="AC104" s="181">
        <f t="shared" si="82"/>
        <v>1693739270.0240278</v>
      </c>
      <c r="AD104" s="181">
        <f t="shared" si="82"/>
        <v>1667952878.0707595</v>
      </c>
      <c r="AE104" s="181">
        <f t="shared" si="82"/>
        <v>1420848747.9862027</v>
      </c>
      <c r="AF104" s="181">
        <f t="shared" si="82"/>
        <v>2676961409.2493677</v>
      </c>
      <c r="AG104" s="181">
        <f t="shared" si="82"/>
        <v>892986411</v>
      </c>
      <c r="AH104" s="181">
        <f t="shared" si="82"/>
        <v>472938050</v>
      </c>
      <c r="AI104" s="181">
        <f t="shared" si="82"/>
        <v>1490922902</v>
      </c>
      <c r="AJ104" s="181">
        <f t="shared" si="82"/>
        <v>1087823244.8882124</v>
      </c>
      <c r="AK104" s="181">
        <f t="shared" si="82"/>
        <v>1054351760.4301139</v>
      </c>
      <c r="AL104" s="181">
        <f t="shared" si="82"/>
        <v>3472666512.5277557</v>
      </c>
      <c r="AM104" s="181">
        <f t="shared" si="82"/>
        <v>5614841517.8460836</v>
      </c>
      <c r="AN104" s="192">
        <f t="shared" si="82"/>
        <v>9418365244.8420429</v>
      </c>
      <c r="AO104" s="192">
        <f t="shared" si="82"/>
        <v>8567126170.3611612</v>
      </c>
      <c r="AP104" s="192">
        <f t="shared" si="82"/>
        <v>11776997149.222317</v>
      </c>
      <c r="AQ104" s="181">
        <f t="shared" si="82"/>
        <v>508824000000</v>
      </c>
      <c r="AR104" s="194">
        <f t="shared" si="61"/>
        <v>1.8510064864947492E-2</v>
      </c>
      <c r="AS104" s="194">
        <f t="shared" si="62"/>
        <v>1.6837111005693836E-2</v>
      </c>
      <c r="AT104" s="194">
        <f t="shared" si="63"/>
        <v>2.3145522124000277E-2</v>
      </c>
      <c r="AU104" s="190">
        <f t="shared" ref="AU104:BN104" si="83">SUM(AU$87:AU$101)</f>
        <v>148832684.00403824</v>
      </c>
      <c r="AV104" s="190">
        <f t="shared" si="83"/>
        <v>126783397.48492151</v>
      </c>
      <c r="AW104" s="190">
        <f t="shared" si="83"/>
        <v>238867270.62376559</v>
      </c>
      <c r="AX104" s="190">
        <f t="shared" si="83"/>
        <v>53965147.138874874</v>
      </c>
      <c r="AY104" s="190">
        <f t="shared" si="83"/>
        <v>45970310.525708333</v>
      </c>
      <c r="AZ104" s="190">
        <f t="shared" si="83"/>
        <v>86610729.975972176</v>
      </c>
      <c r="BA104" s="190">
        <f t="shared" si="83"/>
        <v>85292121.929240361</v>
      </c>
      <c r="BB104" s="190">
        <f t="shared" si="83"/>
        <v>72656252.013797581</v>
      </c>
      <c r="BC104" s="190">
        <f t="shared" si="83"/>
        <v>136888590.75063297</v>
      </c>
      <c r="BD104" s="190">
        <f t="shared" si="83"/>
        <v>93068620</v>
      </c>
      <c r="BE104" s="190">
        <f t="shared" si="83"/>
        <v>59240694</v>
      </c>
      <c r="BF104" s="190">
        <f t="shared" si="83"/>
        <v>134659748</v>
      </c>
      <c r="BG104" s="190">
        <f t="shared" si="83"/>
        <v>55626723.068930313</v>
      </c>
      <c r="BH104" s="190">
        <f t="shared" si="83"/>
        <v>53915131.589886397</v>
      </c>
      <c r="BI104" s="190">
        <f t="shared" si="83"/>
        <v>177577615.95081583</v>
      </c>
      <c r="BJ104" s="190">
        <f t="shared" si="83"/>
        <v>287119470.60963249</v>
      </c>
      <c r="BK104" s="190">
        <f t="shared" si="83"/>
        <v>529020774.61367089</v>
      </c>
      <c r="BL104" s="190">
        <f t="shared" si="83"/>
        <v>473143562.09455407</v>
      </c>
      <c r="BM104" s="190">
        <f t="shared" si="83"/>
        <v>660646489.2333982</v>
      </c>
      <c r="BN104" s="197">
        <f t="shared" si="83"/>
        <v>10022152.958321868</v>
      </c>
      <c r="BO104" s="190">
        <f t="shared" si="66"/>
        <v>52.78514275462139</v>
      </c>
      <c r="BP104" s="190">
        <f t="shared" si="67"/>
        <v>47.209772596982823</v>
      </c>
      <c r="BQ104" s="218">
        <f t="shared" si="68"/>
        <v>65.918619679899436</v>
      </c>
    </row>
    <row r="107" spans="2:69" ht="21">
      <c r="B107" s="199" t="s">
        <v>361</v>
      </c>
    </row>
    <row r="110" spans="2:69" ht="92.1" customHeight="1">
      <c r="B110" s="4" t="s">
        <v>0</v>
      </c>
      <c r="C110" s="4" t="s">
        <v>120</v>
      </c>
      <c r="D110" s="4" t="s">
        <v>698</v>
      </c>
      <c r="E110" s="4" t="s">
        <v>699</v>
      </c>
      <c r="F110" s="4" t="s">
        <v>700</v>
      </c>
      <c r="G110" s="358" t="s">
        <v>720</v>
      </c>
      <c r="H110" s="358" t="s">
        <v>721</v>
      </c>
      <c r="I110" s="358" t="s">
        <v>722</v>
      </c>
      <c r="J110" s="358" t="s">
        <v>723</v>
      </c>
      <c r="K110" s="358" t="s">
        <v>724</v>
      </c>
      <c r="L110" s="358" t="s">
        <v>725</v>
      </c>
      <c r="M110" s="358" t="s">
        <v>704</v>
      </c>
      <c r="N110" s="358" t="s">
        <v>705</v>
      </c>
      <c r="O110" s="358" t="s">
        <v>706</v>
      </c>
      <c r="P110" s="358" t="s">
        <v>711</v>
      </c>
      <c r="Q110" s="358" t="s">
        <v>712</v>
      </c>
      <c r="R110" s="358" t="s">
        <v>713</v>
      </c>
      <c r="S110" s="358" t="s">
        <v>714</v>
      </c>
      <c r="T110" s="359" t="s">
        <v>715</v>
      </c>
      <c r="U110" s="359" t="s">
        <v>716</v>
      </c>
      <c r="V110" s="359" t="s">
        <v>717</v>
      </c>
      <c r="W110" s="357" t="s">
        <v>332</v>
      </c>
      <c r="X110" s="4" t="s">
        <v>472</v>
      </c>
      <c r="Y110" s="4" t="s">
        <v>473</v>
      </c>
      <c r="Z110" s="4" t="s">
        <v>476</v>
      </c>
      <c r="AA110" s="4" t="s">
        <v>474</v>
      </c>
      <c r="AB110" s="4" t="s">
        <v>475</v>
      </c>
      <c r="AC110" s="4" t="s">
        <v>477</v>
      </c>
      <c r="AD110" s="4" t="s">
        <v>478</v>
      </c>
      <c r="AE110" s="4" t="s">
        <v>479</v>
      </c>
      <c r="AF110" s="4" t="s">
        <v>480</v>
      </c>
      <c r="AG110" s="4" t="s">
        <v>606</v>
      </c>
      <c r="AH110" s="4" t="s">
        <v>612</v>
      </c>
      <c r="AI110" s="4" t="s">
        <v>613</v>
      </c>
      <c r="AJ110" s="4" t="s">
        <v>337</v>
      </c>
      <c r="AK110" s="4" t="s">
        <v>338</v>
      </c>
      <c r="AL110" s="4" t="s">
        <v>339</v>
      </c>
      <c r="AM110" s="4" t="s">
        <v>324</v>
      </c>
      <c r="AN110" s="195" t="s">
        <v>482</v>
      </c>
      <c r="AO110" s="195" t="s">
        <v>483</v>
      </c>
      <c r="AP110" s="195" t="s">
        <v>484</v>
      </c>
      <c r="AQ110" s="4" t="s">
        <v>340</v>
      </c>
      <c r="AR110" s="195" t="s">
        <v>481</v>
      </c>
      <c r="AS110" s="195" t="s">
        <v>485</v>
      </c>
      <c r="AT110" s="195" t="s">
        <v>486</v>
      </c>
      <c r="AU110" s="185" t="s">
        <v>355</v>
      </c>
      <c r="AV110" s="185" t="s">
        <v>487</v>
      </c>
      <c r="AW110" s="185" t="s">
        <v>488</v>
      </c>
      <c r="AX110" s="185" t="s">
        <v>356</v>
      </c>
      <c r="AY110" s="185" t="s">
        <v>489</v>
      </c>
      <c r="AZ110" s="185" t="s">
        <v>490</v>
      </c>
      <c r="BA110" s="185" t="s">
        <v>357</v>
      </c>
      <c r="BB110" s="185" t="s">
        <v>491</v>
      </c>
      <c r="BC110" s="185" t="s">
        <v>492</v>
      </c>
      <c r="BD110" s="187" t="s">
        <v>358</v>
      </c>
      <c r="BE110" s="187" t="s">
        <v>495</v>
      </c>
      <c r="BF110" s="187" t="s">
        <v>496</v>
      </c>
      <c r="BG110" s="186" t="s">
        <v>351</v>
      </c>
      <c r="BH110" s="186" t="s">
        <v>352</v>
      </c>
      <c r="BI110" s="186" t="s">
        <v>353</v>
      </c>
      <c r="BJ110" s="186" t="s">
        <v>354</v>
      </c>
      <c r="BK110" s="191" t="s">
        <v>174</v>
      </c>
      <c r="BL110" s="191" t="s">
        <v>493</v>
      </c>
      <c r="BM110" s="191" t="s">
        <v>494</v>
      </c>
      <c r="BN110" s="198" t="s">
        <v>202</v>
      </c>
      <c r="BO110" s="191" t="s">
        <v>366</v>
      </c>
      <c r="BP110" s="191" t="s">
        <v>367</v>
      </c>
      <c r="BQ110" s="191" t="s">
        <v>368</v>
      </c>
    </row>
    <row r="111" spans="2:69">
      <c r="B111" s="202">
        <v>1</v>
      </c>
      <c r="C111" s="203" t="s">
        <v>121</v>
      </c>
      <c r="D111" s="204">
        <f>'Healthcare Expenditures'!$J107</f>
        <v>203958000</v>
      </c>
      <c r="E111" s="204">
        <f>'Healthcare Expenditures'!$K107</f>
        <v>173742000</v>
      </c>
      <c r="F111" s="204">
        <f>'Healthcare Expenditures'!$L107</f>
        <v>327340000</v>
      </c>
      <c r="G111" s="204">
        <f>'Healthcare Expenditures'!$M107</f>
        <v>73953000</v>
      </c>
      <c r="H111" s="204">
        <f>'Healthcare Expenditures'!$N107</f>
        <v>62997000.000000007</v>
      </c>
      <c r="I111" s="204">
        <f>'Healthcare Expenditures'!$O107</f>
        <v>118690000</v>
      </c>
      <c r="J111" s="204">
        <f>'Healthcare Expenditures'!$P107</f>
        <v>116883000</v>
      </c>
      <c r="K111" s="204">
        <f>'Healthcare Expenditures'!$Q107</f>
        <v>99567000.000000015</v>
      </c>
      <c r="L111" s="204">
        <f>'Healthcare Expenditures'!$R107</f>
        <v>187590000</v>
      </c>
      <c r="M111" s="212">
        <f>'Mortality Costs'!$G175</f>
        <v>63466799</v>
      </c>
      <c r="N111" s="212">
        <f>'Mortality Costs'!$H175</f>
        <v>34253341</v>
      </c>
      <c r="O111" s="212">
        <f>'Mortality Costs'!$I175</f>
        <v>104629575</v>
      </c>
      <c r="P111" s="204">
        <f>'Workplace Smoking Costs'!$K120</f>
        <v>76229997.863809526</v>
      </c>
      <c r="Q111" s="204">
        <f>'Workplace Smoking Costs'!$K239</f>
        <v>73884459.46800001</v>
      </c>
      <c r="R111" s="204">
        <f>'Workplace Smoking Costs'!$K358</f>
        <v>243349608.56523812</v>
      </c>
      <c r="S111" s="204">
        <f t="shared" ref="S111:S125" si="84">P111+Q111+R111</f>
        <v>393464065.89704764</v>
      </c>
      <c r="T111" s="205">
        <f t="shared" ref="T111:T125" si="85">D111+M111+S111</f>
        <v>660888864.89704764</v>
      </c>
      <c r="U111" s="205">
        <f t="shared" ref="U111:U125" si="86">E111+N111+S111</f>
        <v>601459406.89704764</v>
      </c>
      <c r="V111" s="205">
        <f t="shared" ref="V111:V125" si="87">F111+O111+S111</f>
        <v>825433640.89704764</v>
      </c>
      <c r="W111" s="354">
        <f>'Intervention Impacts'!$F$63</f>
        <v>-0.02</v>
      </c>
      <c r="X111" s="204">
        <f>'Healthcare Expenditures'!$Z107</f>
        <v>199878840.00000003</v>
      </c>
      <c r="Y111" s="204">
        <f>'Healthcare Expenditures'!$AA107</f>
        <v>170267160</v>
      </c>
      <c r="Z111" s="204">
        <f>'Healthcare Expenditures'!$AB107</f>
        <v>320793200.00000006</v>
      </c>
      <c r="AA111" s="204">
        <f>'Healthcare Expenditures'!$AC107</f>
        <v>72473940</v>
      </c>
      <c r="AB111" s="204">
        <f>'Healthcare Expenditures'!$AD107</f>
        <v>61737060</v>
      </c>
      <c r="AC111" s="204">
        <f>'Healthcare Expenditures'!$AE107</f>
        <v>116316200.00000001</v>
      </c>
      <c r="AD111" s="204">
        <f>'Healthcare Expenditures'!$AF107</f>
        <v>114545340.00000001</v>
      </c>
      <c r="AE111" s="204">
        <f>'Healthcare Expenditures'!$AG107</f>
        <v>97575660</v>
      </c>
      <c r="AF111" s="204">
        <f>'Healthcare Expenditures'!$AH107</f>
        <v>183838200.00000003</v>
      </c>
      <c r="AG111" s="204">
        <f>'Mortality Costs'!$K175</f>
        <v>58921711</v>
      </c>
      <c r="AH111" s="204">
        <f>'Mortality Costs'!$L175</f>
        <v>31238574</v>
      </c>
      <c r="AI111" s="204">
        <f>'Mortality Costs'!$M175</f>
        <v>98499210</v>
      </c>
      <c r="AJ111" s="204">
        <f>'Workplace Smoking Costs'!$S120</f>
        <v>74705397.90653336</v>
      </c>
      <c r="AK111" s="204">
        <f>'Workplace Smoking Costs'!$S239</f>
        <v>72406770.278640017</v>
      </c>
      <c r="AL111" s="204">
        <f>'Workplace Smoking Costs'!$S358</f>
        <v>238482616.39393342</v>
      </c>
      <c r="AM111" s="204">
        <f>AJ111+AK111+AL111</f>
        <v>385594784.57910681</v>
      </c>
      <c r="AN111" s="205">
        <f>X111+AG111+AM111</f>
        <v>644395335.57910681</v>
      </c>
      <c r="AO111" s="205">
        <f>Y111+AH111+AM111</f>
        <v>587100518.57910681</v>
      </c>
      <c r="AP111" s="205">
        <f>Z111+AI111+AM111</f>
        <v>804887194.57910681</v>
      </c>
      <c r="AQ111" s="204">
        <f>tblTotalCosts_Base[Gross Domestic Product (GDP)]</f>
        <v>33921600000</v>
      </c>
      <c r="AR111" s="206">
        <f t="shared" ref="AR111:AR128" si="88">AN111/$AQ111</f>
        <v>1.8996607930613734E-2</v>
      </c>
      <c r="AS111" s="206">
        <f t="shared" ref="AS111:AS128" si="89">AO111/$AQ111</f>
        <v>1.7307571534924852E-2</v>
      </c>
      <c r="AT111" s="206">
        <f t="shared" ref="AT111:AT128" si="90">AP111/$AQ111</f>
        <v>2.3727866450259032E-2</v>
      </c>
      <c r="AU111" s="207">
        <f>'Healthcare Expenditures'!$AL107</f>
        <v>4079159.9999999702</v>
      </c>
      <c r="AV111" s="207">
        <f>'Healthcare Expenditures'!$AM107</f>
        <v>3474840</v>
      </c>
      <c r="AW111" s="207">
        <f>'Healthcare Expenditures'!$AN107</f>
        <v>6546799.9999999404</v>
      </c>
      <c r="AX111" s="207">
        <f>'Healthcare Expenditures'!$AO107</f>
        <v>1479060</v>
      </c>
      <c r="AY111" s="207">
        <f>'Healthcare Expenditures'!$AP107</f>
        <v>1259940.0000000075</v>
      </c>
      <c r="AZ111" s="207">
        <f>'Healthcare Expenditures'!$AQ107</f>
        <v>2373799.9999999851</v>
      </c>
      <c r="BA111" s="207">
        <f>'Healthcare Expenditures'!$AR107</f>
        <v>2337659.9999999851</v>
      </c>
      <c r="BB111" s="207">
        <f>'Healthcare Expenditures'!$AS107</f>
        <v>1991340.0000000149</v>
      </c>
      <c r="BC111" s="207">
        <f>'Healthcare Expenditures'!$AT107</f>
        <v>3751799.9999999702</v>
      </c>
      <c r="BD111" s="208">
        <f>'Mortality Costs'!$N175</f>
        <v>4545088</v>
      </c>
      <c r="BE111" s="208">
        <f>'Mortality Costs'!$O175</f>
        <v>3014767</v>
      </c>
      <c r="BF111" s="208">
        <f>'Mortality Costs'!$P175</f>
        <v>6130365</v>
      </c>
      <c r="BG111" s="208">
        <f>'Workplace Smoking Costs'!$V120</f>
        <v>1524599.9572761655</v>
      </c>
      <c r="BH111" s="208">
        <f>'Workplace Smoking Costs'!$V239</f>
        <v>1477689.1893599927</v>
      </c>
      <c r="BI111" s="208">
        <f>'Workplace Smoking Costs'!$V358</f>
        <v>4866992.1713047028</v>
      </c>
      <c r="BJ111" s="208">
        <f>BG111+BH111+BI111</f>
        <v>7869281.317940861</v>
      </c>
      <c r="BK111" s="208">
        <f>AU111+BD111+BJ111</f>
        <v>16493529.317940831</v>
      </c>
      <c r="BL111" s="208">
        <f t="shared" ref="BL111:BL125" si="91">AV111+BE111+BJ111</f>
        <v>14358888.317940861</v>
      </c>
      <c r="BM111" s="208">
        <f t="shared" ref="BM111:BM125" si="92">AW111+BF111+BJ111</f>
        <v>20546446.317940801</v>
      </c>
      <c r="BN111" s="209">
        <f>SUM('Intervention Costs'!$E$42+'Intervention Costs'!$D$42+'Intervention Costs'!$G$42+'Intervention Costs'!$F$42)</f>
        <v>977845.09626223892</v>
      </c>
      <c r="BO111" s="166">
        <f t="shared" ref="BO111:BO128" si="93">BK111/$BN111</f>
        <v>16.86722097496472</v>
      </c>
      <c r="BP111" s="166">
        <f t="shared" ref="BP111:BP128" si="94">BL111/$BN111</f>
        <v>14.684215703312264</v>
      </c>
      <c r="BQ111" s="216">
        <f t="shared" ref="BQ111:BQ128" si="95">BM111/$BN111</f>
        <v>21.011964365806509</v>
      </c>
    </row>
    <row r="112" spans="2:69">
      <c r="B112" s="210">
        <v>2</v>
      </c>
      <c r="C112" s="211" t="s">
        <v>121</v>
      </c>
      <c r="D112" s="212">
        <f>'Healthcare Expenditures'!$J108</f>
        <v>203958000</v>
      </c>
      <c r="E112" s="212">
        <f>'Healthcare Expenditures'!$K108</f>
        <v>173742000</v>
      </c>
      <c r="F112" s="212">
        <f>'Healthcare Expenditures'!$L108</f>
        <v>327340000</v>
      </c>
      <c r="G112" s="212">
        <f>'Healthcare Expenditures'!$M108</f>
        <v>73953000</v>
      </c>
      <c r="H112" s="212">
        <f>'Healthcare Expenditures'!$N108</f>
        <v>62997000.000000007</v>
      </c>
      <c r="I112" s="212">
        <f>'Healthcare Expenditures'!$O108</f>
        <v>118690000</v>
      </c>
      <c r="J112" s="212">
        <f>'Healthcare Expenditures'!$P108</f>
        <v>116883000</v>
      </c>
      <c r="K112" s="212">
        <f>'Healthcare Expenditures'!$Q108</f>
        <v>99567000.000000015</v>
      </c>
      <c r="L112" s="212">
        <f>'Healthcare Expenditures'!$R108</f>
        <v>187590000</v>
      </c>
      <c r="M112" s="212">
        <f>'Mortality Costs'!$G176</f>
        <v>63784156</v>
      </c>
      <c r="N112" s="212">
        <f>'Mortality Costs'!$H176</f>
        <v>34424628</v>
      </c>
      <c r="O112" s="212">
        <f>'Mortality Costs'!$I176</f>
        <v>105152764</v>
      </c>
      <c r="P112" s="212">
        <f>'Workplace Smoking Costs'!$K121</f>
        <v>76229997.863809526</v>
      </c>
      <c r="Q112" s="212">
        <f>'Workplace Smoking Costs'!$K240</f>
        <v>73884459.46800001</v>
      </c>
      <c r="R112" s="212">
        <f>'Workplace Smoking Costs'!$K359</f>
        <v>243349608.56523812</v>
      </c>
      <c r="S112" s="212">
        <f t="shared" si="84"/>
        <v>393464065.89704764</v>
      </c>
      <c r="T112" s="213">
        <f t="shared" si="85"/>
        <v>661206221.89704764</v>
      </c>
      <c r="U112" s="213">
        <f t="shared" si="86"/>
        <v>601630693.89704764</v>
      </c>
      <c r="V112" s="213">
        <f t="shared" si="87"/>
        <v>825956829.89704764</v>
      </c>
      <c r="W112" s="355">
        <f>'Intervention Impacts'!$F$64</f>
        <v>-0.02</v>
      </c>
      <c r="X112" s="212">
        <f>'Healthcare Expenditures'!$Z108</f>
        <v>195881263.19999999</v>
      </c>
      <c r="Y112" s="212">
        <f>'Healthcare Expenditures'!$AA108</f>
        <v>166861816.79999998</v>
      </c>
      <c r="Z112" s="212">
        <f>'Healthcare Expenditures'!$AB108</f>
        <v>314377336</v>
      </c>
      <c r="AA112" s="212">
        <f>'Healthcare Expenditures'!$AC108</f>
        <v>71024461.200000003</v>
      </c>
      <c r="AB112" s="212">
        <f>'Healthcare Expenditures'!$AD108</f>
        <v>60502318.799999997</v>
      </c>
      <c r="AC112" s="212">
        <f>'Healthcare Expenditures'!$AE108</f>
        <v>113989876</v>
      </c>
      <c r="AD112" s="212">
        <f>'Healthcare Expenditures'!$AF108</f>
        <v>112254433.2</v>
      </c>
      <c r="AE112" s="212">
        <f>'Healthcare Expenditures'!$AG108</f>
        <v>95624146.799999997</v>
      </c>
      <c r="AF112" s="212">
        <f>'Healthcare Expenditures'!$AH108</f>
        <v>180161436</v>
      </c>
      <c r="AG112" s="212">
        <f>'Mortality Costs'!$K176</f>
        <v>58313804</v>
      </c>
      <c r="AH112" s="212">
        <f>'Mortality Costs'!$L176</f>
        <v>30879039</v>
      </c>
      <c r="AI112" s="212">
        <f>'Mortality Costs'!$M176</f>
        <v>97389275</v>
      </c>
      <c r="AJ112" s="212">
        <f>'Workplace Smoking Costs'!$S121</f>
        <v>73211289.948402673</v>
      </c>
      <c r="AK112" s="212">
        <f>'Workplace Smoking Costs'!$S240</f>
        <v>70958634.8730672</v>
      </c>
      <c r="AL112" s="212">
        <f>'Workplace Smoking Costs'!$S359</f>
        <v>233712964.0660547</v>
      </c>
      <c r="AM112" s="212">
        <f t="shared" ref="AM112:AM125" si="96">AJ112+AK112+AL112</f>
        <v>377882888.8875246</v>
      </c>
      <c r="AN112" s="213">
        <f t="shared" ref="AN112:AN125" si="97">X112+AG112+AM112</f>
        <v>632077956.08752465</v>
      </c>
      <c r="AO112" s="213">
        <f t="shared" ref="AO112:AO125" si="98">Y112+AH112+AM112</f>
        <v>575623744.68752456</v>
      </c>
      <c r="AP112" s="213">
        <f t="shared" ref="AP112:AP125" si="99">Z112+AI112+AM112</f>
        <v>789649499.8875246</v>
      </c>
      <c r="AQ112" s="212">
        <f>tblTotalCosts_Base[Gross Domestic Product (GDP)]</f>
        <v>33921600000</v>
      </c>
      <c r="AR112" s="214">
        <f t="shared" si="88"/>
        <v>1.863349476697811E-2</v>
      </c>
      <c r="AS112" s="214">
        <f t="shared" si="89"/>
        <v>1.6969239207098856E-2</v>
      </c>
      <c r="AT112" s="214">
        <f t="shared" si="90"/>
        <v>2.3278663149365733E-2</v>
      </c>
      <c r="AU112" s="188">
        <f>'Healthcare Expenditures'!$AL108</f>
        <v>8076736.8000000119</v>
      </c>
      <c r="AV112" s="188">
        <f>'Healthcare Expenditures'!$AM108</f>
        <v>6880183.2000000179</v>
      </c>
      <c r="AW112" s="188">
        <f>'Healthcare Expenditures'!$AN108</f>
        <v>12962664</v>
      </c>
      <c r="AX112" s="188">
        <f>'Healthcare Expenditures'!$AO108</f>
        <v>2928538.799999997</v>
      </c>
      <c r="AY112" s="188">
        <f>'Healthcare Expenditures'!$AP108</f>
        <v>2494681.2000000104</v>
      </c>
      <c r="AZ112" s="188">
        <f>'Healthcare Expenditures'!$AQ108</f>
        <v>4700124</v>
      </c>
      <c r="BA112" s="188">
        <f>'Healthcare Expenditures'!$AR108</f>
        <v>4628566.799999997</v>
      </c>
      <c r="BB112" s="188">
        <f>'Healthcare Expenditures'!$AS108</f>
        <v>3942853.2000000179</v>
      </c>
      <c r="BC112" s="188">
        <f>'Healthcare Expenditures'!$AT108</f>
        <v>7428564</v>
      </c>
      <c r="BD112" s="166">
        <f>'Mortality Costs'!$N176</f>
        <v>5470352</v>
      </c>
      <c r="BE112" s="166">
        <f>'Mortality Costs'!$O176</f>
        <v>3545589</v>
      </c>
      <c r="BF112" s="166">
        <f>'Mortality Costs'!$P176</f>
        <v>7763489</v>
      </c>
      <c r="BG112" s="166">
        <f>'Workplace Smoking Costs'!$V121</f>
        <v>3018707.915406853</v>
      </c>
      <c r="BH112" s="166">
        <f>'Workplace Smoking Costs'!$V240</f>
        <v>2925824.5949328095</v>
      </c>
      <c r="BI112" s="166">
        <f>'Workplace Smoking Costs'!$V359</f>
        <v>9636644.4991834164</v>
      </c>
      <c r="BJ112" s="166">
        <f t="shared" ref="BJ112:BJ125" si="100">BG112+BH112+BI112</f>
        <v>15581177.009523079</v>
      </c>
      <c r="BK112" s="166">
        <f t="shared" ref="BK112:BK125" si="101">AU112+BD112+BJ112</f>
        <v>29128265.809523091</v>
      </c>
      <c r="BL112" s="166">
        <f t="shared" si="91"/>
        <v>26006949.209523097</v>
      </c>
      <c r="BM112" s="166">
        <f t="shared" si="92"/>
        <v>36307330.009523079</v>
      </c>
      <c r="BN112" s="215">
        <f>SUM('Intervention Costs'!$E$43+'Intervention Costs'!$D$43+'Intervention Costs'!$G$43+'Intervention Costs'!$F$43)</f>
        <v>1239351.5852383957</v>
      </c>
      <c r="BO112" s="166">
        <f t="shared" si="93"/>
        <v>23.50282692696933</v>
      </c>
      <c r="BP112" s="166">
        <f t="shared" si="94"/>
        <v>20.984319154697758</v>
      </c>
      <c r="BQ112" s="216">
        <f t="shared" si="95"/>
        <v>29.295423866778833</v>
      </c>
    </row>
    <row r="113" spans="2:69">
      <c r="B113" s="210">
        <v>3</v>
      </c>
      <c r="C113" s="211" t="s">
        <v>121</v>
      </c>
      <c r="D113" s="212">
        <f>'Healthcare Expenditures'!$J109</f>
        <v>203958000</v>
      </c>
      <c r="E113" s="212">
        <f>'Healthcare Expenditures'!$K109</f>
        <v>173742000</v>
      </c>
      <c r="F113" s="212">
        <f>'Healthcare Expenditures'!$L109</f>
        <v>327340000</v>
      </c>
      <c r="G113" s="212">
        <f>'Healthcare Expenditures'!$M109</f>
        <v>73953000</v>
      </c>
      <c r="H113" s="212">
        <f>'Healthcare Expenditures'!$N109</f>
        <v>62997000.000000007</v>
      </c>
      <c r="I113" s="212">
        <f>'Healthcare Expenditures'!$O109</f>
        <v>118690000</v>
      </c>
      <c r="J113" s="212">
        <f>'Healthcare Expenditures'!$P109</f>
        <v>116883000</v>
      </c>
      <c r="K113" s="212">
        <f>'Healthcare Expenditures'!$Q109</f>
        <v>99567000.000000015</v>
      </c>
      <c r="L113" s="212">
        <f>'Healthcare Expenditures'!$R109</f>
        <v>187590000</v>
      </c>
      <c r="M113" s="212">
        <f>'Mortality Costs'!$G177</f>
        <v>64103066</v>
      </c>
      <c r="N113" s="212">
        <f>'Mortality Costs'!$H177</f>
        <v>34596732</v>
      </c>
      <c r="O113" s="212">
        <f>'Mortality Costs'!$I177</f>
        <v>105678517</v>
      </c>
      <c r="P113" s="212">
        <f>'Workplace Smoking Costs'!$K122</f>
        <v>76229997.863809526</v>
      </c>
      <c r="Q113" s="212">
        <f>'Workplace Smoking Costs'!$K241</f>
        <v>73884459.46800001</v>
      </c>
      <c r="R113" s="212">
        <f>'Workplace Smoking Costs'!$K360</f>
        <v>243349608.56523812</v>
      </c>
      <c r="S113" s="212">
        <f t="shared" si="84"/>
        <v>393464065.89704764</v>
      </c>
      <c r="T113" s="213">
        <f t="shared" si="85"/>
        <v>661525131.89704764</v>
      </c>
      <c r="U113" s="213">
        <f t="shared" si="86"/>
        <v>601802797.89704764</v>
      </c>
      <c r="V113" s="213">
        <f t="shared" si="87"/>
        <v>826482582.89704764</v>
      </c>
      <c r="W113" s="355">
        <f>'Intervention Impacts'!$F$65</f>
        <v>-0.02</v>
      </c>
      <c r="X113" s="212">
        <f>'Healthcare Expenditures'!$Z109</f>
        <v>191963637.93599999</v>
      </c>
      <c r="Y113" s="212">
        <f>'Healthcare Expenditures'!$AA109</f>
        <v>163524580.46399999</v>
      </c>
      <c r="Z113" s="212">
        <f>'Healthcare Expenditures'!$AB109</f>
        <v>308089789.27999997</v>
      </c>
      <c r="AA113" s="212">
        <f>'Healthcare Expenditures'!$AC109</f>
        <v>69603971.975999996</v>
      </c>
      <c r="AB113" s="212">
        <f>'Healthcare Expenditures'!$AD109</f>
        <v>59292272.423999995</v>
      </c>
      <c r="AC113" s="212">
        <f>'Healthcare Expenditures'!$AE109</f>
        <v>111710078.48</v>
      </c>
      <c r="AD113" s="212">
        <f>'Healthcare Expenditures'!$AF109</f>
        <v>110009344.536</v>
      </c>
      <c r="AE113" s="212">
        <f>'Healthcare Expenditures'!$AG109</f>
        <v>93711663.863999993</v>
      </c>
      <c r="AF113" s="212">
        <f>'Healthcare Expenditures'!$AH109</f>
        <v>176558207.28</v>
      </c>
      <c r="AG113" s="212">
        <f>'Mortality Costs'!$K177</f>
        <v>57559492</v>
      </c>
      <c r="AH113" s="212">
        <f>'Mortality Costs'!$L177</f>
        <v>30487357</v>
      </c>
      <c r="AI113" s="212">
        <f>'Mortality Costs'!$M177</f>
        <v>96071392</v>
      </c>
      <c r="AJ113" s="212">
        <f>'Workplace Smoking Costs'!$S122</f>
        <v>71747064.149434626</v>
      </c>
      <c r="AK113" s="212">
        <f>'Workplace Smoking Costs'!$S241</f>
        <v>69539462.175605863</v>
      </c>
      <c r="AL113" s="212">
        <f>'Workplace Smoking Costs'!$S360</f>
        <v>229038704.78473359</v>
      </c>
      <c r="AM113" s="212">
        <f t="shared" si="96"/>
        <v>370325231.10977411</v>
      </c>
      <c r="AN113" s="213">
        <f t="shared" si="97"/>
        <v>619848361.0457741</v>
      </c>
      <c r="AO113" s="213">
        <f t="shared" si="98"/>
        <v>564337168.5737741</v>
      </c>
      <c r="AP113" s="213">
        <f t="shared" si="99"/>
        <v>774486412.38977408</v>
      </c>
      <c r="AQ113" s="212">
        <f>tblTotalCosts_Base[Gross Domestic Product (GDP)]</f>
        <v>33921600000</v>
      </c>
      <c r="AR113" s="214">
        <f t="shared" si="88"/>
        <v>1.8272969466233139E-2</v>
      </c>
      <c r="AS113" s="214">
        <f t="shared" si="89"/>
        <v>1.6636513860601332E-2</v>
      </c>
      <c r="AT113" s="214">
        <f t="shared" si="90"/>
        <v>2.2831659249262243E-2</v>
      </c>
      <c r="AU113" s="188">
        <f>'Healthcare Expenditures'!$AL109</f>
        <v>11994362.06400001</v>
      </c>
      <c r="AV113" s="188">
        <f>'Healthcare Expenditures'!$AM109</f>
        <v>10217419.536000013</v>
      </c>
      <c r="AW113" s="188">
        <f>'Healthcare Expenditures'!$AN109</f>
        <v>19250210.720000029</v>
      </c>
      <c r="AX113" s="188">
        <f>'Healthcare Expenditures'!$AO109</f>
        <v>4349028.0240000039</v>
      </c>
      <c r="AY113" s="188">
        <f>'Healthcare Expenditures'!$AP109</f>
        <v>3704727.5760000125</v>
      </c>
      <c r="AZ113" s="188">
        <f>'Healthcare Expenditures'!$AQ109</f>
        <v>6979921.5199999958</v>
      </c>
      <c r="BA113" s="188">
        <f>'Healthcare Expenditures'!$AR109</f>
        <v>6873655.4640000015</v>
      </c>
      <c r="BB113" s="188">
        <f>'Healthcare Expenditures'!$AS109</f>
        <v>5855336.1360000223</v>
      </c>
      <c r="BC113" s="188">
        <f>'Healthcare Expenditures'!$AT109</f>
        <v>11031792.719999999</v>
      </c>
      <c r="BD113" s="166">
        <f>'Mortality Costs'!$N177</f>
        <v>6543574</v>
      </c>
      <c r="BE113" s="166">
        <f>'Mortality Costs'!$O177</f>
        <v>4109375</v>
      </c>
      <c r="BF113" s="166">
        <f>'Mortality Costs'!$P177</f>
        <v>9607125</v>
      </c>
      <c r="BG113" s="166">
        <f>'Workplace Smoking Costs'!$V122</f>
        <v>4482933.7143748999</v>
      </c>
      <c r="BH113" s="166">
        <f>'Workplace Smoking Costs'!$V241</f>
        <v>4344997.2923941463</v>
      </c>
      <c r="BI113" s="166">
        <f>'Workplace Smoking Costs'!$V360</f>
        <v>14310903.780504525</v>
      </c>
      <c r="BJ113" s="166">
        <f t="shared" si="100"/>
        <v>23138834.787273571</v>
      </c>
      <c r="BK113" s="166">
        <f t="shared" si="101"/>
        <v>41676770.851273581</v>
      </c>
      <c r="BL113" s="166">
        <f t="shared" si="91"/>
        <v>37465629.323273584</v>
      </c>
      <c r="BM113" s="166">
        <f t="shared" si="92"/>
        <v>51996170.5072736</v>
      </c>
      <c r="BN113" s="215">
        <f>SUM('Intervention Costs'!$E$44+'Intervention Costs'!$D$44+'Intervention Costs'!$G$44+'Intervention Costs'!$F$44)</f>
        <v>837959.39977647236</v>
      </c>
      <c r="BO113" s="166">
        <f t="shared" si="93"/>
        <v>49.736026426090518</v>
      </c>
      <c r="BP113" s="166">
        <f t="shared" si="94"/>
        <v>44.710554393527453</v>
      </c>
      <c r="BQ113" s="216">
        <f t="shared" si="95"/>
        <v>62.050942469460573</v>
      </c>
    </row>
    <row r="114" spans="2:69">
      <c r="B114" s="210">
        <v>4</v>
      </c>
      <c r="C114" s="211" t="s">
        <v>121</v>
      </c>
      <c r="D114" s="212">
        <f>'Healthcare Expenditures'!$J110</f>
        <v>203958000</v>
      </c>
      <c r="E114" s="212">
        <f>'Healthcare Expenditures'!$K110</f>
        <v>173742000</v>
      </c>
      <c r="F114" s="212">
        <f>'Healthcare Expenditures'!$L110</f>
        <v>327340000</v>
      </c>
      <c r="G114" s="212">
        <f>'Healthcare Expenditures'!$M110</f>
        <v>73953000</v>
      </c>
      <c r="H114" s="212">
        <f>'Healthcare Expenditures'!$N110</f>
        <v>62997000.000000007</v>
      </c>
      <c r="I114" s="212">
        <f>'Healthcare Expenditures'!$O110</f>
        <v>118690000</v>
      </c>
      <c r="J114" s="212">
        <f>'Healthcare Expenditures'!$P110</f>
        <v>116883000</v>
      </c>
      <c r="K114" s="212">
        <f>'Healthcare Expenditures'!$Q110</f>
        <v>99567000.000000015</v>
      </c>
      <c r="L114" s="212">
        <f>'Healthcare Expenditures'!$R110</f>
        <v>187590000</v>
      </c>
      <c r="M114" s="212">
        <f>'Mortality Costs'!$G178</f>
        <v>64423567</v>
      </c>
      <c r="N114" s="212">
        <f>'Mortality Costs'!$H178</f>
        <v>34769710</v>
      </c>
      <c r="O114" s="212">
        <f>'Mortality Costs'!$I178</f>
        <v>106206876</v>
      </c>
      <c r="P114" s="212">
        <f>'Workplace Smoking Costs'!$K123</f>
        <v>76229997.863809526</v>
      </c>
      <c r="Q114" s="212">
        <f>'Workplace Smoking Costs'!$K242</f>
        <v>73884459.46800001</v>
      </c>
      <c r="R114" s="212">
        <f>'Workplace Smoking Costs'!$K361</f>
        <v>243349608.56523812</v>
      </c>
      <c r="S114" s="212">
        <f t="shared" si="84"/>
        <v>393464065.89704764</v>
      </c>
      <c r="T114" s="213">
        <f t="shared" si="85"/>
        <v>661845632.89704764</v>
      </c>
      <c r="U114" s="213">
        <f t="shared" si="86"/>
        <v>601975775.89704764</v>
      </c>
      <c r="V114" s="213">
        <f t="shared" si="87"/>
        <v>827010941.89704764</v>
      </c>
      <c r="W114" s="355">
        <f>'Intervention Impacts'!$F$66</f>
        <v>-0.02</v>
      </c>
      <c r="X114" s="212">
        <f>'Healthcare Expenditures'!$Z110</f>
        <v>188124365.17727998</v>
      </c>
      <c r="Y114" s="212">
        <f>'Healthcare Expenditures'!$AA110</f>
        <v>160254088.85471997</v>
      </c>
      <c r="Z114" s="212">
        <f>'Healthcare Expenditures'!$AB110</f>
        <v>301927993.49440002</v>
      </c>
      <c r="AA114" s="212">
        <f>'Healthcare Expenditures'!$AC110</f>
        <v>68211892.536479995</v>
      </c>
      <c r="AB114" s="212">
        <f>'Healthcare Expenditures'!$AD110</f>
        <v>58106426.975519992</v>
      </c>
      <c r="AC114" s="212">
        <f>'Healthcare Expenditures'!$AE110</f>
        <v>109475876.9104</v>
      </c>
      <c r="AD114" s="212">
        <f>'Healthcare Expenditures'!$AF110</f>
        <v>107809157.64527999</v>
      </c>
      <c r="AE114" s="212">
        <f>'Healthcare Expenditures'!$AG110</f>
        <v>91837430.58671999</v>
      </c>
      <c r="AF114" s="212">
        <f>'Healthcare Expenditures'!$AH110</f>
        <v>173027043.13440001</v>
      </c>
      <c r="AG114" s="212">
        <f>'Mortality Costs'!$K178</f>
        <v>56777593</v>
      </c>
      <c r="AH114" s="212">
        <f>'Mortality Costs'!$L178</f>
        <v>30072381</v>
      </c>
      <c r="AI114" s="212">
        <f>'Mortality Costs'!$M178</f>
        <v>94561173</v>
      </c>
      <c r="AJ114" s="212">
        <f>'Workplace Smoking Costs'!$S123</f>
        <v>70312122.866445929</v>
      </c>
      <c r="AK114" s="212">
        <f>'Workplace Smoking Costs'!$S242</f>
        <v>68148672.932093754</v>
      </c>
      <c r="AL114" s="212">
        <f>'Workplace Smoking Costs'!$S361</f>
        <v>224457930.68903896</v>
      </c>
      <c r="AM114" s="212">
        <f t="shared" si="96"/>
        <v>362918726.48757863</v>
      </c>
      <c r="AN114" s="213">
        <f t="shared" si="97"/>
        <v>607820684.66485858</v>
      </c>
      <c r="AO114" s="213">
        <f t="shared" si="98"/>
        <v>553245196.34229863</v>
      </c>
      <c r="AP114" s="213">
        <f t="shared" si="99"/>
        <v>759407892.98197865</v>
      </c>
      <c r="AQ114" s="212">
        <f>tblTotalCosts_Base[Gross Domestic Product (GDP)]</f>
        <v>33921600000</v>
      </c>
      <c r="AR114" s="214">
        <f t="shared" si="88"/>
        <v>1.7918396675417982E-2</v>
      </c>
      <c r="AS114" s="214">
        <f t="shared" si="89"/>
        <v>1.6309525386252376E-2</v>
      </c>
      <c r="AT114" s="214">
        <f t="shared" si="90"/>
        <v>2.2387148394591608E-2</v>
      </c>
      <c r="AU114" s="188">
        <f>'Healthcare Expenditures'!$AL110</f>
        <v>15833634.822720021</v>
      </c>
      <c r="AV114" s="188">
        <f>'Healthcare Expenditures'!$AM110</f>
        <v>13487911.145280033</v>
      </c>
      <c r="AW114" s="188">
        <f>'Healthcare Expenditures'!$AN110</f>
        <v>25412006.505599976</v>
      </c>
      <c r="AX114" s="188">
        <f>'Healthcare Expenditures'!$AO110</f>
        <v>5741107.4635200053</v>
      </c>
      <c r="AY114" s="188">
        <f>'Healthcare Expenditures'!$AP110</f>
        <v>4890573.024480015</v>
      </c>
      <c r="AZ114" s="188">
        <f>'Healthcare Expenditures'!$AQ110</f>
        <v>9214123.0895999968</v>
      </c>
      <c r="BA114" s="188">
        <f>'Healthcare Expenditures'!$AR110</f>
        <v>9073842.3547200114</v>
      </c>
      <c r="BB114" s="188">
        <f>'Healthcare Expenditures'!$AS110</f>
        <v>7729569.4132800251</v>
      </c>
      <c r="BC114" s="188">
        <f>'Healthcare Expenditures'!$AT110</f>
        <v>14562956.86559999</v>
      </c>
      <c r="BD114" s="166">
        <f>'Mortality Costs'!$N178</f>
        <v>7645974</v>
      </c>
      <c r="BE114" s="166">
        <f>'Mortality Costs'!$O178</f>
        <v>4697329</v>
      </c>
      <c r="BF114" s="166">
        <f>'Mortality Costs'!$P178</f>
        <v>11645703</v>
      </c>
      <c r="BG114" s="166">
        <f>'Workplace Smoking Costs'!$V123</f>
        <v>5917874.9973635972</v>
      </c>
      <c r="BH114" s="166">
        <f>'Workplace Smoking Costs'!$V242</f>
        <v>5735786.5359062552</v>
      </c>
      <c r="BI114" s="166">
        <f>'Workplace Smoking Costs'!$V361</f>
        <v>18891677.876199156</v>
      </c>
      <c r="BJ114" s="166">
        <f t="shared" si="100"/>
        <v>30545339.409469008</v>
      </c>
      <c r="BK114" s="166">
        <f t="shared" si="101"/>
        <v>54024948.232189029</v>
      </c>
      <c r="BL114" s="166">
        <f t="shared" si="91"/>
        <v>48730579.554749042</v>
      </c>
      <c r="BM114" s="166">
        <f t="shared" si="92"/>
        <v>67603048.915068984</v>
      </c>
      <c r="BN114" s="215">
        <f>SUM('Intervention Costs'!$E$45+'Intervention Costs'!$D$45+'Intervention Costs'!$G$45+'Intervention Costs'!$F$45)</f>
        <v>855330.42127871746</v>
      </c>
      <c r="BO114" s="166">
        <f t="shared" si="93"/>
        <v>63.162664261867157</v>
      </c>
      <c r="BP114" s="166">
        <f t="shared" si="94"/>
        <v>56.972812310237849</v>
      </c>
      <c r="BQ114" s="216">
        <f t="shared" si="95"/>
        <v>79.037348880918501</v>
      </c>
    </row>
    <row r="115" spans="2:69">
      <c r="B115" s="210">
        <v>5</v>
      </c>
      <c r="C115" s="211" t="s">
        <v>121</v>
      </c>
      <c r="D115" s="212">
        <f>'Healthcare Expenditures'!$J111</f>
        <v>203958000</v>
      </c>
      <c r="E115" s="212">
        <f>'Healthcare Expenditures'!$K111</f>
        <v>173742000</v>
      </c>
      <c r="F115" s="212">
        <f>'Healthcare Expenditures'!$L111</f>
        <v>327340000</v>
      </c>
      <c r="G115" s="212">
        <f>'Healthcare Expenditures'!$M111</f>
        <v>73953000</v>
      </c>
      <c r="H115" s="212">
        <f>'Healthcare Expenditures'!$N111</f>
        <v>62997000.000000007</v>
      </c>
      <c r="I115" s="212">
        <f>'Healthcare Expenditures'!$O111</f>
        <v>118690000</v>
      </c>
      <c r="J115" s="212">
        <f>'Healthcare Expenditures'!$P111</f>
        <v>116883000</v>
      </c>
      <c r="K115" s="212">
        <f>'Healthcare Expenditures'!$Q111</f>
        <v>99567000.000000015</v>
      </c>
      <c r="L115" s="212">
        <f>'Healthcare Expenditures'!$R111</f>
        <v>187590000</v>
      </c>
      <c r="M115" s="212">
        <f>'Mortality Costs'!$G179</f>
        <v>64745714</v>
      </c>
      <c r="N115" s="212">
        <f>'Mortality Costs'!$H179</f>
        <v>34943589</v>
      </c>
      <c r="O115" s="212">
        <f>'Mortality Costs'!$I179</f>
        <v>106737953</v>
      </c>
      <c r="P115" s="212">
        <f>'Workplace Smoking Costs'!$K124</f>
        <v>76229997.863809526</v>
      </c>
      <c r="Q115" s="212">
        <f>'Workplace Smoking Costs'!$K243</f>
        <v>73884459.46800001</v>
      </c>
      <c r="R115" s="212">
        <f>'Workplace Smoking Costs'!$K362</f>
        <v>243349608.56523812</v>
      </c>
      <c r="S115" s="212">
        <f t="shared" si="84"/>
        <v>393464065.89704764</v>
      </c>
      <c r="T115" s="213">
        <f t="shared" si="85"/>
        <v>662167779.89704764</v>
      </c>
      <c r="U115" s="213">
        <f t="shared" si="86"/>
        <v>602149654.89704764</v>
      </c>
      <c r="V115" s="213">
        <f t="shared" si="87"/>
        <v>827542018.89704764</v>
      </c>
      <c r="W115" s="355">
        <f>'Intervention Impacts'!$F$67</f>
        <v>-0.02</v>
      </c>
      <c r="X115" s="212">
        <f>'Healthcare Expenditures'!$Z111</f>
        <v>184361877.87373438</v>
      </c>
      <c r="Y115" s="212">
        <f>'Healthcare Expenditures'!$AA111</f>
        <v>157049007.07762557</v>
      </c>
      <c r="Z115" s="212">
        <f>'Healthcare Expenditures'!$AB111</f>
        <v>295889433.62451196</v>
      </c>
      <c r="AA115" s="212">
        <f>'Healthcare Expenditures'!$AC111</f>
        <v>66847654.685750388</v>
      </c>
      <c r="AB115" s="212">
        <f>'Healthcare Expenditures'!$AD111</f>
        <v>56944298.436009593</v>
      </c>
      <c r="AC115" s="212">
        <f>'Healthcare Expenditures'!$AE111</f>
        <v>107286359.372192</v>
      </c>
      <c r="AD115" s="212">
        <f>'Healthcare Expenditures'!$AF111</f>
        <v>105652974.49237439</v>
      </c>
      <c r="AE115" s="212">
        <f>'Healthcare Expenditures'!$AG111</f>
        <v>90000681.974985585</v>
      </c>
      <c r="AF115" s="212">
        <f>'Healthcare Expenditures'!$AH111</f>
        <v>169566502.27171201</v>
      </c>
      <c r="AG115" s="212">
        <f>'Mortality Costs'!$K179</f>
        <v>56042532</v>
      </c>
      <c r="AH115" s="212">
        <f>'Mortality Costs'!$L179</f>
        <v>29764697</v>
      </c>
      <c r="AI115" s="212">
        <f>'Mortality Costs'!$M179</f>
        <v>93276522</v>
      </c>
      <c r="AJ115" s="212">
        <f>'Workplace Smoking Costs'!$S124</f>
        <v>68905880.409116998</v>
      </c>
      <c r="AK115" s="212">
        <f>'Workplace Smoking Costs'!$S243</f>
        <v>66785699.47345186</v>
      </c>
      <c r="AL115" s="212">
        <f>'Workplace Smoking Costs'!$S362</f>
        <v>219968772.07525814</v>
      </c>
      <c r="AM115" s="212">
        <f t="shared" si="96"/>
        <v>355660351.95782697</v>
      </c>
      <c r="AN115" s="213">
        <f t="shared" si="97"/>
        <v>596064761.83156133</v>
      </c>
      <c r="AO115" s="213">
        <f t="shared" si="98"/>
        <v>542474056.0354526</v>
      </c>
      <c r="AP115" s="213">
        <f t="shared" si="99"/>
        <v>744826307.58233893</v>
      </c>
      <c r="AQ115" s="212">
        <f>tblTotalCosts_Base[Gross Domestic Product (GDP)]</f>
        <v>33921600000</v>
      </c>
      <c r="AR115" s="214">
        <f t="shared" si="88"/>
        <v>1.7571835108944191E-2</v>
      </c>
      <c r="AS115" s="214">
        <f t="shared" si="89"/>
        <v>1.5991994954113384E-2</v>
      </c>
      <c r="AT115" s="214">
        <f t="shared" si="90"/>
        <v>2.1957287026034708E-2</v>
      </c>
      <c r="AU115" s="188">
        <f>'Healthcare Expenditures'!$AL111</f>
        <v>19596122.126265615</v>
      </c>
      <c r="AV115" s="188">
        <f>'Healthcare Expenditures'!$AM111</f>
        <v>16692992.922374427</v>
      </c>
      <c r="AW115" s="188">
        <f>'Healthcare Expenditures'!$AN111</f>
        <v>31450566.375488043</v>
      </c>
      <c r="AX115" s="188">
        <f>'Healthcare Expenditures'!$AO111</f>
        <v>7105345.3142496124</v>
      </c>
      <c r="AY115" s="188">
        <f>'Healthcare Expenditures'!$AP111</f>
        <v>6052701.5639904141</v>
      </c>
      <c r="AZ115" s="188">
        <f>'Healthcare Expenditures'!$AQ111</f>
        <v>11403640.627808005</v>
      </c>
      <c r="BA115" s="188">
        <f>'Healthcare Expenditures'!$AR111</f>
        <v>11230025.50762561</v>
      </c>
      <c r="BB115" s="188">
        <f>'Healthcare Expenditures'!$AS111</f>
        <v>9566318.0250144303</v>
      </c>
      <c r="BC115" s="188">
        <f>'Healthcare Expenditures'!$AT111</f>
        <v>18023497.728287995</v>
      </c>
      <c r="BD115" s="166">
        <f>'Mortality Costs'!$N179</f>
        <v>8703182</v>
      </c>
      <c r="BE115" s="166">
        <f>'Mortality Costs'!$O179</f>
        <v>5178892</v>
      </c>
      <c r="BF115" s="166">
        <f>'Mortality Costs'!$P179</f>
        <v>13461431</v>
      </c>
      <c r="BG115" s="166">
        <f>'Workplace Smoking Costs'!$V124</f>
        <v>7324117.4546925277</v>
      </c>
      <c r="BH115" s="166">
        <f>'Workplace Smoking Costs'!$V243</f>
        <v>7098759.9945481494</v>
      </c>
      <c r="BI115" s="166">
        <f>'Workplace Smoking Costs'!$V362</f>
        <v>23380836.489979982</v>
      </c>
      <c r="BJ115" s="166">
        <f t="shared" si="100"/>
        <v>37803713.939220659</v>
      </c>
      <c r="BK115" s="166">
        <f t="shared" si="101"/>
        <v>66103018.065486275</v>
      </c>
      <c r="BL115" s="166">
        <f t="shared" si="91"/>
        <v>59675598.861595087</v>
      </c>
      <c r="BM115" s="166">
        <f t="shared" si="92"/>
        <v>82715711.31470871</v>
      </c>
      <c r="BN115" s="215">
        <f>SUM('Intervention Costs'!$E$46+'Intervention Costs'!$D$46+'Intervention Costs'!$G$46+'Intervention Costs'!$F$46)</f>
        <v>837959.39977647236</v>
      </c>
      <c r="BO115" s="166">
        <f t="shared" si="93"/>
        <v>78.885705062941483</v>
      </c>
      <c r="BP115" s="166">
        <f t="shared" si="94"/>
        <v>71.2153821265251</v>
      </c>
      <c r="BQ115" s="216">
        <f t="shared" si="95"/>
        <v>98.710881859876892</v>
      </c>
    </row>
    <row r="116" spans="2:69">
      <c r="B116" s="210">
        <v>6</v>
      </c>
      <c r="C116" s="211" t="s">
        <v>121</v>
      </c>
      <c r="D116" s="212">
        <f>'Healthcare Expenditures'!$J112</f>
        <v>203958000</v>
      </c>
      <c r="E116" s="212">
        <f>'Healthcare Expenditures'!$K112</f>
        <v>173742000</v>
      </c>
      <c r="F116" s="212">
        <f>'Healthcare Expenditures'!$L112</f>
        <v>327340000</v>
      </c>
      <c r="G116" s="212">
        <f>'Healthcare Expenditures'!$M112</f>
        <v>73953000</v>
      </c>
      <c r="H116" s="212">
        <f>'Healthcare Expenditures'!$N112</f>
        <v>62997000.000000007</v>
      </c>
      <c r="I116" s="212">
        <f>'Healthcare Expenditures'!$O112</f>
        <v>118690000</v>
      </c>
      <c r="J116" s="212">
        <f>'Healthcare Expenditures'!$P112</f>
        <v>116883000</v>
      </c>
      <c r="K116" s="212">
        <f>'Healthcare Expenditures'!$Q112</f>
        <v>99567000.000000015</v>
      </c>
      <c r="L116" s="212">
        <f>'Healthcare Expenditures'!$R112</f>
        <v>187590000</v>
      </c>
      <c r="M116" s="212">
        <f>'Mortality Costs'!$G180</f>
        <v>65069283</v>
      </c>
      <c r="N116" s="212">
        <f>'Mortality Costs'!$H180</f>
        <v>35118184</v>
      </c>
      <c r="O116" s="212">
        <f>'Mortality Costs'!$I180</f>
        <v>107271458</v>
      </c>
      <c r="P116" s="212">
        <f>'Workplace Smoking Costs'!$K125</f>
        <v>76229997.863809526</v>
      </c>
      <c r="Q116" s="212">
        <f>'Workplace Smoking Costs'!$K244</f>
        <v>73884459.46800001</v>
      </c>
      <c r="R116" s="212">
        <f>'Workplace Smoking Costs'!$K363</f>
        <v>243349608.56523812</v>
      </c>
      <c r="S116" s="212">
        <f t="shared" si="84"/>
        <v>393464065.89704764</v>
      </c>
      <c r="T116" s="213">
        <f t="shared" si="85"/>
        <v>662491348.89704764</v>
      </c>
      <c r="U116" s="213">
        <f t="shared" si="86"/>
        <v>602324249.89704764</v>
      </c>
      <c r="V116" s="213">
        <f t="shared" si="87"/>
        <v>828075523.89704764</v>
      </c>
      <c r="W116" s="355">
        <f>'Intervention Impacts'!$F$68</f>
        <v>-1.9999999999999992E-3</v>
      </c>
      <c r="X116" s="212">
        <f>'Healthcare Expenditures'!$Z112</f>
        <v>183993154.11798692</v>
      </c>
      <c r="Y116" s="212">
        <f>'Healthcare Expenditures'!$AA112</f>
        <v>156734909.06347033</v>
      </c>
      <c r="Z116" s="212">
        <f>'Healthcare Expenditures'!$AB112</f>
        <v>295297654.75726295</v>
      </c>
      <c r="AA116" s="212">
        <f>'Healthcare Expenditures'!$AC112</f>
        <v>66713959.376378894</v>
      </c>
      <c r="AB116" s="212">
        <f>'Healthcare Expenditures'!$AD112</f>
        <v>56830409.839137577</v>
      </c>
      <c r="AC116" s="212">
        <f>'Healthcare Expenditures'!$AE112</f>
        <v>107071786.65344761</v>
      </c>
      <c r="AD116" s="212">
        <f>'Healthcare Expenditures'!$AF112</f>
        <v>105441668.54338965</v>
      </c>
      <c r="AE116" s="212">
        <f>'Healthcare Expenditures'!$AG112</f>
        <v>89820680.611035615</v>
      </c>
      <c r="AF116" s="212">
        <f>'Healthcare Expenditures'!$AH112</f>
        <v>169227369.26716858</v>
      </c>
      <c r="AG116" s="212">
        <f>'Mortality Costs'!$K180</f>
        <v>56219290</v>
      </c>
      <c r="AH116" s="212">
        <f>'Mortality Costs'!$L180</f>
        <v>29866471</v>
      </c>
      <c r="AI116" s="212">
        <f>'Mortality Costs'!$M180</f>
        <v>93601863</v>
      </c>
      <c r="AJ116" s="212">
        <f>'Workplace Smoking Costs'!$S125</f>
        <v>68768068.648298785</v>
      </c>
      <c r="AK116" s="212">
        <f>'Workplace Smoking Costs'!$S244</f>
        <v>66652128.074504972</v>
      </c>
      <c r="AL116" s="212">
        <f>'Workplace Smoking Costs'!$S363</f>
        <v>219528834.53110766</v>
      </c>
      <c r="AM116" s="212">
        <f t="shared" si="96"/>
        <v>354949031.25391144</v>
      </c>
      <c r="AN116" s="213">
        <f t="shared" si="97"/>
        <v>595161475.37189841</v>
      </c>
      <c r="AO116" s="213">
        <f t="shared" si="98"/>
        <v>541550411.31738174</v>
      </c>
      <c r="AP116" s="213">
        <f t="shared" si="99"/>
        <v>743848549.01117444</v>
      </c>
      <c r="AQ116" s="212">
        <f>tblTotalCosts_Base[Gross Domestic Product (GDP)]</f>
        <v>33921600000</v>
      </c>
      <c r="AR116" s="214">
        <f t="shared" si="88"/>
        <v>1.7545206457593346E-2</v>
      </c>
      <c r="AS116" s="214">
        <f t="shared" si="89"/>
        <v>1.596476614656684E-2</v>
      </c>
      <c r="AT116" s="214">
        <f t="shared" si="90"/>
        <v>2.1928462956086223E-2</v>
      </c>
      <c r="AU116" s="188">
        <f>'Healthcare Expenditures'!$AL112</f>
        <v>19964845.882013083</v>
      </c>
      <c r="AV116" s="188">
        <f>'Healthcare Expenditures'!$AM112</f>
        <v>17007090.936529666</v>
      </c>
      <c r="AW116" s="188">
        <f>'Healthcare Expenditures'!$AN112</f>
        <v>32042345.242737055</v>
      </c>
      <c r="AX116" s="188">
        <f>'Healthcare Expenditures'!$AO112</f>
        <v>7239040.6236211061</v>
      </c>
      <c r="AY116" s="188">
        <f>'Healthcare Expenditures'!$AP112</f>
        <v>6166590.1608624309</v>
      </c>
      <c r="AZ116" s="188">
        <f>'Healthcare Expenditures'!$AQ112</f>
        <v>11618213.346552387</v>
      </c>
      <c r="BA116" s="188">
        <f>'Healthcare Expenditures'!$AR112</f>
        <v>11441331.456610352</v>
      </c>
      <c r="BB116" s="188">
        <f>'Healthcare Expenditures'!$AS112</f>
        <v>9746319.3889643997</v>
      </c>
      <c r="BC116" s="188">
        <f>'Healthcare Expenditures'!$AT112</f>
        <v>18362630.732831419</v>
      </c>
      <c r="BD116" s="166">
        <f>'Mortality Costs'!$N180</f>
        <v>8849993</v>
      </c>
      <c r="BE116" s="166">
        <f>'Mortality Costs'!$O180</f>
        <v>5251713</v>
      </c>
      <c r="BF116" s="166">
        <f>'Mortality Costs'!$P180</f>
        <v>13669595</v>
      </c>
      <c r="BG116" s="166">
        <f>'Workplace Smoking Costs'!$V125</f>
        <v>7461929.2155107409</v>
      </c>
      <c r="BH116" s="166">
        <f>'Workplace Smoking Costs'!$V244</f>
        <v>7232331.3934950382</v>
      </c>
      <c r="BI116" s="166">
        <f>'Workplace Smoking Costs'!$V363</f>
        <v>23820774.034130454</v>
      </c>
      <c r="BJ116" s="166">
        <f t="shared" si="100"/>
        <v>38515034.643136233</v>
      </c>
      <c r="BK116" s="166">
        <f t="shared" si="101"/>
        <v>67329873.525149316</v>
      </c>
      <c r="BL116" s="166">
        <f t="shared" si="91"/>
        <v>60773838.579665899</v>
      </c>
      <c r="BM116" s="166">
        <f t="shared" si="92"/>
        <v>84226974.885873288</v>
      </c>
      <c r="BN116" s="215">
        <f>SUM('Intervention Costs'!$E$47+'Intervention Costs'!$D$47+'Intervention Costs'!$G$47+'Intervention Costs'!$F$47)</f>
        <v>661371.43756002001</v>
      </c>
      <c r="BO116" s="166">
        <f t="shared" si="93"/>
        <v>101.80341892832206</v>
      </c>
      <c r="BP116" s="166">
        <f t="shared" si="94"/>
        <v>91.890630783629234</v>
      </c>
      <c r="BQ116" s="216">
        <f t="shared" si="95"/>
        <v>127.35199934942703</v>
      </c>
    </row>
    <row r="117" spans="2:69">
      <c r="B117" s="210">
        <v>7</v>
      </c>
      <c r="C117" s="211" t="s">
        <v>121</v>
      </c>
      <c r="D117" s="212">
        <f>'Healthcare Expenditures'!$J113</f>
        <v>203958000</v>
      </c>
      <c r="E117" s="212">
        <f>'Healthcare Expenditures'!$K113</f>
        <v>173742000</v>
      </c>
      <c r="F117" s="212">
        <f>'Healthcare Expenditures'!$L113</f>
        <v>327340000</v>
      </c>
      <c r="G117" s="212">
        <f>'Healthcare Expenditures'!$M113</f>
        <v>73953000</v>
      </c>
      <c r="H117" s="212">
        <f>'Healthcare Expenditures'!$N113</f>
        <v>62997000.000000007</v>
      </c>
      <c r="I117" s="212">
        <f>'Healthcare Expenditures'!$O113</f>
        <v>118690000</v>
      </c>
      <c r="J117" s="212">
        <f>'Healthcare Expenditures'!$P113</f>
        <v>116883000</v>
      </c>
      <c r="K117" s="212">
        <f>'Healthcare Expenditures'!$Q113</f>
        <v>99567000.000000015</v>
      </c>
      <c r="L117" s="212">
        <f>'Healthcare Expenditures'!$R113</f>
        <v>187590000</v>
      </c>
      <c r="M117" s="212">
        <f>'Mortality Costs'!$G181</f>
        <v>65394678</v>
      </c>
      <c r="N117" s="212">
        <f>'Mortality Costs'!$H181</f>
        <v>35293800</v>
      </c>
      <c r="O117" s="212">
        <f>'Mortality Costs'!$I181</f>
        <v>107807880</v>
      </c>
      <c r="P117" s="212">
        <f>'Workplace Smoking Costs'!$K126</f>
        <v>76229997.863809526</v>
      </c>
      <c r="Q117" s="212">
        <f>'Workplace Smoking Costs'!$K245</f>
        <v>73884459.46800001</v>
      </c>
      <c r="R117" s="212">
        <f>'Workplace Smoking Costs'!$K364</f>
        <v>243349608.56523812</v>
      </c>
      <c r="S117" s="212">
        <f t="shared" si="84"/>
        <v>393464065.89704764</v>
      </c>
      <c r="T117" s="213">
        <f t="shared" si="85"/>
        <v>662816743.89704764</v>
      </c>
      <c r="U117" s="213">
        <f t="shared" si="86"/>
        <v>602499865.89704764</v>
      </c>
      <c r="V117" s="213">
        <f t="shared" si="87"/>
        <v>828611945.89704764</v>
      </c>
      <c r="W117" s="355">
        <f>'Intervention Impacts'!$F$69</f>
        <v>-1.9999999999999992E-3</v>
      </c>
      <c r="X117" s="212">
        <f>'Healthcare Expenditures'!$Z113</f>
        <v>183625167.80975094</v>
      </c>
      <c r="Y117" s="212">
        <f>'Healthcare Expenditures'!$AA113</f>
        <v>156421439.24534339</v>
      </c>
      <c r="Z117" s="212">
        <f>'Healthcare Expenditures'!$AB113</f>
        <v>294707059.44774842</v>
      </c>
      <c r="AA117" s="212">
        <f>'Healthcare Expenditures'!$AC113</f>
        <v>66580531.457626142</v>
      </c>
      <c r="AB117" s="212">
        <f>'Healthcare Expenditures'!$AD113</f>
        <v>56716749.0194593</v>
      </c>
      <c r="AC117" s="212">
        <f>'Healthcare Expenditures'!$AE113</f>
        <v>106857643.08014071</v>
      </c>
      <c r="AD117" s="212">
        <f>'Healthcare Expenditures'!$AF113</f>
        <v>105230785.20630287</v>
      </c>
      <c r="AE117" s="212">
        <f>'Healthcare Expenditures'!$AG113</f>
        <v>89641039.249813542</v>
      </c>
      <c r="AF117" s="212">
        <f>'Healthcare Expenditures'!$AH113</f>
        <v>168888914.52863422</v>
      </c>
      <c r="AG117" s="212">
        <f>'Mortality Costs'!$K181</f>
        <v>56443774</v>
      </c>
      <c r="AH117" s="212">
        <f>'Mortality Costs'!$L181</f>
        <v>29968614</v>
      </c>
      <c r="AI117" s="212">
        <f>'Mortality Costs'!$M181</f>
        <v>93937739</v>
      </c>
      <c r="AJ117" s="212">
        <f>'Workplace Smoking Costs'!$S126</f>
        <v>68630532.511002183</v>
      </c>
      <c r="AK117" s="212">
        <f>'Workplace Smoking Costs'!$S245</f>
        <v>66518823.818355955</v>
      </c>
      <c r="AL117" s="212">
        <f>'Workplace Smoking Costs'!$S364</f>
        <v>219089776.86204544</v>
      </c>
      <c r="AM117" s="212">
        <f t="shared" si="96"/>
        <v>354239133.19140357</v>
      </c>
      <c r="AN117" s="213">
        <f t="shared" si="97"/>
        <v>594308075.00115454</v>
      </c>
      <c r="AO117" s="213">
        <f t="shared" si="98"/>
        <v>540629186.43674695</v>
      </c>
      <c r="AP117" s="213">
        <f t="shared" si="99"/>
        <v>742883931.63915205</v>
      </c>
      <c r="AQ117" s="212">
        <f>tblTotalCosts_Base[Gross Domestic Product (GDP)]</f>
        <v>33921600000</v>
      </c>
      <c r="AR117" s="214">
        <f t="shared" si="88"/>
        <v>1.7520048435249357E-2</v>
      </c>
      <c r="AS117" s="214">
        <f t="shared" si="89"/>
        <v>1.5937608675202435E-2</v>
      </c>
      <c r="AT117" s="214">
        <f t="shared" si="90"/>
        <v>2.1900026285291734E-2</v>
      </c>
      <c r="AU117" s="188">
        <f>'Healthcare Expenditures'!$AL113</f>
        <v>20332832.190249056</v>
      </c>
      <c r="AV117" s="188">
        <f>'Healthcare Expenditures'!$AM113</f>
        <v>17320560.754656613</v>
      </c>
      <c r="AW117" s="188">
        <f>'Healthcare Expenditures'!$AN113</f>
        <v>32632940.552251577</v>
      </c>
      <c r="AX117" s="188">
        <f>'Healthcare Expenditures'!$AO113</f>
        <v>7372468.5423738584</v>
      </c>
      <c r="AY117" s="188">
        <f>'Healthcare Expenditures'!$AP113</f>
        <v>6280250.9805407077</v>
      </c>
      <c r="AZ117" s="188">
        <f>'Healthcare Expenditures'!$AQ113</f>
        <v>11832356.91985929</v>
      </c>
      <c r="BA117" s="188">
        <f>'Healthcare Expenditures'!$AR113</f>
        <v>11652214.793697134</v>
      </c>
      <c r="BB117" s="188">
        <f>'Healthcare Expenditures'!$AS113</f>
        <v>9925960.7501864731</v>
      </c>
      <c r="BC117" s="188">
        <f>'Healthcare Expenditures'!$AT113</f>
        <v>18701085.47136578</v>
      </c>
      <c r="BD117" s="166">
        <f>'Mortality Costs'!$N181</f>
        <v>8950904</v>
      </c>
      <c r="BE117" s="166">
        <f>'Mortality Costs'!$O181</f>
        <v>5325186</v>
      </c>
      <c r="BF117" s="166">
        <f>'Mortality Costs'!$P181</f>
        <v>13870141</v>
      </c>
      <c r="BG117" s="166">
        <f>'Workplace Smoking Costs'!$V126</f>
        <v>7599465.352807343</v>
      </c>
      <c r="BH117" s="166">
        <f>'Workplace Smoking Costs'!$V245</f>
        <v>7365635.6496440545</v>
      </c>
      <c r="BI117" s="166">
        <f>'Workplace Smoking Costs'!$V364</f>
        <v>24259831.703192681</v>
      </c>
      <c r="BJ117" s="166">
        <f t="shared" si="100"/>
        <v>39224932.705644079</v>
      </c>
      <c r="BK117" s="166">
        <f t="shared" si="101"/>
        <v>68508668.895893127</v>
      </c>
      <c r="BL117" s="166">
        <f t="shared" si="91"/>
        <v>61870679.460300691</v>
      </c>
      <c r="BM117" s="166">
        <f t="shared" si="92"/>
        <v>85728014.257895648</v>
      </c>
      <c r="BN117" s="215">
        <f>SUM('Intervention Costs'!$E$48+'Intervention Costs'!$D$48+'Intervention Costs'!$G$48+'Intervention Costs'!$F$48)</f>
        <v>504727.41104759427</v>
      </c>
      <c r="BO117" s="166">
        <f t="shared" si="93"/>
        <v>135.73399699790224</v>
      </c>
      <c r="BP117" s="166">
        <f t="shared" si="94"/>
        <v>122.58236447250627</v>
      </c>
      <c r="BQ117" s="216">
        <f t="shared" si="95"/>
        <v>169.85012579356771</v>
      </c>
    </row>
    <row r="118" spans="2:69">
      <c r="B118" s="210">
        <v>8</v>
      </c>
      <c r="C118" s="211" t="s">
        <v>121</v>
      </c>
      <c r="D118" s="212">
        <f>'Healthcare Expenditures'!$J114</f>
        <v>203958000</v>
      </c>
      <c r="E118" s="212">
        <f>'Healthcare Expenditures'!$K114</f>
        <v>173742000</v>
      </c>
      <c r="F118" s="212">
        <f>'Healthcare Expenditures'!$L114</f>
        <v>327340000</v>
      </c>
      <c r="G118" s="212">
        <f>'Healthcare Expenditures'!$M114</f>
        <v>73953000</v>
      </c>
      <c r="H118" s="212">
        <f>'Healthcare Expenditures'!$N114</f>
        <v>62997000.000000007</v>
      </c>
      <c r="I118" s="212">
        <f>'Healthcare Expenditures'!$O114</f>
        <v>118690000</v>
      </c>
      <c r="J118" s="212">
        <f>'Healthcare Expenditures'!$P114</f>
        <v>116883000</v>
      </c>
      <c r="K118" s="212">
        <f>'Healthcare Expenditures'!$Q114</f>
        <v>99567000.000000015</v>
      </c>
      <c r="L118" s="212">
        <f>'Healthcare Expenditures'!$R114</f>
        <v>187590000</v>
      </c>
      <c r="M118" s="212">
        <f>'Mortality Costs'!$G182</f>
        <v>65721801</v>
      </c>
      <c r="N118" s="212">
        <f>'Mortality Costs'!$H182</f>
        <v>35470400</v>
      </c>
      <c r="O118" s="212">
        <f>'Mortality Costs'!$I182</f>
        <v>108347093</v>
      </c>
      <c r="P118" s="212">
        <f>'Workplace Smoking Costs'!$K127</f>
        <v>76229997.863809526</v>
      </c>
      <c r="Q118" s="212">
        <f>'Workplace Smoking Costs'!$K246</f>
        <v>73884459.46800001</v>
      </c>
      <c r="R118" s="212">
        <f>'Workplace Smoking Costs'!$K365</f>
        <v>243349608.56523812</v>
      </c>
      <c r="S118" s="212">
        <f t="shared" si="84"/>
        <v>393464065.89704764</v>
      </c>
      <c r="T118" s="213">
        <f t="shared" si="85"/>
        <v>663143866.89704764</v>
      </c>
      <c r="U118" s="213">
        <f t="shared" si="86"/>
        <v>602676465.89704764</v>
      </c>
      <c r="V118" s="213">
        <f t="shared" si="87"/>
        <v>829151158.89704764</v>
      </c>
      <c r="W118" s="355">
        <f>'Intervention Impacts'!$F$70</f>
        <v>-1.9999999999999992E-3</v>
      </c>
      <c r="X118" s="212">
        <f>'Healthcare Expenditures'!$Z114</f>
        <v>183257917.47413144</v>
      </c>
      <c r="Y118" s="212">
        <f>'Healthcare Expenditures'!$AA114</f>
        <v>156108596.3668527</v>
      </c>
      <c r="Z118" s="212">
        <f>'Healthcare Expenditures'!$AB114</f>
        <v>294117645.32885295</v>
      </c>
      <c r="AA118" s="212">
        <f>'Healthcare Expenditures'!$AC114</f>
        <v>66447370.394710883</v>
      </c>
      <c r="AB118" s="212">
        <f>'Healthcare Expenditures'!$AD114</f>
        <v>56603315.521420375</v>
      </c>
      <c r="AC118" s="212">
        <f>'Healthcare Expenditures'!$AE114</f>
        <v>106643927.79398043</v>
      </c>
      <c r="AD118" s="212">
        <f>'Healthcare Expenditures'!$AF114</f>
        <v>105020323.63589026</v>
      </c>
      <c r="AE118" s="212">
        <f>'Healthcare Expenditures'!$AG114</f>
        <v>89461757.171313912</v>
      </c>
      <c r="AF118" s="212">
        <f>'Healthcare Expenditures'!$AH114</f>
        <v>168551136.69957697</v>
      </c>
      <c r="AG118" s="212">
        <f>'Mortality Costs'!$K182</f>
        <v>56479385</v>
      </c>
      <c r="AH118" s="212">
        <f>'Mortality Costs'!$L182</f>
        <v>29985684</v>
      </c>
      <c r="AI118" s="212">
        <f>'Mortality Costs'!$M182</f>
        <v>94046959</v>
      </c>
      <c r="AJ118" s="212">
        <f>'Workplace Smoking Costs'!$S127</f>
        <v>68493271.445980161</v>
      </c>
      <c r="AK118" s="212">
        <f>'Workplace Smoking Costs'!$S246</f>
        <v>66385786.170719244</v>
      </c>
      <c r="AL118" s="212">
        <f>'Workplace Smoking Costs'!$S365</f>
        <v>218651597.30832136</v>
      </c>
      <c r="AM118" s="212">
        <f t="shared" si="96"/>
        <v>353530654.92502075</v>
      </c>
      <c r="AN118" s="213">
        <f t="shared" si="97"/>
        <v>593267957.39915216</v>
      </c>
      <c r="AO118" s="213">
        <f t="shared" si="98"/>
        <v>539624935.29187346</v>
      </c>
      <c r="AP118" s="213">
        <f t="shared" si="99"/>
        <v>741695259.25387371</v>
      </c>
      <c r="AQ118" s="212">
        <f>tblTotalCosts_Base[Gross Domestic Product (GDP)]</f>
        <v>33921600000</v>
      </c>
      <c r="AR118" s="214">
        <f t="shared" si="88"/>
        <v>1.7489386037190233E-2</v>
      </c>
      <c r="AS118" s="214">
        <f t="shared" si="89"/>
        <v>1.590800361102877E-2</v>
      </c>
      <c r="AT118" s="214">
        <f t="shared" si="90"/>
        <v>2.1864984530619833E-2</v>
      </c>
      <c r="AU118" s="188">
        <f>'Healthcare Expenditures'!$AL114</f>
        <v>20700082.525868565</v>
      </c>
      <c r="AV118" s="188">
        <f>'Healthcare Expenditures'!$AM114</f>
        <v>17633403.633147299</v>
      </c>
      <c r="AW118" s="188">
        <f>'Healthcare Expenditures'!$AN114</f>
        <v>33222354.671147048</v>
      </c>
      <c r="AX118" s="188">
        <f>'Healthcare Expenditures'!$AO114</f>
        <v>7505629.6052891165</v>
      </c>
      <c r="AY118" s="188">
        <f>'Healthcare Expenditures'!$AP114</f>
        <v>6393684.4785796329</v>
      </c>
      <c r="AZ118" s="188">
        <f>'Healthcare Expenditures'!$AQ114</f>
        <v>12046072.206019565</v>
      </c>
      <c r="BA118" s="188">
        <f>'Healthcare Expenditures'!$AR114</f>
        <v>11862676.36410974</v>
      </c>
      <c r="BB118" s="188">
        <f>'Healthcare Expenditures'!$AS114</f>
        <v>10105242.828686103</v>
      </c>
      <c r="BC118" s="188">
        <f>'Healthcare Expenditures'!$AT114</f>
        <v>19038863.300423026</v>
      </c>
      <c r="BD118" s="166">
        <f>'Mortality Costs'!$N182</f>
        <v>9242416</v>
      </c>
      <c r="BE118" s="166">
        <f>'Mortality Costs'!$O182</f>
        <v>5484716</v>
      </c>
      <c r="BF118" s="166">
        <f>'Mortality Costs'!$P182</f>
        <v>14300134</v>
      </c>
      <c r="BG118" s="166">
        <f>'Workplace Smoking Costs'!$V127</f>
        <v>7736726.4178293645</v>
      </c>
      <c r="BH118" s="166">
        <f>'Workplace Smoking Costs'!$V246</f>
        <v>7498673.2972807661</v>
      </c>
      <c r="BI118" s="166">
        <f>'Workplace Smoking Costs'!$V365</f>
        <v>24698011.256916761</v>
      </c>
      <c r="BJ118" s="166">
        <f t="shared" si="100"/>
        <v>39933410.972026892</v>
      </c>
      <c r="BK118" s="166">
        <f t="shared" si="101"/>
        <v>69875909.497895449</v>
      </c>
      <c r="BL118" s="166">
        <f t="shared" si="91"/>
        <v>63051530.605174191</v>
      </c>
      <c r="BM118" s="166">
        <f t="shared" si="92"/>
        <v>87455899.643173933</v>
      </c>
      <c r="BN118" s="215">
        <f>SUM('Intervention Costs'!$E$49+'Intervention Costs'!$D$49+'Intervention Costs'!$G$49+'Intervention Costs'!$F$49)</f>
        <v>487356.38954534929</v>
      </c>
      <c r="BO118" s="166">
        <f t="shared" si="93"/>
        <v>143.37743589056481</v>
      </c>
      <c r="BP118" s="166">
        <f t="shared" si="94"/>
        <v>129.37458491925065</v>
      </c>
      <c r="BQ118" s="216">
        <f t="shared" si="95"/>
        <v>179.44958046976836</v>
      </c>
    </row>
    <row r="119" spans="2:69">
      <c r="B119" s="210">
        <v>9</v>
      </c>
      <c r="C119" s="211" t="s">
        <v>121</v>
      </c>
      <c r="D119" s="212">
        <f>'Healthcare Expenditures'!$J115</f>
        <v>203958000</v>
      </c>
      <c r="E119" s="212">
        <f>'Healthcare Expenditures'!$K115</f>
        <v>173742000</v>
      </c>
      <c r="F119" s="212">
        <f>'Healthcare Expenditures'!$L115</f>
        <v>327340000</v>
      </c>
      <c r="G119" s="212">
        <f>'Healthcare Expenditures'!$M115</f>
        <v>73953000</v>
      </c>
      <c r="H119" s="212">
        <f>'Healthcare Expenditures'!$N115</f>
        <v>62997000.000000007</v>
      </c>
      <c r="I119" s="212">
        <f>'Healthcare Expenditures'!$O115</f>
        <v>118690000</v>
      </c>
      <c r="J119" s="212">
        <f>'Healthcare Expenditures'!$P115</f>
        <v>116883000</v>
      </c>
      <c r="K119" s="212">
        <f>'Healthcare Expenditures'!$Q115</f>
        <v>99567000.000000015</v>
      </c>
      <c r="L119" s="212">
        <f>'Healthcare Expenditures'!$R115</f>
        <v>187590000</v>
      </c>
      <c r="M119" s="212">
        <f>'Mortality Costs'!$G183</f>
        <v>66050368</v>
      </c>
      <c r="N119" s="212">
        <f>'Mortality Costs'!$H183</f>
        <v>35647711</v>
      </c>
      <c r="O119" s="212">
        <f>'Mortality Costs'!$I183</f>
        <v>108888772</v>
      </c>
      <c r="P119" s="212">
        <f>'Workplace Smoking Costs'!$K128</f>
        <v>76229997.863809526</v>
      </c>
      <c r="Q119" s="212">
        <f>'Workplace Smoking Costs'!$K247</f>
        <v>73884459.46800001</v>
      </c>
      <c r="R119" s="212">
        <f>'Workplace Smoking Costs'!$K366</f>
        <v>243349608.56523812</v>
      </c>
      <c r="S119" s="212">
        <f t="shared" si="84"/>
        <v>393464065.89704764</v>
      </c>
      <c r="T119" s="213">
        <f t="shared" si="85"/>
        <v>663472433.89704764</v>
      </c>
      <c r="U119" s="213">
        <f t="shared" si="86"/>
        <v>602853776.89704764</v>
      </c>
      <c r="V119" s="213">
        <f t="shared" si="87"/>
        <v>829692837.89704764</v>
      </c>
      <c r="W119" s="355">
        <f>'Intervention Impacts'!$F$71</f>
        <v>-1.9999999999999992E-3</v>
      </c>
      <c r="X119" s="212">
        <f>'Healthcare Expenditures'!$Z115</f>
        <v>182891401.63918319</v>
      </c>
      <c r="Y119" s="212">
        <f>'Healthcare Expenditures'!$AA115</f>
        <v>155796379.174119</v>
      </c>
      <c r="Z119" s="212">
        <f>'Healthcare Expenditures'!$AB115</f>
        <v>293529410.03819525</v>
      </c>
      <c r="AA119" s="212">
        <f>'Healthcare Expenditures'!$AC115</f>
        <v>66314475.65392147</v>
      </c>
      <c r="AB119" s="212">
        <f>'Healthcare Expenditures'!$AD115</f>
        <v>56490108.890377536</v>
      </c>
      <c r="AC119" s="212">
        <f>'Healthcare Expenditures'!$AE115</f>
        <v>106430639.93839248</v>
      </c>
      <c r="AD119" s="212">
        <f>'Healthcare Expenditures'!$AF115</f>
        <v>104810282.98861849</v>
      </c>
      <c r="AE119" s="212">
        <f>'Healthcare Expenditures'!$AG115</f>
        <v>89282833.656971291</v>
      </c>
      <c r="AF119" s="212">
        <f>'Healthcare Expenditures'!$AH115</f>
        <v>168214034.4261778</v>
      </c>
      <c r="AG119" s="212">
        <f>'Mortality Costs'!$K183</f>
        <v>56675910</v>
      </c>
      <c r="AH119" s="212">
        <f>'Mortality Costs'!$L183</f>
        <v>30097444</v>
      </c>
      <c r="AI119" s="212">
        <f>'Mortality Costs'!$M183</f>
        <v>94393165</v>
      </c>
      <c r="AJ119" s="212">
        <f>'Workplace Smoking Costs'!$S128</f>
        <v>68356284.903088212</v>
      </c>
      <c r="AK119" s="212">
        <f>'Workplace Smoking Costs'!$S247</f>
        <v>66253014.598377816</v>
      </c>
      <c r="AL119" s="212">
        <f>'Workplace Smoking Costs'!$S366</f>
        <v>218214294.11370468</v>
      </c>
      <c r="AM119" s="212">
        <f t="shared" si="96"/>
        <v>352823593.61517072</v>
      </c>
      <c r="AN119" s="213">
        <f t="shared" si="97"/>
        <v>592390905.25435388</v>
      </c>
      <c r="AO119" s="213">
        <f t="shared" si="98"/>
        <v>538717416.78928971</v>
      </c>
      <c r="AP119" s="213">
        <f t="shared" si="99"/>
        <v>740746168.65336597</v>
      </c>
      <c r="AQ119" s="212">
        <f>tblTotalCosts_Base[Gross Domestic Product (GDP)]</f>
        <v>33921600000</v>
      </c>
      <c r="AR119" s="214">
        <f t="shared" si="88"/>
        <v>1.7463530766660591E-2</v>
      </c>
      <c r="AS119" s="214">
        <f t="shared" si="89"/>
        <v>1.5881250200146507E-2</v>
      </c>
      <c r="AT119" s="214">
        <f t="shared" si="90"/>
        <v>2.1837005585036259E-2</v>
      </c>
      <c r="AU119" s="188">
        <f>'Healthcare Expenditures'!$AL115</f>
        <v>21066598.360816807</v>
      </c>
      <c r="AV119" s="188">
        <f>'Healthcare Expenditures'!$AM115</f>
        <v>17945620.825881004</v>
      </c>
      <c r="AW119" s="188">
        <f>'Healthcare Expenditures'!$AN115</f>
        <v>33810589.961804748</v>
      </c>
      <c r="AX119" s="188">
        <f>'Healthcare Expenditures'!$AO115</f>
        <v>7638524.34607853</v>
      </c>
      <c r="AY119" s="188">
        <f>'Healthcare Expenditures'!$AP115</f>
        <v>6506891.109622471</v>
      </c>
      <c r="AZ119" s="188">
        <f>'Healthcare Expenditures'!$AQ115</f>
        <v>12259360.061607525</v>
      </c>
      <c r="BA119" s="188">
        <f>'Healthcare Expenditures'!$AR115</f>
        <v>12072717.011381507</v>
      </c>
      <c r="BB119" s="188">
        <f>'Healthcare Expenditures'!$AS115</f>
        <v>10284166.343028724</v>
      </c>
      <c r="BC119" s="188">
        <f>'Healthcare Expenditures'!$AT115</f>
        <v>19375965.5738222</v>
      </c>
      <c r="BD119" s="166">
        <f>'Mortality Costs'!$N183</f>
        <v>9374458</v>
      </c>
      <c r="BE119" s="166">
        <f>'Mortality Costs'!$O183</f>
        <v>5550267</v>
      </c>
      <c r="BF119" s="166">
        <f>'Mortality Costs'!$P183</f>
        <v>14495607</v>
      </c>
      <c r="BG119" s="166">
        <f>'Workplace Smoking Costs'!$V128</f>
        <v>7873712.960721314</v>
      </c>
      <c r="BH119" s="166">
        <f>'Workplace Smoking Costs'!$V247</f>
        <v>7631444.8696221933</v>
      </c>
      <c r="BI119" s="166">
        <f>'Workplace Smoking Costs'!$V366</f>
        <v>25135314.451533437</v>
      </c>
      <c r="BJ119" s="166">
        <f t="shared" si="100"/>
        <v>40640472.281876944</v>
      </c>
      <c r="BK119" s="166">
        <f t="shared" si="101"/>
        <v>71081528.642693758</v>
      </c>
      <c r="BL119" s="166">
        <f t="shared" si="91"/>
        <v>64136360.107757948</v>
      </c>
      <c r="BM119" s="166">
        <f t="shared" si="92"/>
        <v>88946669.243681699</v>
      </c>
      <c r="BN119" s="215">
        <f>SUM('Intervention Costs'!$E$50+'Intervention Costs'!$D$50+'Intervention Costs'!$G$50+'Intervention Costs'!$F$50)</f>
        <v>487356.38954534929</v>
      </c>
      <c r="BO119" s="166">
        <f t="shared" si="93"/>
        <v>145.85122954683146</v>
      </c>
      <c r="BP119" s="166">
        <f t="shared" si="94"/>
        <v>131.60053193842441</v>
      </c>
      <c r="BQ119" s="216">
        <f t="shared" si="95"/>
        <v>182.5084704986823</v>
      </c>
    </row>
    <row r="120" spans="2:69">
      <c r="B120" s="210">
        <v>10</v>
      </c>
      <c r="C120" s="211" t="s">
        <v>121</v>
      </c>
      <c r="D120" s="212">
        <f>'Healthcare Expenditures'!$J116</f>
        <v>203958000</v>
      </c>
      <c r="E120" s="212">
        <f>'Healthcare Expenditures'!$K116</f>
        <v>173742000</v>
      </c>
      <c r="F120" s="212">
        <f>'Healthcare Expenditures'!$L116</f>
        <v>327340000</v>
      </c>
      <c r="G120" s="212">
        <f>'Healthcare Expenditures'!$M116</f>
        <v>73953000</v>
      </c>
      <c r="H120" s="212">
        <f>'Healthcare Expenditures'!$N116</f>
        <v>62997000.000000007</v>
      </c>
      <c r="I120" s="212">
        <f>'Healthcare Expenditures'!$O116</f>
        <v>118690000</v>
      </c>
      <c r="J120" s="212">
        <f>'Healthcare Expenditures'!$P116</f>
        <v>116883000</v>
      </c>
      <c r="K120" s="212">
        <f>'Healthcare Expenditures'!$Q116</f>
        <v>99567000.000000015</v>
      </c>
      <c r="L120" s="212">
        <f>'Healthcare Expenditures'!$R116</f>
        <v>187590000</v>
      </c>
      <c r="M120" s="212">
        <f>'Mortality Costs'!$G184</f>
        <v>66380616</v>
      </c>
      <c r="N120" s="212">
        <f>'Mortality Costs'!$H184</f>
        <v>35825953</v>
      </c>
      <c r="O120" s="212">
        <f>'Mortality Costs'!$I184</f>
        <v>109433221</v>
      </c>
      <c r="P120" s="212">
        <f>'Workplace Smoking Costs'!$K129</f>
        <v>76229997.863809526</v>
      </c>
      <c r="Q120" s="212">
        <f>'Workplace Smoking Costs'!$K248</f>
        <v>73884459.46800001</v>
      </c>
      <c r="R120" s="212">
        <f>'Workplace Smoking Costs'!$K367</f>
        <v>243349608.56523812</v>
      </c>
      <c r="S120" s="212">
        <f t="shared" si="84"/>
        <v>393464065.89704764</v>
      </c>
      <c r="T120" s="213">
        <f t="shared" si="85"/>
        <v>663802681.89704764</v>
      </c>
      <c r="U120" s="213">
        <f t="shared" si="86"/>
        <v>603032018.89704764</v>
      </c>
      <c r="V120" s="213">
        <f t="shared" si="87"/>
        <v>830237286.89704764</v>
      </c>
      <c r="W120" s="355">
        <f>'Intervention Impacts'!$F$72</f>
        <v>-1.9999999999999992E-3</v>
      </c>
      <c r="X120" s="212">
        <f>'Healthcare Expenditures'!$Z116</f>
        <v>182525618.83590484</v>
      </c>
      <c r="Y120" s="212">
        <f>'Healthcare Expenditures'!$AA116</f>
        <v>155484786.41577074</v>
      </c>
      <c r="Z120" s="212">
        <f>'Healthcare Expenditures'!$AB116</f>
        <v>292942351.21811885</v>
      </c>
      <c r="AA120" s="212">
        <f>'Healthcare Expenditures'!$AC116</f>
        <v>66181846.702613629</v>
      </c>
      <c r="AB120" s="212">
        <f>'Healthcare Expenditures'!$AD116</f>
        <v>56377128.672596775</v>
      </c>
      <c r="AC120" s="212">
        <f>'Healthcare Expenditures'!$AE116</f>
        <v>106217778.65851569</v>
      </c>
      <c r="AD120" s="212">
        <f>'Healthcare Expenditures'!$AF116</f>
        <v>104600662.42264126</v>
      </c>
      <c r="AE120" s="212">
        <f>'Healthcare Expenditures'!$AG116</f>
        <v>89104267.989657342</v>
      </c>
      <c r="AF120" s="212">
        <f>'Healthcare Expenditures'!$AH116</f>
        <v>167877606.35732546</v>
      </c>
      <c r="AG120" s="212">
        <f>'Mortality Costs'!$K184</f>
        <v>56853883</v>
      </c>
      <c r="AH120" s="212">
        <f>'Mortality Costs'!$L184</f>
        <v>30200018</v>
      </c>
      <c r="AI120" s="212">
        <f>'Mortality Costs'!$M184</f>
        <v>94711802</v>
      </c>
      <c r="AJ120" s="212">
        <f>'Workplace Smoking Costs'!$S129</f>
        <v>68219572.333282039</v>
      </c>
      <c r="AK120" s="212">
        <f>'Workplace Smoking Costs'!$S248</f>
        <v>66120508.569181055</v>
      </c>
      <c r="AL120" s="212">
        <f>'Workplace Smoking Costs'!$S367</f>
        <v>217777865.52547732</v>
      </c>
      <c r="AM120" s="212">
        <f t="shared" si="96"/>
        <v>352117946.42794037</v>
      </c>
      <c r="AN120" s="213">
        <f t="shared" si="97"/>
        <v>591497448.26384521</v>
      </c>
      <c r="AO120" s="213">
        <f t="shared" si="98"/>
        <v>537802750.84371114</v>
      </c>
      <c r="AP120" s="213">
        <f t="shared" si="99"/>
        <v>739772099.64605927</v>
      </c>
      <c r="AQ120" s="212">
        <f>tblTotalCosts_Base[Gross Domestic Product (GDP)]</f>
        <v>33921600000</v>
      </c>
      <c r="AR120" s="214">
        <f t="shared" si="88"/>
        <v>1.7437191885519704E-2</v>
      </c>
      <c r="AS120" s="214">
        <f t="shared" si="89"/>
        <v>1.5854286084492214E-2</v>
      </c>
      <c r="AT120" s="214">
        <f t="shared" si="90"/>
        <v>2.180829028247663E-2</v>
      </c>
      <c r="AU120" s="188">
        <f>'Healthcare Expenditures'!$AL116</f>
        <v>21432381.164095163</v>
      </c>
      <c r="AV120" s="188">
        <f>'Healthcare Expenditures'!$AM116</f>
        <v>18257213.584229261</v>
      </c>
      <c r="AW120" s="188">
        <f>'Healthcare Expenditures'!$AN116</f>
        <v>34397648.781881154</v>
      </c>
      <c r="AX120" s="188">
        <f>'Healthcare Expenditures'!$AO116</f>
        <v>7771153.2973863706</v>
      </c>
      <c r="AY120" s="188">
        <f>'Healthcare Expenditures'!$AP116</f>
        <v>6619871.3274032325</v>
      </c>
      <c r="AZ120" s="188">
        <f>'Healthcare Expenditures'!$AQ116</f>
        <v>12472221.341484308</v>
      </c>
      <c r="BA120" s="188">
        <f>'Healthcare Expenditures'!$AR116</f>
        <v>12282337.577358738</v>
      </c>
      <c r="BB120" s="188">
        <f>'Healthcare Expenditures'!$AS116</f>
        <v>10462732.010342672</v>
      </c>
      <c r="BC120" s="188">
        <f>'Healthcare Expenditures'!$AT116</f>
        <v>19712393.642674536</v>
      </c>
      <c r="BD120" s="166">
        <f>'Mortality Costs'!$N184</f>
        <v>9526733</v>
      </c>
      <c r="BE120" s="166">
        <f>'Mortality Costs'!$O184</f>
        <v>5625935</v>
      </c>
      <c r="BF120" s="166">
        <f>'Mortality Costs'!$P184</f>
        <v>14721419</v>
      </c>
      <c r="BG120" s="166">
        <f>'Workplace Smoking Costs'!$V129</f>
        <v>8010425.5305274874</v>
      </c>
      <c r="BH120" s="166">
        <f>'Workplace Smoking Costs'!$V248</f>
        <v>7763950.8988189548</v>
      </c>
      <c r="BI120" s="166">
        <f>'Workplace Smoking Costs'!$V367</f>
        <v>25571743.039760798</v>
      </c>
      <c r="BJ120" s="166">
        <f t="shared" si="100"/>
        <v>41346119.46910724</v>
      </c>
      <c r="BK120" s="166">
        <f t="shared" si="101"/>
        <v>72305233.633202404</v>
      </c>
      <c r="BL120" s="166">
        <f t="shared" si="91"/>
        <v>65229268.053336501</v>
      </c>
      <c r="BM120" s="166">
        <f t="shared" si="92"/>
        <v>90465187.250988394</v>
      </c>
      <c r="BN120" s="215">
        <f>SUM('Intervention Costs'!$E$51+'Intervention Costs'!$D$51+'Intervention Costs'!$G$51+'Intervention Costs'!$F$51)</f>
        <v>504727.41104759427</v>
      </c>
      <c r="BO120" s="166">
        <f t="shared" si="93"/>
        <v>143.25600720422185</v>
      </c>
      <c r="BP120" s="166">
        <f t="shared" si="94"/>
        <v>129.23662679217074</v>
      </c>
      <c r="BQ120" s="216">
        <f t="shared" si="95"/>
        <v>179.23573253773174</v>
      </c>
    </row>
    <row r="121" spans="2:69">
      <c r="B121" s="210">
        <v>11</v>
      </c>
      <c r="C121" s="211" t="s">
        <v>121</v>
      </c>
      <c r="D121" s="212">
        <f>'Healthcare Expenditures'!$J117</f>
        <v>203958000</v>
      </c>
      <c r="E121" s="212">
        <f>'Healthcare Expenditures'!$K117</f>
        <v>173742000</v>
      </c>
      <c r="F121" s="212">
        <f>'Healthcare Expenditures'!$L117</f>
        <v>327340000</v>
      </c>
      <c r="G121" s="212">
        <f>'Healthcare Expenditures'!$M117</f>
        <v>73953000</v>
      </c>
      <c r="H121" s="212">
        <f>'Healthcare Expenditures'!$N117</f>
        <v>62997000.000000007</v>
      </c>
      <c r="I121" s="212">
        <f>'Healthcare Expenditures'!$O117</f>
        <v>118690000</v>
      </c>
      <c r="J121" s="212">
        <f>'Healthcare Expenditures'!$P117</f>
        <v>116883000</v>
      </c>
      <c r="K121" s="212">
        <f>'Healthcare Expenditures'!$Q117</f>
        <v>99567000.000000015</v>
      </c>
      <c r="L121" s="212">
        <f>'Healthcare Expenditures'!$R117</f>
        <v>187590000</v>
      </c>
      <c r="M121" s="212">
        <f>'Mortality Costs'!$G185</f>
        <v>66712539</v>
      </c>
      <c r="N121" s="212">
        <f>'Mortality Costs'!$H185</f>
        <v>36005105</v>
      </c>
      <c r="O121" s="212">
        <f>'Mortality Costs'!$I185</f>
        <v>109980423</v>
      </c>
      <c r="P121" s="212">
        <f>'Workplace Smoking Costs'!$K130</f>
        <v>76229997.863809526</v>
      </c>
      <c r="Q121" s="212">
        <f>'Workplace Smoking Costs'!$K249</f>
        <v>73884459.46800001</v>
      </c>
      <c r="R121" s="212">
        <f>'Workplace Smoking Costs'!$K368</f>
        <v>243349608.56523812</v>
      </c>
      <c r="S121" s="212">
        <f t="shared" si="84"/>
        <v>393464065.89704764</v>
      </c>
      <c r="T121" s="213">
        <f t="shared" si="85"/>
        <v>664134604.89704764</v>
      </c>
      <c r="U121" s="213">
        <f t="shared" si="86"/>
        <v>603211170.89704764</v>
      </c>
      <c r="V121" s="213">
        <f t="shared" si="87"/>
        <v>830784488.89704764</v>
      </c>
      <c r="W121" s="355">
        <f>'Intervention Impacts'!$F$73</f>
        <v>-1.9999999999999992E-3</v>
      </c>
      <c r="X121" s="212">
        <f>'Healthcare Expenditures'!$Z117</f>
        <v>182160567.59823301</v>
      </c>
      <c r="Y121" s="212">
        <f>'Healthcare Expenditures'!$AA117</f>
        <v>155173816.8429392</v>
      </c>
      <c r="Z121" s="212">
        <f>'Healthcare Expenditures'!$AB117</f>
        <v>292356466.51568258</v>
      </c>
      <c r="AA121" s="212">
        <f>'Healthcare Expenditures'!$AC117</f>
        <v>66049483.009208404</v>
      </c>
      <c r="AB121" s="212">
        <f>'Healthcare Expenditures'!$AD117</f>
        <v>56264374.415251583</v>
      </c>
      <c r="AC121" s="212">
        <f>'Healthcare Expenditures'!$AE117</f>
        <v>106005343.10119866</v>
      </c>
      <c r="AD121" s="212">
        <f>'Healthcare Expenditures'!$AF117</f>
        <v>104391461.09779598</v>
      </c>
      <c r="AE121" s="212">
        <f>'Healthcare Expenditures'!$AG117</f>
        <v>88926059.453678027</v>
      </c>
      <c r="AF121" s="212">
        <f>'Healthcare Expenditures'!$AH117</f>
        <v>167541851.14461079</v>
      </c>
      <c r="AG121" s="212">
        <f>'Mortality Costs'!$K185</f>
        <v>57061091</v>
      </c>
      <c r="AH121" s="212">
        <f>'Mortality Costs'!$L185</f>
        <v>30273966</v>
      </c>
      <c r="AI121" s="212">
        <f>'Mortality Costs'!$M185</f>
        <v>95002357</v>
      </c>
      <c r="AJ121" s="212">
        <f>'Workplace Smoking Costs'!$S130</f>
        <v>68083133.188615486</v>
      </c>
      <c r="AK121" s="212">
        <f>'Workplace Smoking Costs'!$S249</f>
        <v>65988267.5520427</v>
      </c>
      <c r="AL121" s="212">
        <f>'Workplace Smoking Costs'!$S368</f>
        <v>217342309.79442638</v>
      </c>
      <c r="AM121" s="212">
        <f t="shared" si="96"/>
        <v>351413710.53508461</v>
      </c>
      <c r="AN121" s="213">
        <f t="shared" si="97"/>
        <v>590635369.13331759</v>
      </c>
      <c r="AO121" s="213">
        <f t="shared" si="98"/>
        <v>536861493.3780238</v>
      </c>
      <c r="AP121" s="213">
        <f t="shared" si="99"/>
        <v>738772534.05076718</v>
      </c>
      <c r="AQ121" s="212">
        <f>tblTotalCosts_Base[Gross Domestic Product (GDP)]</f>
        <v>33921600000</v>
      </c>
      <c r="AR121" s="214">
        <f t="shared" si="88"/>
        <v>1.741177801558056E-2</v>
      </c>
      <c r="AS121" s="214">
        <f t="shared" si="89"/>
        <v>1.5826538057698451E-2</v>
      </c>
      <c r="AT121" s="214">
        <f t="shared" si="90"/>
        <v>2.1778823347093509E-2</v>
      </c>
      <c r="AU121" s="188">
        <f>'Healthcare Expenditures'!$AL117</f>
        <v>21797432.401766986</v>
      </c>
      <c r="AV121" s="188">
        <f>'Healthcare Expenditures'!$AM117</f>
        <v>18568183.157060802</v>
      </c>
      <c r="AW121" s="188">
        <f>'Healthcare Expenditures'!$AN117</f>
        <v>34983533.484317422</v>
      </c>
      <c r="AX121" s="188">
        <f>'Healthcare Expenditures'!$AO117</f>
        <v>7903516.9907915965</v>
      </c>
      <c r="AY121" s="188">
        <f>'Healthcare Expenditures'!$AP117</f>
        <v>6732625.5847484246</v>
      </c>
      <c r="AZ121" s="188">
        <f>'Healthcare Expenditures'!$AQ117</f>
        <v>12684656.898801342</v>
      </c>
      <c r="BA121" s="188">
        <f>'Healthcare Expenditures'!$AR117</f>
        <v>12491538.902204022</v>
      </c>
      <c r="BB121" s="188">
        <f>'Healthcare Expenditures'!$AS117</f>
        <v>10640940.546321988</v>
      </c>
      <c r="BC121" s="188">
        <f>'Healthcare Expenditures'!$AT117</f>
        <v>20048148.855389208</v>
      </c>
      <c r="BD121" s="166">
        <f>'Mortality Costs'!$N185</f>
        <v>9651448</v>
      </c>
      <c r="BE121" s="166">
        <f>'Mortality Costs'!$O185</f>
        <v>5731139</v>
      </c>
      <c r="BF121" s="166">
        <f>'Mortality Costs'!$P185</f>
        <v>14978066</v>
      </c>
      <c r="BG121" s="166">
        <f>'Workplace Smoking Costs'!$V130</f>
        <v>8146864.6751940399</v>
      </c>
      <c r="BH121" s="166">
        <f>'Workplace Smoking Costs'!$V249</f>
        <v>7896191.9159573093</v>
      </c>
      <c r="BI121" s="166">
        <f>'Workplace Smoking Costs'!$V368</f>
        <v>26007298.770811737</v>
      </c>
      <c r="BJ121" s="166">
        <f t="shared" si="100"/>
        <v>42050355.361963086</v>
      </c>
      <c r="BK121" s="166">
        <f t="shared" si="101"/>
        <v>73499235.763730079</v>
      </c>
      <c r="BL121" s="166">
        <f t="shared" si="91"/>
        <v>66349677.519023888</v>
      </c>
      <c r="BM121" s="166">
        <f t="shared" si="92"/>
        <v>92011954.846280515</v>
      </c>
      <c r="BN121" s="215">
        <f>SUM('Intervention Costs'!$E$52+'Intervention Costs'!$D$52+'Intervention Costs'!$G$52+'Intervention Costs'!$F$52)</f>
        <v>661371.43756002001</v>
      </c>
      <c r="BO121" s="166">
        <f t="shared" si="93"/>
        <v>111.1315542063456</v>
      </c>
      <c r="BP121" s="166">
        <f t="shared" si="94"/>
        <v>100.32135310198152</v>
      </c>
      <c r="BQ121" s="216">
        <f t="shared" si="95"/>
        <v>139.1229642237617</v>
      </c>
    </row>
    <row r="122" spans="2:69">
      <c r="B122" s="210">
        <v>12</v>
      </c>
      <c r="C122" s="211" t="s">
        <v>121</v>
      </c>
      <c r="D122" s="212">
        <f>'Healthcare Expenditures'!$J118</f>
        <v>203958000</v>
      </c>
      <c r="E122" s="212">
        <f>'Healthcare Expenditures'!$K118</f>
        <v>173742000</v>
      </c>
      <c r="F122" s="212">
        <f>'Healthcare Expenditures'!$L118</f>
        <v>327340000</v>
      </c>
      <c r="G122" s="212">
        <f>'Healthcare Expenditures'!$M118</f>
        <v>73953000</v>
      </c>
      <c r="H122" s="212">
        <f>'Healthcare Expenditures'!$N118</f>
        <v>62997000.000000007</v>
      </c>
      <c r="I122" s="212">
        <f>'Healthcare Expenditures'!$O118</f>
        <v>118690000</v>
      </c>
      <c r="J122" s="212">
        <f>'Healthcare Expenditures'!$P118</f>
        <v>116883000</v>
      </c>
      <c r="K122" s="212">
        <f>'Healthcare Expenditures'!$Q118</f>
        <v>99567000.000000015</v>
      </c>
      <c r="L122" s="212">
        <f>'Healthcare Expenditures'!$R118</f>
        <v>187590000</v>
      </c>
      <c r="M122" s="212">
        <f>'Mortality Costs'!$G186</f>
        <v>67046100</v>
      </c>
      <c r="N122" s="212">
        <f>'Mortality Costs'!$H186</f>
        <v>36185110</v>
      </c>
      <c r="O122" s="212">
        <f>'Mortality Costs'!$I186</f>
        <v>110530303</v>
      </c>
      <c r="P122" s="212">
        <f>'Workplace Smoking Costs'!$K131</f>
        <v>76229997.863809526</v>
      </c>
      <c r="Q122" s="212">
        <f>'Workplace Smoking Costs'!$K250</f>
        <v>73884459.46800001</v>
      </c>
      <c r="R122" s="212">
        <f>'Workplace Smoking Costs'!$K369</f>
        <v>243349608.56523812</v>
      </c>
      <c r="S122" s="212">
        <f t="shared" si="84"/>
        <v>393464065.89704764</v>
      </c>
      <c r="T122" s="213">
        <f t="shared" si="85"/>
        <v>664468165.89704764</v>
      </c>
      <c r="U122" s="213">
        <f t="shared" si="86"/>
        <v>603391175.89704764</v>
      </c>
      <c r="V122" s="213">
        <f t="shared" si="87"/>
        <v>831334368.89704764</v>
      </c>
      <c r="W122" s="355">
        <f>'Intervention Impacts'!$F$74</f>
        <v>-1.9999999999999992E-3</v>
      </c>
      <c r="X122" s="212">
        <f>'Healthcare Expenditures'!$Z118</f>
        <v>181796246.46303657</v>
      </c>
      <c r="Y122" s="212">
        <f>'Healthcare Expenditures'!$AA118</f>
        <v>154863469.20925331</v>
      </c>
      <c r="Z122" s="212">
        <f>'Healthcare Expenditures'!$AB118</f>
        <v>291771753.58265126</v>
      </c>
      <c r="AA122" s="212">
        <f>'Healthcare Expenditures'!$AC118</f>
        <v>65917384.043189988</v>
      </c>
      <c r="AB122" s="212">
        <f>'Healthcare Expenditures'!$AD118</f>
        <v>56151845.666421078</v>
      </c>
      <c r="AC122" s="212">
        <f>'Healthcare Expenditures'!$AE118</f>
        <v>105793332.41499627</v>
      </c>
      <c r="AD122" s="212">
        <f>'Healthcare Expenditures'!$AF118</f>
        <v>104182678.17560039</v>
      </c>
      <c r="AE122" s="212">
        <f>'Healthcare Expenditures'!$AG118</f>
        <v>88748207.334770665</v>
      </c>
      <c r="AF122" s="212">
        <f>'Healthcare Expenditures'!$AH118</f>
        <v>167206767.44232157</v>
      </c>
      <c r="AG122" s="212">
        <f>'Mortality Costs'!$K186</f>
        <v>57220571</v>
      </c>
      <c r="AH122" s="212">
        <f>'Mortality Costs'!$L186</f>
        <v>30386606</v>
      </c>
      <c r="AI122" s="212">
        <f>'Mortality Costs'!$M186</f>
        <v>95274093</v>
      </c>
      <c r="AJ122" s="212">
        <f>'Workplace Smoking Costs'!$S131</f>
        <v>67946966.922238261</v>
      </c>
      <c r="AK122" s="212">
        <f>'Workplace Smoking Costs'!$S250</f>
        <v>65856291.016938619</v>
      </c>
      <c r="AL122" s="212">
        <f>'Workplace Smoking Costs'!$S369</f>
        <v>216907625.17483753</v>
      </c>
      <c r="AM122" s="212">
        <f t="shared" si="96"/>
        <v>350710883.11401439</v>
      </c>
      <c r="AN122" s="213">
        <f t="shared" si="97"/>
        <v>589727700.57705092</v>
      </c>
      <c r="AO122" s="213">
        <f t="shared" si="98"/>
        <v>535960958.3232677</v>
      </c>
      <c r="AP122" s="213">
        <f t="shared" si="99"/>
        <v>737756729.69666564</v>
      </c>
      <c r="AQ122" s="212">
        <f>tblTotalCosts_Base[Gross Domestic Product (GDP)]</f>
        <v>33921600000</v>
      </c>
      <c r="AR122" s="214">
        <f t="shared" si="88"/>
        <v>1.7385020181154513E-2</v>
      </c>
      <c r="AS122" s="214">
        <f t="shared" si="89"/>
        <v>1.5799990517053077E-2</v>
      </c>
      <c r="AT122" s="214">
        <f t="shared" si="90"/>
        <v>2.1748877697298052E-2</v>
      </c>
      <c r="AU122" s="188">
        <f>'Healthcare Expenditures'!$AL118</f>
        <v>22161753.536963433</v>
      </c>
      <c r="AV122" s="188">
        <f>'Healthcare Expenditures'!$AM118</f>
        <v>18878530.790746689</v>
      </c>
      <c r="AW122" s="188">
        <f>'Healthcare Expenditures'!$AN118</f>
        <v>35568246.417348742</v>
      </c>
      <c r="AX122" s="188">
        <f>'Healthcare Expenditures'!$AO118</f>
        <v>8035615.9568100125</v>
      </c>
      <c r="AY122" s="188">
        <f>'Healthcare Expenditures'!$AP118</f>
        <v>6845154.3335789293</v>
      </c>
      <c r="AZ122" s="188">
        <f>'Healthcare Expenditures'!$AQ118</f>
        <v>12896667.585003734</v>
      </c>
      <c r="BA122" s="188">
        <f>'Healthcare Expenditures'!$AR118</f>
        <v>12700321.824399605</v>
      </c>
      <c r="BB122" s="188">
        <f>'Healthcare Expenditures'!$AS118</f>
        <v>10818792.66522935</v>
      </c>
      <c r="BC122" s="188">
        <f>'Healthcare Expenditures'!$AT118</f>
        <v>20383232.557678431</v>
      </c>
      <c r="BD122" s="166">
        <f>'Mortality Costs'!$N186</f>
        <v>9825529</v>
      </c>
      <c r="BE122" s="166">
        <f>'Mortality Costs'!$O186</f>
        <v>5798504</v>
      </c>
      <c r="BF122" s="166">
        <f>'Mortality Costs'!$P186</f>
        <v>15256210</v>
      </c>
      <c r="BG122" s="166">
        <f>'Workplace Smoking Costs'!$V131</f>
        <v>8283030.9415712655</v>
      </c>
      <c r="BH122" s="166">
        <f>'Workplace Smoking Costs'!$V250</f>
        <v>8028168.4510613903</v>
      </c>
      <c r="BI122" s="166">
        <f>'Workplace Smoking Costs'!$V369</f>
        <v>26441983.390400589</v>
      </c>
      <c r="BJ122" s="166">
        <f t="shared" si="100"/>
        <v>42753182.783033244</v>
      </c>
      <c r="BK122" s="166">
        <f t="shared" si="101"/>
        <v>74740465.319996685</v>
      </c>
      <c r="BL122" s="166">
        <f t="shared" si="91"/>
        <v>67430217.573779941</v>
      </c>
      <c r="BM122" s="166">
        <f t="shared" si="92"/>
        <v>93577639.200381994</v>
      </c>
      <c r="BN122" s="215">
        <f>SUM('Intervention Costs'!$E$53+'Intervention Costs'!$D$53+'Intervention Costs'!$G$53+'Intervention Costs'!$F$53)</f>
        <v>487356.38954534929</v>
      </c>
      <c r="BO122" s="166">
        <f t="shared" si="93"/>
        <v>153.35895234639571</v>
      </c>
      <c r="BP122" s="166">
        <f t="shared" si="94"/>
        <v>138.35915363023153</v>
      </c>
      <c r="BQ122" s="216">
        <f t="shared" si="95"/>
        <v>192.01069526897922</v>
      </c>
    </row>
    <row r="123" spans="2:69">
      <c r="B123" s="210">
        <v>13</v>
      </c>
      <c r="C123" s="211" t="s">
        <v>121</v>
      </c>
      <c r="D123" s="212">
        <f>'Healthcare Expenditures'!$J119</f>
        <v>203958000</v>
      </c>
      <c r="E123" s="212">
        <f>'Healthcare Expenditures'!$K119</f>
        <v>173742000</v>
      </c>
      <c r="F123" s="212">
        <f>'Healthcare Expenditures'!$L119</f>
        <v>327340000</v>
      </c>
      <c r="G123" s="212">
        <f>'Healthcare Expenditures'!$M119</f>
        <v>73953000</v>
      </c>
      <c r="H123" s="212">
        <f>'Healthcare Expenditures'!$N119</f>
        <v>62997000.000000007</v>
      </c>
      <c r="I123" s="212">
        <f>'Healthcare Expenditures'!$O119</f>
        <v>118690000</v>
      </c>
      <c r="J123" s="212">
        <f>'Healthcare Expenditures'!$P119</f>
        <v>116883000</v>
      </c>
      <c r="K123" s="212">
        <f>'Healthcare Expenditures'!$Q119</f>
        <v>99567000.000000015</v>
      </c>
      <c r="L123" s="212">
        <f>'Healthcare Expenditures'!$R119</f>
        <v>187590000</v>
      </c>
      <c r="M123" s="212">
        <f>'Mortality Costs'!$G187</f>
        <v>67381313</v>
      </c>
      <c r="N123" s="212">
        <f>'Mortality Costs'!$H187</f>
        <v>36366011</v>
      </c>
      <c r="O123" s="212">
        <f>'Mortality Costs'!$I187</f>
        <v>111082917</v>
      </c>
      <c r="P123" s="212">
        <f>'Workplace Smoking Costs'!$K132</f>
        <v>76229997.863809526</v>
      </c>
      <c r="Q123" s="212">
        <f>'Workplace Smoking Costs'!$K251</f>
        <v>73884459.46800001</v>
      </c>
      <c r="R123" s="212">
        <f>'Workplace Smoking Costs'!$K370</f>
        <v>243349608.56523812</v>
      </c>
      <c r="S123" s="212">
        <f t="shared" si="84"/>
        <v>393464065.89704764</v>
      </c>
      <c r="T123" s="213">
        <f t="shared" si="85"/>
        <v>664803378.89704764</v>
      </c>
      <c r="U123" s="213">
        <f t="shared" si="86"/>
        <v>603572076.89704764</v>
      </c>
      <c r="V123" s="213">
        <f t="shared" si="87"/>
        <v>831886982.89704764</v>
      </c>
      <c r="W123" s="355">
        <f>'Intervention Impacts'!$F$75</f>
        <v>-1.9999999999999992E-3</v>
      </c>
      <c r="X123" s="212">
        <f>'Healthcare Expenditures'!$Z119</f>
        <v>181432653.97011051</v>
      </c>
      <c r="Y123" s="212">
        <f>'Healthcare Expenditures'!$AA119</f>
        <v>154553742.2708348</v>
      </c>
      <c r="Z123" s="212">
        <f>'Healthcare Expenditures'!$AB119</f>
        <v>291188210.07548594</v>
      </c>
      <c r="AA123" s="212">
        <f>'Healthcare Expenditures'!$AC119</f>
        <v>65785549.275103606</v>
      </c>
      <c r="AB123" s="212">
        <f>'Healthcare Expenditures'!$AD119</f>
        <v>56039541.975088239</v>
      </c>
      <c r="AC123" s="212">
        <f>'Healthcare Expenditures'!$AE119</f>
        <v>105581745.75016627</v>
      </c>
      <c r="AD123" s="212">
        <f>'Healthcare Expenditures'!$AF119</f>
        <v>103974312.81924918</v>
      </c>
      <c r="AE123" s="212">
        <f>'Healthcare Expenditures'!$AG119</f>
        <v>88570710.920101121</v>
      </c>
      <c r="AF123" s="212">
        <f>'Healthcare Expenditures'!$AH119</f>
        <v>166872353.90743694</v>
      </c>
      <c r="AG123" s="212">
        <f>'Mortality Costs'!$K187</f>
        <v>57409366</v>
      </c>
      <c r="AH123" s="212">
        <f>'Mortality Costs'!$L187</f>
        <v>30499615</v>
      </c>
      <c r="AI123" s="212">
        <f>'Mortality Costs'!$M187</f>
        <v>95643425</v>
      </c>
      <c r="AJ123" s="212">
        <f>'Workplace Smoking Costs'!$S132</f>
        <v>67811072.988393769</v>
      </c>
      <c r="AK123" s="212">
        <f>'Workplace Smoking Costs'!$S251</f>
        <v>65724578.434904739</v>
      </c>
      <c r="AL123" s="212">
        <f>'Workplace Smoking Costs'!$S370</f>
        <v>216473809.92448783</v>
      </c>
      <c r="AM123" s="212">
        <f t="shared" si="96"/>
        <v>350009461.34778631</v>
      </c>
      <c r="AN123" s="213">
        <f t="shared" si="97"/>
        <v>588851481.31789684</v>
      </c>
      <c r="AO123" s="213">
        <f t="shared" si="98"/>
        <v>535062818.61862111</v>
      </c>
      <c r="AP123" s="213">
        <f t="shared" si="99"/>
        <v>736841096.42327225</v>
      </c>
      <c r="AQ123" s="212">
        <f>tblTotalCosts_Base[Gross Domestic Product (GDP)]</f>
        <v>33921600000</v>
      </c>
      <c r="AR123" s="214">
        <f t="shared" si="88"/>
        <v>1.7359189463878381E-2</v>
      </c>
      <c r="AS123" s="214">
        <f t="shared" si="89"/>
        <v>1.5773513590709786E-2</v>
      </c>
      <c r="AT123" s="214">
        <f t="shared" si="90"/>
        <v>2.1721885065069814E-2</v>
      </c>
      <c r="AU123" s="188">
        <f>'Healthcare Expenditures'!$AL119</f>
        <v>22525346.029889494</v>
      </c>
      <c r="AV123" s="188">
        <f>'Healthcare Expenditures'!$AM119</f>
        <v>19188257.729165196</v>
      </c>
      <c r="AW123" s="188">
        <f>'Healthcare Expenditures'!$AN119</f>
        <v>36151789.924514055</v>
      </c>
      <c r="AX123" s="188">
        <f>'Healthcare Expenditures'!$AO119</f>
        <v>8167450.7248963937</v>
      </c>
      <c r="AY123" s="188">
        <f>'Healthcare Expenditures'!$AP119</f>
        <v>6957458.0249117687</v>
      </c>
      <c r="AZ123" s="188">
        <f>'Healthcare Expenditures'!$AQ119</f>
        <v>13108254.249833733</v>
      </c>
      <c r="BA123" s="188">
        <f>'Healthcare Expenditures'!$AR119</f>
        <v>12908687.180750817</v>
      </c>
      <c r="BB123" s="188">
        <f>'Healthcare Expenditures'!$AS119</f>
        <v>10996289.079898894</v>
      </c>
      <c r="BC123" s="188">
        <f>'Healthcare Expenditures'!$AT119</f>
        <v>20717646.092563063</v>
      </c>
      <c r="BD123" s="166">
        <f>'Mortality Costs'!$N187</f>
        <v>9971947</v>
      </c>
      <c r="BE123" s="166">
        <f>'Mortality Costs'!$O187</f>
        <v>5866396</v>
      </c>
      <c r="BF123" s="166">
        <f>'Mortality Costs'!$P187</f>
        <v>15439492</v>
      </c>
      <c r="BG123" s="166">
        <f>'Workplace Smoking Costs'!$V132</f>
        <v>8418924.8754157573</v>
      </c>
      <c r="BH123" s="166">
        <f>'Workplace Smoking Costs'!$V251</f>
        <v>8159881.0330952704</v>
      </c>
      <c r="BI123" s="166">
        <f>'Workplace Smoking Costs'!$V370</f>
        <v>26875798.640750289</v>
      </c>
      <c r="BJ123" s="166">
        <f t="shared" si="100"/>
        <v>43454604.549261317</v>
      </c>
      <c r="BK123" s="166">
        <f t="shared" si="101"/>
        <v>75951897.579150811</v>
      </c>
      <c r="BL123" s="166">
        <f t="shared" si="91"/>
        <v>68509258.278426513</v>
      </c>
      <c r="BM123" s="166">
        <f t="shared" si="92"/>
        <v>95045886.473775372</v>
      </c>
      <c r="BN123" s="215">
        <f>SUM('Intervention Costs'!$E$54+'Intervention Costs'!$D$54+'Intervention Costs'!$G$54+'Intervention Costs'!$F$54)</f>
        <v>504727.41104759427</v>
      </c>
      <c r="BO123" s="166">
        <f t="shared" si="93"/>
        <v>150.48102384910649</v>
      </c>
      <c r="BP123" s="166">
        <f t="shared" si="94"/>
        <v>135.73516472234218</v>
      </c>
      <c r="BQ123" s="216">
        <f t="shared" si="95"/>
        <v>188.31132289110573</v>
      </c>
    </row>
    <row r="124" spans="2:69">
      <c r="B124" s="210">
        <v>14</v>
      </c>
      <c r="C124" s="211" t="s">
        <v>121</v>
      </c>
      <c r="D124" s="212">
        <f>'Healthcare Expenditures'!$J120</f>
        <v>203958000</v>
      </c>
      <c r="E124" s="212">
        <f>'Healthcare Expenditures'!$K120</f>
        <v>173742000</v>
      </c>
      <c r="F124" s="212">
        <f>'Healthcare Expenditures'!$L120</f>
        <v>327340000</v>
      </c>
      <c r="G124" s="212">
        <f>'Healthcare Expenditures'!$M120</f>
        <v>73953000</v>
      </c>
      <c r="H124" s="212">
        <f>'Healthcare Expenditures'!$N120</f>
        <v>62997000.000000007</v>
      </c>
      <c r="I124" s="212">
        <f>'Healthcare Expenditures'!$O120</f>
        <v>118690000</v>
      </c>
      <c r="J124" s="212">
        <f>'Healthcare Expenditures'!$P120</f>
        <v>116883000</v>
      </c>
      <c r="K124" s="212">
        <f>'Healthcare Expenditures'!$Q120</f>
        <v>99567000.000000015</v>
      </c>
      <c r="L124" s="212">
        <f>'Healthcare Expenditures'!$R120</f>
        <v>187590000</v>
      </c>
      <c r="M124" s="212">
        <f>'Mortality Costs'!$G188</f>
        <v>67718222</v>
      </c>
      <c r="N124" s="212">
        <f>'Mortality Costs'!$H188</f>
        <v>36547863</v>
      </c>
      <c r="O124" s="212">
        <f>'Mortality Costs'!$I188</f>
        <v>111638347</v>
      </c>
      <c r="P124" s="212">
        <f>'Workplace Smoking Costs'!$K133</f>
        <v>76229997.863809526</v>
      </c>
      <c r="Q124" s="212">
        <f>'Workplace Smoking Costs'!$K252</f>
        <v>73884459.46800001</v>
      </c>
      <c r="R124" s="212">
        <f>'Workplace Smoking Costs'!$K371</f>
        <v>243349608.56523812</v>
      </c>
      <c r="S124" s="212">
        <f t="shared" si="84"/>
        <v>393464065.89704764</v>
      </c>
      <c r="T124" s="213">
        <f t="shared" si="85"/>
        <v>665140287.89704764</v>
      </c>
      <c r="U124" s="213">
        <f t="shared" si="86"/>
        <v>603753928.89704764</v>
      </c>
      <c r="V124" s="213">
        <f t="shared" si="87"/>
        <v>832442412.89704764</v>
      </c>
      <c r="W124" s="355">
        <f>'Intervention Impacts'!$F$76</f>
        <v>-1.9999999999999992E-3</v>
      </c>
      <c r="X124" s="212">
        <f>'Healthcare Expenditures'!$Z120</f>
        <v>181069788.66217026</v>
      </c>
      <c r="Y124" s="212">
        <f>'Healthcare Expenditures'!$AA120</f>
        <v>154244634.78629315</v>
      </c>
      <c r="Z124" s="212">
        <f>'Healthcare Expenditures'!$AB120</f>
        <v>290605833.65533495</v>
      </c>
      <c r="AA124" s="212">
        <f>'Healthcare Expenditures'!$AC120</f>
        <v>65653978.176553398</v>
      </c>
      <c r="AB124" s="212">
        <f>'Healthcare Expenditures'!$AD120</f>
        <v>55927462.891138062</v>
      </c>
      <c r="AC124" s="212">
        <f>'Healthcare Expenditures'!$AE120</f>
        <v>105370582.25866593</v>
      </c>
      <c r="AD124" s="212">
        <f>'Healthcare Expenditures'!$AF120</f>
        <v>103766364.19361068</v>
      </c>
      <c r="AE124" s="212">
        <f>'Healthcare Expenditures'!$AG120</f>
        <v>88393569.49826093</v>
      </c>
      <c r="AF124" s="212">
        <f>'Healthcare Expenditures'!$AH120</f>
        <v>166538609.19962206</v>
      </c>
      <c r="AG124" s="212">
        <f>'Mortality Costs'!$K188</f>
        <v>57315071</v>
      </c>
      <c r="AH124" s="212">
        <f>'Mortality Costs'!$L188</f>
        <v>30554342</v>
      </c>
      <c r="AI124" s="212">
        <f>'Mortality Costs'!$M188</f>
        <v>95779415</v>
      </c>
      <c r="AJ124" s="212">
        <f>'Workplace Smoking Costs'!$S133</f>
        <v>67675450.842416972</v>
      </c>
      <c r="AK124" s="212">
        <f>'Workplace Smoking Costs'!$S252</f>
        <v>65593129.278034933</v>
      </c>
      <c r="AL124" s="212">
        <f>'Workplace Smoking Costs'!$S371</f>
        <v>216040862.30463886</v>
      </c>
      <c r="AM124" s="212">
        <f t="shared" si="96"/>
        <v>349309442.42509079</v>
      </c>
      <c r="AN124" s="213">
        <f t="shared" si="97"/>
        <v>587694302.08726108</v>
      </c>
      <c r="AO124" s="213">
        <f t="shared" si="98"/>
        <v>534108419.21138394</v>
      </c>
      <c r="AP124" s="213">
        <f t="shared" si="99"/>
        <v>735694691.08042574</v>
      </c>
      <c r="AQ124" s="212">
        <f>tblTotalCosts_Base[Gross Domestic Product (GDP)]</f>
        <v>33921600000</v>
      </c>
      <c r="AR124" s="214">
        <f t="shared" si="88"/>
        <v>1.7325076119265044E-2</v>
      </c>
      <c r="AS124" s="214">
        <f t="shared" si="89"/>
        <v>1.5745378142876042E-2</v>
      </c>
      <c r="AT124" s="214">
        <f t="shared" si="90"/>
        <v>2.1688089331883688E-2</v>
      </c>
      <c r="AU124" s="188">
        <f>'Healthcare Expenditures'!$AL120</f>
        <v>22888211.337829739</v>
      </c>
      <c r="AV124" s="188">
        <f>'Healthcare Expenditures'!$AM120</f>
        <v>19497365.213706851</v>
      </c>
      <c r="AW124" s="188">
        <f>'Healthcare Expenditures'!$AN120</f>
        <v>36734166.344665051</v>
      </c>
      <c r="AX124" s="188">
        <f>'Healthcare Expenditures'!$AO120</f>
        <v>8299021.8234466016</v>
      </c>
      <c r="AY124" s="188">
        <f>'Healthcare Expenditures'!$AP120</f>
        <v>7069537.1088619456</v>
      </c>
      <c r="AZ124" s="188">
        <f>'Healthcare Expenditures'!$AQ120</f>
        <v>13319417.741334066</v>
      </c>
      <c r="BA124" s="188">
        <f>'Healthcare Expenditures'!$AR120</f>
        <v>13116635.806389317</v>
      </c>
      <c r="BB124" s="188">
        <f>'Healthcare Expenditures'!$AS120</f>
        <v>11173430.501739085</v>
      </c>
      <c r="BC124" s="188">
        <f>'Healthcare Expenditures'!$AT120</f>
        <v>21051390.800377935</v>
      </c>
      <c r="BD124" s="166">
        <f>'Mortality Costs'!$N188</f>
        <v>10403151</v>
      </c>
      <c r="BE124" s="166">
        <f>'Mortality Costs'!$O188</f>
        <v>5993521</v>
      </c>
      <c r="BF124" s="166">
        <f>'Mortality Costs'!$P188</f>
        <v>15858932</v>
      </c>
      <c r="BG124" s="166">
        <f>'Workplace Smoking Costs'!$V133</f>
        <v>8554547.021392554</v>
      </c>
      <c r="BH124" s="166">
        <f>'Workplace Smoking Costs'!$V252</f>
        <v>8291330.1899650767</v>
      </c>
      <c r="BI124" s="166">
        <f>'Workplace Smoking Costs'!$V371</f>
        <v>27308746.260599256</v>
      </c>
      <c r="BJ124" s="166">
        <f t="shared" si="100"/>
        <v>44154623.471956886</v>
      </c>
      <c r="BK124" s="166">
        <f t="shared" si="101"/>
        <v>77445985.809786618</v>
      </c>
      <c r="BL124" s="166">
        <f t="shared" si="91"/>
        <v>69645509.68566373</v>
      </c>
      <c r="BM124" s="166">
        <f t="shared" si="92"/>
        <v>96747721.816621929</v>
      </c>
      <c r="BN124" s="215">
        <f>SUM('Intervention Costs'!$E$55+'Intervention Costs'!$D$55+'Intervention Costs'!$G$55+'Intervention Costs'!$F$55)</f>
        <v>487356.38954534929</v>
      </c>
      <c r="BO124" s="166">
        <f t="shared" si="93"/>
        <v>158.91037333487171</v>
      </c>
      <c r="BP124" s="166">
        <f t="shared" si="94"/>
        <v>142.90468162454061</v>
      </c>
      <c r="BQ124" s="216">
        <f t="shared" si="95"/>
        <v>198.51534501656391</v>
      </c>
    </row>
    <row r="125" spans="2:69">
      <c r="B125" s="210">
        <v>15</v>
      </c>
      <c r="C125" s="211" t="s">
        <v>121</v>
      </c>
      <c r="D125" s="212">
        <f>'Healthcare Expenditures'!$J121</f>
        <v>203958000</v>
      </c>
      <c r="E125" s="212">
        <f>'Healthcare Expenditures'!$K121</f>
        <v>173742000</v>
      </c>
      <c r="F125" s="212">
        <f>'Healthcare Expenditures'!$L121</f>
        <v>327340000</v>
      </c>
      <c r="G125" s="212">
        <f>'Healthcare Expenditures'!$M121</f>
        <v>73953000</v>
      </c>
      <c r="H125" s="212">
        <f>'Healthcare Expenditures'!$N121</f>
        <v>62997000.000000007</v>
      </c>
      <c r="I125" s="212">
        <f>'Healthcare Expenditures'!$O121</f>
        <v>118690000</v>
      </c>
      <c r="J125" s="212">
        <f>'Healthcare Expenditures'!$P121</f>
        <v>116883000</v>
      </c>
      <c r="K125" s="212">
        <f>'Healthcare Expenditures'!$Q121</f>
        <v>99567000.000000015</v>
      </c>
      <c r="L125" s="212">
        <f>'Healthcare Expenditures'!$R121</f>
        <v>187590000</v>
      </c>
      <c r="M125" s="212">
        <f>'Mortality Costs'!$G189</f>
        <v>68056809</v>
      </c>
      <c r="N125" s="212">
        <f>'Mortality Costs'!$H189</f>
        <v>36730607</v>
      </c>
      <c r="O125" s="212">
        <f>'Mortality Costs'!$I189</f>
        <v>112196551</v>
      </c>
      <c r="P125" s="212">
        <f>'Workplace Smoking Costs'!$K134</f>
        <v>76229997.863809526</v>
      </c>
      <c r="Q125" s="212">
        <f>'Workplace Smoking Costs'!$K253</f>
        <v>73884459.46800001</v>
      </c>
      <c r="R125" s="212">
        <f>'Workplace Smoking Costs'!$K372</f>
        <v>243349608.56523812</v>
      </c>
      <c r="S125" s="212">
        <f t="shared" si="84"/>
        <v>393464065.89704764</v>
      </c>
      <c r="T125" s="213">
        <f t="shared" si="85"/>
        <v>665478874.89704764</v>
      </c>
      <c r="U125" s="213">
        <f t="shared" si="86"/>
        <v>603936672.89704764</v>
      </c>
      <c r="V125" s="213">
        <f t="shared" si="87"/>
        <v>833000616.89704764</v>
      </c>
      <c r="W125" s="355">
        <f>'Intervention Impacts'!$F$77</f>
        <v>-1.9999999999999992E-3</v>
      </c>
      <c r="X125" s="181">
        <f>'Healthcare Expenditures'!$Z121</f>
        <v>180707649.0848459</v>
      </c>
      <c r="Y125" s="181">
        <f>'Healthcare Expenditures'!$AA121</f>
        <v>153936145.51672056</v>
      </c>
      <c r="Z125" s="181">
        <f>'Healthcare Expenditures'!$AB121</f>
        <v>290024621.98802429</v>
      </c>
      <c r="AA125" s="181">
        <f>'Healthcare Expenditures'!$AC121</f>
        <v>65522670.220200285</v>
      </c>
      <c r="AB125" s="181">
        <f>'Healthcare Expenditures'!$AD121</f>
        <v>55815607.965355784</v>
      </c>
      <c r="AC125" s="181">
        <f>'Healthcare Expenditures'!$AE121</f>
        <v>105159841.09414861</v>
      </c>
      <c r="AD125" s="181">
        <f>'Healthcare Expenditures'!$AF121</f>
        <v>103558831.46522345</v>
      </c>
      <c r="AE125" s="181">
        <f>'Healthcare Expenditures'!$AG121</f>
        <v>88216782.359264404</v>
      </c>
      <c r="AF125" s="181">
        <f>'Healthcare Expenditures'!$AH121</f>
        <v>166205531.98122284</v>
      </c>
      <c r="AG125" s="181">
        <f>'Mortality Costs'!$K189</f>
        <v>57523052</v>
      </c>
      <c r="AH125" s="181">
        <f>'Mortality Costs'!$L189</f>
        <v>30657984</v>
      </c>
      <c r="AI125" s="181">
        <f>'Mortality Costs'!$M189</f>
        <v>96071630</v>
      </c>
      <c r="AJ125" s="181">
        <f>'Workplace Smoking Costs'!$S134</f>
        <v>67540099.940732151</v>
      </c>
      <c r="AK125" s="181">
        <f>'Workplace Smoking Costs'!$S253</f>
        <v>65461943.019478858</v>
      </c>
      <c r="AL125" s="181">
        <f>'Workplace Smoking Costs'!$S372</f>
        <v>215608780.58002958</v>
      </c>
      <c r="AM125" s="181">
        <f t="shared" si="96"/>
        <v>348610823.54024059</v>
      </c>
      <c r="AN125" s="192">
        <f t="shared" si="97"/>
        <v>586841524.62508655</v>
      </c>
      <c r="AO125" s="192">
        <f t="shared" si="98"/>
        <v>533204953.05696118</v>
      </c>
      <c r="AP125" s="192">
        <f t="shared" si="99"/>
        <v>734707075.52826488</v>
      </c>
      <c r="AQ125" s="181">
        <f>tblTotalCosts_Base[Gross Domestic Product (GDP)]</f>
        <v>33921600000</v>
      </c>
      <c r="AR125" s="194">
        <f t="shared" si="88"/>
        <v>1.7299936460104668E-2</v>
      </c>
      <c r="AS125" s="194">
        <f t="shared" si="89"/>
        <v>1.5718744194170121E-2</v>
      </c>
      <c r="AT125" s="194">
        <f t="shared" si="90"/>
        <v>2.1658974680683247E-2</v>
      </c>
      <c r="AU125" s="189">
        <f>'Healthcare Expenditures'!$AL121</f>
        <v>23250350.915154099</v>
      </c>
      <c r="AV125" s="189">
        <f>'Healthcare Expenditures'!$AM121</f>
        <v>19805854.483279437</v>
      </c>
      <c r="AW125" s="189">
        <f>'Healthcare Expenditures'!$AN121</f>
        <v>37315378.011975706</v>
      </c>
      <c r="AX125" s="189">
        <f>'Healthcare Expenditures'!$AO121</f>
        <v>8430329.7797997147</v>
      </c>
      <c r="AY125" s="189">
        <f>'Healthcare Expenditures'!$AP121</f>
        <v>7181392.0346442237</v>
      </c>
      <c r="AZ125" s="189">
        <f>'Healthcare Expenditures'!$AQ121</f>
        <v>13530158.905851394</v>
      </c>
      <c r="BA125" s="189">
        <f>'Healthcare Expenditures'!$AR121</f>
        <v>13324168.534776554</v>
      </c>
      <c r="BB125" s="189">
        <f>'Healthcare Expenditures'!$AS121</f>
        <v>11350217.640735611</v>
      </c>
      <c r="BC125" s="189">
        <f>'Healthcare Expenditures'!$AT121</f>
        <v>21384468.018777162</v>
      </c>
      <c r="BD125" s="190">
        <f>'Mortality Costs'!$N189</f>
        <v>10533757</v>
      </c>
      <c r="BE125" s="190">
        <f>'Mortality Costs'!$O189</f>
        <v>6072623</v>
      </c>
      <c r="BF125" s="190">
        <f>'Mortality Costs'!$P189</f>
        <v>16124921</v>
      </c>
      <c r="BG125" s="190">
        <f>'Workplace Smoking Costs'!$V134</f>
        <v>8689897.9230773747</v>
      </c>
      <c r="BH125" s="190">
        <f>'Workplace Smoking Costs'!$V253</f>
        <v>8422516.4485211521</v>
      </c>
      <c r="BI125" s="190">
        <f>'Workplace Smoking Costs'!$V372</f>
        <v>27740827.985208541</v>
      </c>
      <c r="BJ125" s="190">
        <f t="shared" si="100"/>
        <v>44853242.356807068</v>
      </c>
      <c r="BK125" s="190">
        <f t="shared" si="101"/>
        <v>78637350.271961167</v>
      </c>
      <c r="BL125" s="190">
        <f t="shared" si="91"/>
        <v>70731719.840086505</v>
      </c>
      <c r="BM125" s="190">
        <f t="shared" si="92"/>
        <v>98293541.368782774</v>
      </c>
      <c r="BN125" s="197">
        <f>SUM('Intervention Costs'!$E$56+'Intervention Costs'!$D$56+'Intervention Costs'!$G$56+'Intervention Costs'!$F$56)</f>
        <v>487356.38954534929</v>
      </c>
      <c r="BO125" s="190">
        <f t="shared" si="93"/>
        <v>161.35491800019548</v>
      </c>
      <c r="BP125" s="190">
        <f t="shared" si="94"/>
        <v>145.13346158459424</v>
      </c>
      <c r="BQ125" s="218">
        <f t="shared" si="95"/>
        <v>201.68719129850743</v>
      </c>
    </row>
    <row r="126" spans="2:69">
      <c r="B126" s="202" t="s">
        <v>200</v>
      </c>
      <c r="C126" s="203" t="s">
        <v>121</v>
      </c>
      <c r="D126" s="204">
        <f t="shared" ref="D126:V126" si="102">SUM(D$111:D$115)</f>
        <v>1019790000</v>
      </c>
      <c r="E126" s="204">
        <f t="shared" si="102"/>
        <v>868710000</v>
      </c>
      <c r="F126" s="204">
        <f t="shared" si="102"/>
        <v>1636700000</v>
      </c>
      <c r="G126" s="204">
        <f t="shared" si="102"/>
        <v>369765000</v>
      </c>
      <c r="H126" s="204">
        <f t="shared" si="102"/>
        <v>314985000.00000006</v>
      </c>
      <c r="I126" s="204">
        <f t="shared" si="102"/>
        <v>593450000</v>
      </c>
      <c r="J126" s="204">
        <f t="shared" si="102"/>
        <v>584415000</v>
      </c>
      <c r="K126" s="204">
        <f t="shared" si="102"/>
        <v>497835000.00000006</v>
      </c>
      <c r="L126" s="204">
        <f t="shared" si="102"/>
        <v>937950000</v>
      </c>
      <c r="M126" s="204">
        <f t="shared" si="102"/>
        <v>320523302</v>
      </c>
      <c r="N126" s="204">
        <f t="shared" si="102"/>
        <v>172988000</v>
      </c>
      <c r="O126" s="204">
        <f t="shared" si="102"/>
        <v>528405685</v>
      </c>
      <c r="P126" s="204">
        <f t="shared" si="102"/>
        <v>381149989.31904763</v>
      </c>
      <c r="Q126" s="204">
        <f t="shared" si="102"/>
        <v>369422297.34000003</v>
      </c>
      <c r="R126" s="204">
        <f t="shared" si="102"/>
        <v>1216748042.8261905</v>
      </c>
      <c r="S126" s="204">
        <f t="shared" si="102"/>
        <v>1967320329.4852381</v>
      </c>
      <c r="T126" s="205">
        <f t="shared" si="102"/>
        <v>3307633631.4852381</v>
      </c>
      <c r="U126" s="205">
        <f t="shared" si="102"/>
        <v>3009018329.4852381</v>
      </c>
      <c r="V126" s="205">
        <f t="shared" si="102"/>
        <v>4132426014.4852381</v>
      </c>
      <c r="W126" s="360">
        <f>SUM(W$111:W$115)</f>
        <v>-0.1</v>
      </c>
      <c r="X126" s="212">
        <f t="shared" ref="X126:AQ126" si="103">SUM(X$111:X$115)</f>
        <v>960209984.18701434</v>
      </c>
      <c r="Y126" s="212">
        <f t="shared" si="103"/>
        <v>817956653.19634557</v>
      </c>
      <c r="Z126" s="212">
        <f t="shared" si="103"/>
        <v>1541077752.398912</v>
      </c>
      <c r="AA126" s="212">
        <f t="shared" si="103"/>
        <v>348161920.39823037</v>
      </c>
      <c r="AB126" s="212">
        <f t="shared" si="103"/>
        <v>296582376.63552958</v>
      </c>
      <c r="AC126" s="212">
        <f t="shared" si="103"/>
        <v>558778390.76259208</v>
      </c>
      <c r="AD126" s="212">
        <f t="shared" si="103"/>
        <v>550271249.87365437</v>
      </c>
      <c r="AE126" s="212">
        <f t="shared" si="103"/>
        <v>468749583.22570562</v>
      </c>
      <c r="AF126" s="212">
        <f t="shared" si="103"/>
        <v>883151388.68611193</v>
      </c>
      <c r="AG126" s="212">
        <f t="shared" si="103"/>
        <v>287615132</v>
      </c>
      <c r="AH126" s="212">
        <f t="shared" si="103"/>
        <v>152442048</v>
      </c>
      <c r="AI126" s="212">
        <f t="shared" si="103"/>
        <v>479797572</v>
      </c>
      <c r="AJ126" s="212">
        <f t="shared" si="103"/>
        <v>358881755.27993357</v>
      </c>
      <c r="AK126" s="212">
        <f t="shared" si="103"/>
        <v>347839239.73285872</v>
      </c>
      <c r="AL126" s="212">
        <f t="shared" si="103"/>
        <v>1145660988.0090189</v>
      </c>
      <c r="AM126" s="212">
        <f t="shared" si="103"/>
        <v>1852381983.021811</v>
      </c>
      <c r="AN126" s="213">
        <f t="shared" si="103"/>
        <v>3100207099.2088251</v>
      </c>
      <c r="AO126" s="213">
        <f t="shared" si="103"/>
        <v>2822780684.2181568</v>
      </c>
      <c r="AP126" s="213">
        <f t="shared" si="103"/>
        <v>3873257307.4207225</v>
      </c>
      <c r="AQ126" s="212">
        <f t="shared" si="103"/>
        <v>169608000000</v>
      </c>
      <c r="AR126" s="214">
        <f t="shared" si="88"/>
        <v>1.827866078963743E-2</v>
      </c>
      <c r="AS126" s="214">
        <f t="shared" si="89"/>
        <v>1.6642968988598159E-2</v>
      </c>
      <c r="AT126" s="214">
        <f t="shared" si="90"/>
        <v>2.2836524853902661E-2</v>
      </c>
      <c r="AU126" s="188">
        <f t="shared" ref="AU126:BN126" si="104">SUM(AU$111:AU$115)</f>
        <v>59580015.812985629</v>
      </c>
      <c r="AV126" s="188">
        <f t="shared" si="104"/>
        <v>50753346.803654492</v>
      </c>
      <c r="AW126" s="188">
        <f t="shared" si="104"/>
        <v>95622247.601087987</v>
      </c>
      <c r="AX126" s="188">
        <f t="shared" si="104"/>
        <v>21603079.601769619</v>
      </c>
      <c r="AY126" s="188">
        <f t="shared" si="104"/>
        <v>18402623.36447046</v>
      </c>
      <c r="AZ126" s="188">
        <f t="shared" si="104"/>
        <v>34671609.237407982</v>
      </c>
      <c r="BA126" s="188">
        <f t="shared" si="104"/>
        <v>34143750.126345605</v>
      </c>
      <c r="BB126" s="188">
        <f t="shared" si="104"/>
        <v>29085416.77429451</v>
      </c>
      <c r="BC126" s="188">
        <f t="shared" si="104"/>
        <v>54798611.313887954</v>
      </c>
      <c r="BD126" s="188">
        <f t="shared" si="104"/>
        <v>32908170</v>
      </c>
      <c r="BE126" s="188">
        <f t="shared" si="104"/>
        <v>20545952</v>
      </c>
      <c r="BF126" s="188">
        <f t="shared" si="104"/>
        <v>48608113</v>
      </c>
      <c r="BG126" s="188">
        <f t="shared" si="104"/>
        <v>22268234.039114043</v>
      </c>
      <c r="BH126" s="188">
        <f t="shared" si="104"/>
        <v>21583057.607141353</v>
      </c>
      <c r="BI126" s="188">
        <f t="shared" si="104"/>
        <v>71087054.817171782</v>
      </c>
      <c r="BJ126" s="188">
        <f t="shared" si="104"/>
        <v>114938346.46342719</v>
      </c>
      <c r="BK126" s="188">
        <f t="shared" si="104"/>
        <v>207426532.27641281</v>
      </c>
      <c r="BL126" s="188">
        <f t="shared" si="104"/>
        <v>186237645.26708168</v>
      </c>
      <c r="BM126" s="188">
        <f t="shared" si="104"/>
        <v>259168707.06451517</v>
      </c>
      <c r="BN126" s="215">
        <f t="shared" si="104"/>
        <v>4748445.9023322966</v>
      </c>
      <c r="BO126" s="166">
        <f t="shared" si="93"/>
        <v>43.68303578535685</v>
      </c>
      <c r="BP126" s="166">
        <f t="shared" si="94"/>
        <v>39.220757506283739</v>
      </c>
      <c r="BQ126" s="216">
        <f t="shared" si="95"/>
        <v>54.579690365055889</v>
      </c>
    </row>
    <row r="127" spans="2:69">
      <c r="B127" s="210" t="s">
        <v>329</v>
      </c>
      <c r="C127" s="211" t="s">
        <v>121</v>
      </c>
      <c r="D127" s="212">
        <f t="shared" ref="D127:V127" si="105">SUM(D$116:D$125)</f>
        <v>2039580000</v>
      </c>
      <c r="E127" s="212">
        <f t="shared" si="105"/>
        <v>1737420000</v>
      </c>
      <c r="F127" s="212">
        <f t="shared" si="105"/>
        <v>3273400000</v>
      </c>
      <c r="G127" s="212">
        <f t="shared" si="105"/>
        <v>739530000</v>
      </c>
      <c r="H127" s="212">
        <f t="shared" si="105"/>
        <v>629970000.00000012</v>
      </c>
      <c r="I127" s="212">
        <f t="shared" si="105"/>
        <v>1186900000</v>
      </c>
      <c r="J127" s="212">
        <f t="shared" si="105"/>
        <v>1168830000</v>
      </c>
      <c r="K127" s="212">
        <f t="shared" si="105"/>
        <v>995670000.00000012</v>
      </c>
      <c r="L127" s="212">
        <f t="shared" si="105"/>
        <v>1875900000</v>
      </c>
      <c r="M127" s="212">
        <f t="shared" si="105"/>
        <v>665531729</v>
      </c>
      <c r="N127" s="212">
        <f t="shared" si="105"/>
        <v>359190744</v>
      </c>
      <c r="O127" s="212">
        <f t="shared" si="105"/>
        <v>1097176965</v>
      </c>
      <c r="P127" s="212">
        <f t="shared" si="105"/>
        <v>762299978.63809538</v>
      </c>
      <c r="Q127" s="212">
        <f t="shared" si="105"/>
        <v>738844594.68000019</v>
      </c>
      <c r="R127" s="212">
        <f t="shared" si="105"/>
        <v>2433496085.6523805</v>
      </c>
      <c r="S127" s="212">
        <f t="shared" si="105"/>
        <v>3934640658.9704757</v>
      </c>
      <c r="T127" s="213">
        <f t="shared" si="105"/>
        <v>6639752387.9704771</v>
      </c>
      <c r="U127" s="213">
        <f t="shared" si="105"/>
        <v>6031251402.9704771</v>
      </c>
      <c r="V127" s="213">
        <f t="shared" si="105"/>
        <v>8305217623.9704781</v>
      </c>
      <c r="W127" s="361">
        <f>SUM(W$116:W$125)</f>
        <v>-1.9999999999999987E-2</v>
      </c>
      <c r="X127" s="212">
        <f t="shared" ref="X127:AQ127" si="106">SUM(X$116:X$125)</f>
        <v>1823460165.6553535</v>
      </c>
      <c r="Y127" s="212">
        <f t="shared" si="106"/>
        <v>1553317918.891597</v>
      </c>
      <c r="Z127" s="212">
        <f t="shared" si="106"/>
        <v>2926541006.607357</v>
      </c>
      <c r="AA127" s="212">
        <f t="shared" si="106"/>
        <v>661167248.30950677</v>
      </c>
      <c r="AB127" s="212">
        <f t="shared" si="106"/>
        <v>563216544.85624623</v>
      </c>
      <c r="AC127" s="212">
        <f t="shared" si="106"/>
        <v>1061132620.7436527</v>
      </c>
      <c r="AD127" s="212">
        <f t="shared" si="106"/>
        <v>1044977370.5483222</v>
      </c>
      <c r="AE127" s="212">
        <f t="shared" si="106"/>
        <v>890165908.24486685</v>
      </c>
      <c r="AF127" s="212">
        <f t="shared" si="106"/>
        <v>1677124174.9540973</v>
      </c>
      <c r="AG127" s="212">
        <f t="shared" si="106"/>
        <v>569201393</v>
      </c>
      <c r="AH127" s="212">
        <f t="shared" si="106"/>
        <v>302490744</v>
      </c>
      <c r="AI127" s="212">
        <f t="shared" si="106"/>
        <v>948462448</v>
      </c>
      <c r="AJ127" s="212">
        <f t="shared" si="106"/>
        <v>681524453.72404802</v>
      </c>
      <c r="AK127" s="212">
        <f t="shared" si="106"/>
        <v>660554470.53253889</v>
      </c>
      <c r="AL127" s="212">
        <f t="shared" si="106"/>
        <v>2175635756.1190767</v>
      </c>
      <c r="AM127" s="212">
        <f t="shared" si="106"/>
        <v>3517714680.3756638</v>
      </c>
      <c r="AN127" s="213">
        <f t="shared" si="106"/>
        <v>5910376239.0310173</v>
      </c>
      <c r="AO127" s="213">
        <f t="shared" si="106"/>
        <v>5373523343.2672596</v>
      </c>
      <c r="AP127" s="213">
        <f t="shared" si="106"/>
        <v>7392718134.9830208</v>
      </c>
      <c r="AQ127" s="212">
        <f t="shared" si="106"/>
        <v>339216000000</v>
      </c>
      <c r="AR127" s="214">
        <f t="shared" si="88"/>
        <v>1.7423636382219641E-2</v>
      </c>
      <c r="AS127" s="214">
        <f t="shared" si="89"/>
        <v>1.5841007921994422E-2</v>
      </c>
      <c r="AT127" s="214">
        <f t="shared" si="90"/>
        <v>2.1793541976153897E-2</v>
      </c>
      <c r="AU127" s="166">
        <f t="shared" ref="AU127:BN127" si="107">SUM(AU$116:AU$125)</f>
        <v>216119834.34464642</v>
      </c>
      <c r="AV127" s="166">
        <f t="shared" si="107"/>
        <v>184102081.10840282</v>
      </c>
      <c r="AW127" s="166">
        <f t="shared" si="107"/>
        <v>346858993.39264256</v>
      </c>
      <c r="AX127" s="166">
        <f t="shared" si="107"/>
        <v>78362751.690493301</v>
      </c>
      <c r="AY127" s="166">
        <f t="shared" si="107"/>
        <v>66753455.143753767</v>
      </c>
      <c r="AZ127" s="166">
        <f t="shared" si="107"/>
        <v>125767379.25634734</v>
      </c>
      <c r="BA127" s="166">
        <f t="shared" si="107"/>
        <v>123852629.45167778</v>
      </c>
      <c r="BB127" s="166">
        <f t="shared" si="107"/>
        <v>105504091.7551333</v>
      </c>
      <c r="BC127" s="166">
        <f t="shared" si="107"/>
        <v>198775825.04590276</v>
      </c>
      <c r="BD127" s="166">
        <f t="shared" si="107"/>
        <v>96330336</v>
      </c>
      <c r="BE127" s="166">
        <f t="shared" si="107"/>
        <v>56700000</v>
      </c>
      <c r="BF127" s="166">
        <f t="shared" si="107"/>
        <v>148714517</v>
      </c>
      <c r="BG127" s="166">
        <f t="shared" si="107"/>
        <v>80775524.914047241</v>
      </c>
      <c r="BH127" s="166">
        <f t="shared" si="107"/>
        <v>78290124.147461206</v>
      </c>
      <c r="BI127" s="166">
        <f t="shared" si="107"/>
        <v>257860329.53330454</v>
      </c>
      <c r="BJ127" s="166">
        <f t="shared" si="107"/>
        <v>416925978.59481299</v>
      </c>
      <c r="BK127" s="166">
        <f t="shared" si="107"/>
        <v>729376148.93945956</v>
      </c>
      <c r="BL127" s="166">
        <f t="shared" si="107"/>
        <v>657728059.70321572</v>
      </c>
      <c r="BM127" s="166">
        <f t="shared" si="107"/>
        <v>912499488.98745549</v>
      </c>
      <c r="BN127" s="215">
        <f t="shared" si="107"/>
        <v>5273707.05598957</v>
      </c>
      <c r="BO127" s="166">
        <f t="shared" si="93"/>
        <v>138.30425945086893</v>
      </c>
      <c r="BP127" s="166">
        <f t="shared" si="94"/>
        <v>124.71835327982551</v>
      </c>
      <c r="BQ127" s="216">
        <f t="shared" si="95"/>
        <v>173.02809566395834</v>
      </c>
    </row>
    <row r="128" spans="2:69">
      <c r="B128" s="217" t="s">
        <v>330</v>
      </c>
      <c r="C128" s="180" t="s">
        <v>121</v>
      </c>
      <c r="D128" s="181">
        <f t="shared" ref="D128:V128" si="108">SUM(D$111:D$125)</f>
        <v>3059370000</v>
      </c>
      <c r="E128" s="181">
        <f t="shared" si="108"/>
        <v>2606130000</v>
      </c>
      <c r="F128" s="181">
        <f t="shared" si="108"/>
        <v>4910100000</v>
      </c>
      <c r="G128" s="181">
        <f t="shared" si="108"/>
        <v>1109295000</v>
      </c>
      <c r="H128" s="181">
        <f t="shared" si="108"/>
        <v>944955000.00000012</v>
      </c>
      <c r="I128" s="181">
        <f t="shared" si="108"/>
        <v>1780350000</v>
      </c>
      <c r="J128" s="181">
        <f t="shared" si="108"/>
        <v>1753245000</v>
      </c>
      <c r="K128" s="181">
        <f t="shared" si="108"/>
        <v>1493505000.0000002</v>
      </c>
      <c r="L128" s="181">
        <f t="shared" si="108"/>
        <v>2813850000</v>
      </c>
      <c r="M128" s="181">
        <f t="shared" si="108"/>
        <v>986055031</v>
      </c>
      <c r="N128" s="181">
        <f t="shared" si="108"/>
        <v>532178744</v>
      </c>
      <c r="O128" s="181">
        <f t="shared" si="108"/>
        <v>1625582650</v>
      </c>
      <c r="P128" s="181">
        <f t="shared" si="108"/>
        <v>1143449967.9571433</v>
      </c>
      <c r="Q128" s="181">
        <f t="shared" si="108"/>
        <v>1108266892.0200005</v>
      </c>
      <c r="R128" s="181">
        <f t="shared" si="108"/>
        <v>3650244128.4785705</v>
      </c>
      <c r="S128" s="181">
        <f t="shared" si="108"/>
        <v>5901960988.4557152</v>
      </c>
      <c r="T128" s="192">
        <f t="shared" si="108"/>
        <v>9947386019.4557152</v>
      </c>
      <c r="U128" s="192">
        <f t="shared" si="108"/>
        <v>9040269732.4557171</v>
      </c>
      <c r="V128" s="192">
        <f t="shared" si="108"/>
        <v>12437643638.455713</v>
      </c>
      <c r="W128" s="362">
        <f>SUM(W$111:W$125)</f>
        <v>-0.12000000000000002</v>
      </c>
      <c r="X128" s="181">
        <f t="shared" ref="X128:AQ128" si="109">SUM(X$111:X$125)</f>
        <v>2783670149.8423681</v>
      </c>
      <c r="Y128" s="181">
        <f t="shared" si="109"/>
        <v>2371274572.0879431</v>
      </c>
      <c r="Z128" s="181">
        <f t="shared" si="109"/>
        <v>4467618759.0062695</v>
      </c>
      <c r="AA128" s="181">
        <f t="shared" si="109"/>
        <v>1009329168.7077371</v>
      </c>
      <c r="AB128" s="181">
        <f t="shared" si="109"/>
        <v>859798921.49177587</v>
      </c>
      <c r="AC128" s="181">
        <f t="shared" si="109"/>
        <v>1619911011.5062449</v>
      </c>
      <c r="AD128" s="181">
        <f t="shared" si="109"/>
        <v>1595248620.4219766</v>
      </c>
      <c r="AE128" s="181">
        <f t="shared" si="109"/>
        <v>1358915491.4705725</v>
      </c>
      <c r="AF128" s="181">
        <f t="shared" si="109"/>
        <v>2560275563.6402092</v>
      </c>
      <c r="AG128" s="181">
        <f t="shared" si="109"/>
        <v>856816525</v>
      </c>
      <c r="AH128" s="181">
        <f t="shared" si="109"/>
        <v>454932792</v>
      </c>
      <c r="AI128" s="181">
        <f t="shared" si="109"/>
        <v>1428260020</v>
      </c>
      <c r="AJ128" s="181">
        <f t="shared" si="109"/>
        <v>1040406209.0039815</v>
      </c>
      <c r="AK128" s="181">
        <f t="shared" si="109"/>
        <v>1008393710.2653975</v>
      </c>
      <c r="AL128" s="181">
        <f t="shared" si="109"/>
        <v>3321296744.1280956</v>
      </c>
      <c r="AM128" s="181">
        <f t="shared" si="109"/>
        <v>5370096663.3974743</v>
      </c>
      <c r="AN128" s="192">
        <f t="shared" si="109"/>
        <v>9010583338.2398434</v>
      </c>
      <c r="AO128" s="192">
        <f t="shared" si="109"/>
        <v>8196304027.4854174</v>
      </c>
      <c r="AP128" s="192">
        <f t="shared" si="109"/>
        <v>11265975442.403744</v>
      </c>
      <c r="AQ128" s="181">
        <f t="shared" si="109"/>
        <v>508824000000</v>
      </c>
      <c r="AR128" s="194">
        <f t="shared" si="88"/>
        <v>1.7708644518025573E-2</v>
      </c>
      <c r="AS128" s="194">
        <f t="shared" si="89"/>
        <v>1.6108328277529001E-2</v>
      </c>
      <c r="AT128" s="194">
        <f t="shared" si="90"/>
        <v>2.2141202935403486E-2</v>
      </c>
      <c r="AU128" s="190">
        <f t="shared" ref="AU128:BN128" si="110">SUM(AU$111:AU$125)</f>
        <v>275699850.15763205</v>
      </c>
      <c r="AV128" s="190">
        <f t="shared" si="110"/>
        <v>234855427.91205731</v>
      </c>
      <c r="AW128" s="190">
        <f t="shared" si="110"/>
        <v>442481240.99373055</v>
      </c>
      <c r="AX128" s="190">
        <f t="shared" si="110"/>
        <v>99965831.292262927</v>
      </c>
      <c r="AY128" s="190">
        <f t="shared" si="110"/>
        <v>85156078.508224219</v>
      </c>
      <c r="AZ128" s="190">
        <f t="shared" si="110"/>
        <v>160438988.49375531</v>
      </c>
      <c r="BA128" s="190">
        <f t="shared" si="110"/>
        <v>157996379.57802337</v>
      </c>
      <c r="BB128" s="190">
        <f t="shared" si="110"/>
        <v>134589508.52942783</v>
      </c>
      <c r="BC128" s="190">
        <f t="shared" si="110"/>
        <v>253574436.35979071</v>
      </c>
      <c r="BD128" s="190">
        <f t="shared" si="110"/>
        <v>129238506</v>
      </c>
      <c r="BE128" s="190">
        <f t="shared" si="110"/>
        <v>77245952</v>
      </c>
      <c r="BF128" s="190">
        <f t="shared" si="110"/>
        <v>197322630</v>
      </c>
      <c r="BG128" s="190">
        <f t="shared" si="110"/>
        <v>103043758.95316128</v>
      </c>
      <c r="BH128" s="190">
        <f t="shared" si="110"/>
        <v>99873181.754602566</v>
      </c>
      <c r="BI128" s="190">
        <f t="shared" si="110"/>
        <v>328947384.35047626</v>
      </c>
      <c r="BJ128" s="190">
        <f t="shared" si="110"/>
        <v>531864325.05824023</v>
      </c>
      <c r="BK128" s="190">
        <f t="shared" si="110"/>
        <v>936802681.21587229</v>
      </c>
      <c r="BL128" s="190">
        <f t="shared" si="110"/>
        <v>843965704.97029734</v>
      </c>
      <c r="BM128" s="190">
        <f t="shared" si="110"/>
        <v>1171668196.0519707</v>
      </c>
      <c r="BN128" s="197">
        <f t="shared" si="110"/>
        <v>10022152.958321868</v>
      </c>
      <c r="BO128" s="190">
        <f t="shared" si="93"/>
        <v>93.473197337105177</v>
      </c>
      <c r="BP128" s="190">
        <f t="shared" si="94"/>
        <v>84.210020389831783</v>
      </c>
      <c r="BQ128" s="218">
        <f t="shared" si="95"/>
        <v>116.90783416741601</v>
      </c>
    </row>
    <row r="129" spans="2:69">
      <c r="D129" s="178"/>
      <c r="E129" s="178"/>
      <c r="F129" s="178"/>
      <c r="G129" s="178"/>
      <c r="H129" s="178"/>
      <c r="I129" s="178"/>
      <c r="J129" s="178"/>
    </row>
    <row r="130" spans="2:69">
      <c r="D130" s="178"/>
      <c r="E130" s="178"/>
      <c r="F130" s="178"/>
      <c r="G130" s="178"/>
      <c r="H130" s="178"/>
      <c r="I130" s="178"/>
      <c r="J130" s="178"/>
    </row>
    <row r="131" spans="2:69" ht="21">
      <c r="B131" s="199" t="s">
        <v>362</v>
      </c>
      <c r="D131" s="178"/>
      <c r="E131" s="178"/>
      <c r="F131" s="178"/>
      <c r="G131" s="178"/>
      <c r="H131" s="178"/>
      <c r="I131" s="178"/>
      <c r="J131" s="178"/>
    </row>
    <row r="134" spans="2:69" ht="75.95" customHeight="1">
      <c r="B134" s="4" t="s">
        <v>0</v>
      </c>
      <c r="C134" s="4" t="s">
        <v>120</v>
      </c>
      <c r="D134" s="4" t="s">
        <v>698</v>
      </c>
      <c r="E134" s="4" t="s">
        <v>699</v>
      </c>
      <c r="F134" s="4" t="s">
        <v>700</v>
      </c>
      <c r="G134" s="358" t="s">
        <v>720</v>
      </c>
      <c r="H134" s="358" t="s">
        <v>721</v>
      </c>
      <c r="I134" s="358" t="s">
        <v>722</v>
      </c>
      <c r="J134" s="358" t="s">
        <v>723</v>
      </c>
      <c r="K134" s="358" t="s">
        <v>724</v>
      </c>
      <c r="L134" s="358" t="s">
        <v>725</v>
      </c>
      <c r="M134" s="358" t="s">
        <v>704</v>
      </c>
      <c r="N134" s="358" t="s">
        <v>705</v>
      </c>
      <c r="O134" s="358" t="s">
        <v>706</v>
      </c>
      <c r="P134" s="358" t="s">
        <v>711</v>
      </c>
      <c r="Q134" s="358" t="s">
        <v>712</v>
      </c>
      <c r="R134" s="358" t="s">
        <v>713</v>
      </c>
      <c r="S134" s="358" t="s">
        <v>714</v>
      </c>
      <c r="T134" s="359" t="s">
        <v>715</v>
      </c>
      <c r="U134" s="359" t="s">
        <v>716</v>
      </c>
      <c r="V134" s="359" t="s">
        <v>717</v>
      </c>
      <c r="W134" s="357" t="s">
        <v>332</v>
      </c>
      <c r="X134" s="4" t="s">
        <v>472</v>
      </c>
      <c r="Y134" s="4" t="s">
        <v>473</v>
      </c>
      <c r="Z134" s="4" t="s">
        <v>476</v>
      </c>
      <c r="AA134" s="4" t="s">
        <v>474</v>
      </c>
      <c r="AB134" s="4" t="s">
        <v>475</v>
      </c>
      <c r="AC134" s="4" t="s">
        <v>477</v>
      </c>
      <c r="AD134" s="4" t="s">
        <v>478</v>
      </c>
      <c r="AE134" s="4" t="s">
        <v>479</v>
      </c>
      <c r="AF134" s="4" t="s">
        <v>480</v>
      </c>
      <c r="AG134" s="4" t="s">
        <v>606</v>
      </c>
      <c r="AH134" s="4" t="s">
        <v>612</v>
      </c>
      <c r="AI134" s="4" t="s">
        <v>613</v>
      </c>
      <c r="AJ134" s="4" t="s">
        <v>337</v>
      </c>
      <c r="AK134" s="4" t="s">
        <v>338</v>
      </c>
      <c r="AL134" s="4" t="s">
        <v>339</v>
      </c>
      <c r="AM134" s="4" t="s">
        <v>324</v>
      </c>
      <c r="AN134" s="195" t="s">
        <v>482</v>
      </c>
      <c r="AO134" s="195" t="s">
        <v>483</v>
      </c>
      <c r="AP134" s="195" t="s">
        <v>484</v>
      </c>
      <c r="AQ134" s="4" t="s">
        <v>340</v>
      </c>
      <c r="AR134" s="195" t="s">
        <v>481</v>
      </c>
      <c r="AS134" s="195" t="s">
        <v>485</v>
      </c>
      <c r="AT134" s="195" t="s">
        <v>486</v>
      </c>
      <c r="AU134" s="185" t="s">
        <v>355</v>
      </c>
      <c r="AV134" s="185" t="s">
        <v>487</v>
      </c>
      <c r="AW134" s="185" t="s">
        <v>488</v>
      </c>
      <c r="AX134" s="185" t="s">
        <v>356</v>
      </c>
      <c r="AY134" s="185" t="s">
        <v>489</v>
      </c>
      <c r="AZ134" s="185" t="s">
        <v>490</v>
      </c>
      <c r="BA134" s="185" t="s">
        <v>357</v>
      </c>
      <c r="BB134" s="185" t="s">
        <v>491</v>
      </c>
      <c r="BC134" s="185" t="s">
        <v>492</v>
      </c>
      <c r="BD134" s="187" t="s">
        <v>358</v>
      </c>
      <c r="BE134" s="187" t="s">
        <v>495</v>
      </c>
      <c r="BF134" s="187" t="s">
        <v>496</v>
      </c>
      <c r="BG134" s="186" t="s">
        <v>351</v>
      </c>
      <c r="BH134" s="186" t="s">
        <v>352</v>
      </c>
      <c r="BI134" s="186" t="s">
        <v>353</v>
      </c>
      <c r="BJ134" s="186" t="s">
        <v>354</v>
      </c>
      <c r="BK134" s="191" t="s">
        <v>174</v>
      </c>
      <c r="BL134" s="191" t="s">
        <v>493</v>
      </c>
      <c r="BM134" s="191" t="s">
        <v>494</v>
      </c>
      <c r="BN134" s="198" t="s">
        <v>202</v>
      </c>
      <c r="BO134" s="191" t="s">
        <v>366</v>
      </c>
      <c r="BP134" s="191" t="s">
        <v>367</v>
      </c>
      <c r="BQ134" s="191" t="s">
        <v>368</v>
      </c>
    </row>
    <row r="135" spans="2:69">
      <c r="B135" s="202">
        <v>1</v>
      </c>
      <c r="C135" s="203" t="s">
        <v>122</v>
      </c>
      <c r="D135" s="204">
        <f>'Healthcare Expenditures'!$J131</f>
        <v>203958000</v>
      </c>
      <c r="E135" s="204">
        <f>'Healthcare Expenditures'!$K131</f>
        <v>173742000</v>
      </c>
      <c r="F135" s="204">
        <f>'Healthcare Expenditures'!$L131</f>
        <v>327340000</v>
      </c>
      <c r="G135" s="204">
        <f>'Healthcare Expenditures'!$M131</f>
        <v>73953000</v>
      </c>
      <c r="H135" s="204">
        <f>'Healthcare Expenditures'!$N131</f>
        <v>62997000.000000007</v>
      </c>
      <c r="I135" s="204">
        <f>'Healthcare Expenditures'!$O131</f>
        <v>118690000</v>
      </c>
      <c r="J135" s="204">
        <f>'Healthcare Expenditures'!$P131</f>
        <v>116883000</v>
      </c>
      <c r="K135" s="204">
        <f>'Healthcare Expenditures'!$Q131</f>
        <v>99567000.000000015</v>
      </c>
      <c r="L135" s="204">
        <f>'Healthcare Expenditures'!$R131</f>
        <v>187590000</v>
      </c>
      <c r="M135" s="212">
        <f>'Mortality Costs'!$G190</f>
        <v>63466799</v>
      </c>
      <c r="N135" s="212">
        <f>'Mortality Costs'!$H190</f>
        <v>34253341</v>
      </c>
      <c r="O135" s="212">
        <f>'Mortality Costs'!$I190</f>
        <v>104629575</v>
      </c>
      <c r="P135" s="204">
        <f>'Workplace Smoking Costs'!$K143</f>
        <v>76229997.863809526</v>
      </c>
      <c r="Q135" s="204">
        <f>'Workplace Smoking Costs'!$K262</f>
        <v>73884459.46800001</v>
      </c>
      <c r="R135" s="204">
        <f>'Workplace Smoking Costs'!$K381</f>
        <v>243349608.56523812</v>
      </c>
      <c r="S135" s="204">
        <f t="shared" ref="S135:S149" si="111">P135+Q135+R135</f>
        <v>393464065.89704764</v>
      </c>
      <c r="T135" s="205">
        <f t="shared" ref="T135:T149" si="112">D135+M135+S135</f>
        <v>660888864.89704764</v>
      </c>
      <c r="U135" s="205">
        <f t="shared" ref="U135:U149" si="113">E135+N135+S135</f>
        <v>601459406.89704764</v>
      </c>
      <c r="V135" s="205">
        <f t="shared" ref="V135:V149" si="114">F135+O135+S135</f>
        <v>825433640.89704764</v>
      </c>
      <c r="W135" s="354">
        <f>'Intervention Impacts'!$G$63</f>
        <v>-1.2E-2</v>
      </c>
      <c r="X135" s="204">
        <f>'Healthcare Expenditures'!$Z131</f>
        <v>201510504</v>
      </c>
      <c r="Y135" s="204">
        <f>'Healthcare Expenditures'!$AA131</f>
        <v>171657096.00000003</v>
      </c>
      <c r="Z135" s="204">
        <f>'Healthcare Expenditures'!$AB131</f>
        <v>323411920</v>
      </c>
      <c r="AA135" s="204">
        <f>'Healthcare Expenditures'!$AC131</f>
        <v>73065564</v>
      </c>
      <c r="AB135" s="204">
        <f>'Healthcare Expenditures'!$AD131</f>
        <v>62241036.000000007</v>
      </c>
      <c r="AC135" s="204">
        <f>'Healthcare Expenditures'!$AE131</f>
        <v>117265720</v>
      </c>
      <c r="AD135" s="204">
        <f>'Healthcare Expenditures'!$AF131</f>
        <v>115480404</v>
      </c>
      <c r="AE135" s="204">
        <f>'Healthcare Expenditures'!$AG131</f>
        <v>98372196.000000015</v>
      </c>
      <c r="AF135" s="204">
        <f>'Healthcare Expenditures'!$AH131</f>
        <v>185338920</v>
      </c>
      <c r="AG135" s="204">
        <f>'Mortality Costs'!$K190</f>
        <v>59269929</v>
      </c>
      <c r="AH135" s="204">
        <f>'Mortality Costs'!$L190</f>
        <v>31394354</v>
      </c>
      <c r="AI135" s="204">
        <f>'Mortality Costs'!$M190</f>
        <v>99067356</v>
      </c>
      <c r="AJ135" s="204">
        <f>'Workplace Smoking Costs'!$S143</f>
        <v>75315237.889443815</v>
      </c>
      <c r="AK135" s="204">
        <f>'Workplace Smoking Costs'!$S262</f>
        <v>72997845.954383999</v>
      </c>
      <c r="AL135" s="204">
        <f>'Workplace Smoking Costs'!$S381</f>
        <v>240429413.26245525</v>
      </c>
      <c r="AM135" s="204">
        <f>AJ135+AK135+AL135</f>
        <v>388742497.10628307</v>
      </c>
      <c r="AN135" s="205">
        <f>X135+AG135+AM135</f>
        <v>649522930.10628307</v>
      </c>
      <c r="AO135" s="205">
        <f>Y135+AH135+AM135</f>
        <v>591793947.10628307</v>
      </c>
      <c r="AP135" s="205">
        <f>Z135+AI135+AM135</f>
        <v>811221773.10628307</v>
      </c>
      <c r="AQ135" s="204">
        <f>tblTotalCosts_Base[Gross Domestic Product (GDP)]</f>
        <v>33921600000</v>
      </c>
      <c r="AR135" s="206">
        <f t="shared" ref="AR135:AR152" si="115">AN135/$AQ135</f>
        <v>1.9147768091902596E-2</v>
      </c>
      <c r="AS135" s="206">
        <f t="shared" ref="AS135:AS152" si="116">AO135/$AQ135</f>
        <v>1.7445932594756235E-2</v>
      </c>
      <c r="AT135" s="206">
        <f t="shared" ref="AT135:AT152" si="117">AP135/$AQ135</f>
        <v>2.3914608187888632E-2</v>
      </c>
      <c r="AU135" s="207">
        <f>'Healthcare Expenditures'!$AL131</f>
        <v>2447496</v>
      </c>
      <c r="AV135" s="207">
        <f>'Healthcare Expenditures'!$AM131</f>
        <v>2084903.9999999702</v>
      </c>
      <c r="AW135" s="207">
        <f>'Healthcare Expenditures'!$AN131</f>
        <v>3928080</v>
      </c>
      <c r="AX135" s="207">
        <f>'Healthcare Expenditures'!$AO131</f>
        <v>887436</v>
      </c>
      <c r="AY135" s="207">
        <f>'Healthcare Expenditures'!$AP131</f>
        <v>755964</v>
      </c>
      <c r="AZ135" s="207">
        <f>'Healthcare Expenditures'!$AQ131</f>
        <v>1424280</v>
      </c>
      <c r="BA135" s="207">
        <f>'Healthcare Expenditures'!$AR131</f>
        <v>1402596</v>
      </c>
      <c r="BB135" s="207">
        <f>'Healthcare Expenditures'!$AS131</f>
        <v>1194804</v>
      </c>
      <c r="BC135" s="207">
        <f>'Healthcare Expenditures'!$AT131</f>
        <v>2251080</v>
      </c>
      <c r="BD135" s="208">
        <f>'Mortality Costs'!$N190</f>
        <v>4196870</v>
      </c>
      <c r="BE135" s="208">
        <f>'Mortality Costs'!$O190</f>
        <v>2858987</v>
      </c>
      <c r="BF135" s="208">
        <f>'Mortality Costs'!$P190</f>
        <v>5562219</v>
      </c>
      <c r="BG135" s="208">
        <f>'Workplace Smoking Costs'!$V143</f>
        <v>914759.97436571121</v>
      </c>
      <c r="BH135" s="208">
        <f>'Workplace Smoking Costs'!$V262</f>
        <v>886613.51361601055</v>
      </c>
      <c r="BI135" s="208">
        <f>'Workplace Smoking Costs'!$V381</f>
        <v>2920195.3027828634</v>
      </c>
      <c r="BJ135" s="208">
        <f>BG135+BH135+BI135</f>
        <v>4721568.7907645851</v>
      </c>
      <c r="BK135" s="208">
        <f>AU135+BD135+BJ135</f>
        <v>11365934.790764585</v>
      </c>
      <c r="BL135" s="208">
        <f t="shared" ref="BL135:BL149" si="118">AV135+BE135+BJ135</f>
        <v>9665459.7907645553</v>
      </c>
      <c r="BM135" s="208">
        <f t="shared" ref="BM135:BM149" si="119">AW135+BF135+BJ135</f>
        <v>14211867.790764585</v>
      </c>
      <c r="BN135" s="209">
        <f>SUM('Intervention Costs'!$E$42+'Intervention Costs'!$D$42+'Intervention Costs'!$G$42+'Intervention Costs'!$F$42)</f>
        <v>977845.09626223892</v>
      </c>
      <c r="BO135" s="166">
        <f>BK135/$BN135</f>
        <v>11.623451233953382</v>
      </c>
      <c r="BP135" s="166">
        <f>BL135/$BN135</f>
        <v>9.8844488024844264</v>
      </c>
      <c r="BQ135" s="216">
        <f t="shared" ref="BQ135:BQ152" si="120">BM135/$BN135</f>
        <v>14.533864151989611</v>
      </c>
    </row>
    <row r="136" spans="2:69">
      <c r="B136" s="210">
        <v>2</v>
      </c>
      <c r="C136" s="211" t="s">
        <v>122</v>
      </c>
      <c r="D136" s="212">
        <f>'Healthcare Expenditures'!$J132</f>
        <v>203958000</v>
      </c>
      <c r="E136" s="212">
        <f>'Healthcare Expenditures'!$K132</f>
        <v>173742000</v>
      </c>
      <c r="F136" s="212">
        <f>'Healthcare Expenditures'!$L132</f>
        <v>327340000</v>
      </c>
      <c r="G136" s="212">
        <f>'Healthcare Expenditures'!$M132</f>
        <v>73953000</v>
      </c>
      <c r="H136" s="212">
        <f>'Healthcare Expenditures'!$N132</f>
        <v>62997000.000000007</v>
      </c>
      <c r="I136" s="212">
        <f>'Healthcare Expenditures'!$O132</f>
        <v>118690000</v>
      </c>
      <c r="J136" s="212">
        <f>'Healthcare Expenditures'!$P132</f>
        <v>116883000</v>
      </c>
      <c r="K136" s="212">
        <f>'Healthcare Expenditures'!$Q132</f>
        <v>99567000.000000015</v>
      </c>
      <c r="L136" s="212">
        <f>'Healthcare Expenditures'!$R132</f>
        <v>187590000</v>
      </c>
      <c r="M136" s="212">
        <f>'Mortality Costs'!$G191</f>
        <v>63784156</v>
      </c>
      <c r="N136" s="212">
        <f>'Mortality Costs'!$H191</f>
        <v>34424628</v>
      </c>
      <c r="O136" s="212">
        <f>'Mortality Costs'!$I191</f>
        <v>105152764</v>
      </c>
      <c r="P136" s="212">
        <f>'Workplace Smoking Costs'!$K144</f>
        <v>76229997.863809526</v>
      </c>
      <c r="Q136" s="212">
        <f>'Workplace Smoking Costs'!$K263</f>
        <v>73884459.46800001</v>
      </c>
      <c r="R136" s="212">
        <f>'Workplace Smoking Costs'!$K382</f>
        <v>243349608.56523812</v>
      </c>
      <c r="S136" s="212">
        <f t="shared" si="111"/>
        <v>393464065.89704764</v>
      </c>
      <c r="T136" s="213">
        <f t="shared" si="112"/>
        <v>661206221.89704764</v>
      </c>
      <c r="U136" s="213">
        <f t="shared" si="113"/>
        <v>601630693.89704764</v>
      </c>
      <c r="V136" s="213">
        <f t="shared" si="114"/>
        <v>825956829.89704764</v>
      </c>
      <c r="W136" s="355">
        <f>'Intervention Impacts'!$G$64</f>
        <v>-1.2E-2</v>
      </c>
      <c r="X136" s="212">
        <f>'Healthcare Expenditures'!$Z132</f>
        <v>199092377.95199999</v>
      </c>
      <c r="Y136" s="212">
        <f>'Healthcare Expenditures'!$AA132</f>
        <v>169597210.84800002</v>
      </c>
      <c r="Z136" s="212">
        <f>'Healthcare Expenditures'!$AB132</f>
        <v>319530976.95999998</v>
      </c>
      <c r="AA136" s="212">
        <f>'Healthcare Expenditures'!$AC132</f>
        <v>72188777.231999993</v>
      </c>
      <c r="AB136" s="212">
        <f>'Healthcare Expenditures'!$AD132</f>
        <v>61494143.568000004</v>
      </c>
      <c r="AC136" s="212">
        <f>'Healthcare Expenditures'!$AE132</f>
        <v>115858531.36</v>
      </c>
      <c r="AD136" s="212">
        <f>'Healthcare Expenditures'!$AF132</f>
        <v>114094639.152</v>
      </c>
      <c r="AE136" s="212">
        <f>'Healthcare Expenditures'!$AG132</f>
        <v>97191729.648000002</v>
      </c>
      <c r="AF136" s="212">
        <f>'Healthcare Expenditures'!$AH132</f>
        <v>183114852.95999998</v>
      </c>
      <c r="AG136" s="212">
        <f>'Mortality Costs'!$K191</f>
        <v>59059767</v>
      </c>
      <c r="AH136" s="212">
        <f>'Mortality Costs'!$L191</f>
        <v>31275042</v>
      </c>
      <c r="AI136" s="212">
        <f>'Mortality Costs'!$M191</f>
        <v>98678594</v>
      </c>
      <c r="AJ136" s="212">
        <f>'Workplace Smoking Costs'!$S144</f>
        <v>74411455.034770489</v>
      </c>
      <c r="AK136" s="212">
        <f>'Workplace Smoking Costs'!$S263</f>
        <v>72121871.802931398</v>
      </c>
      <c r="AL136" s="212">
        <f>'Workplace Smoking Costs'!$S382</f>
        <v>237544260.30330583</v>
      </c>
      <c r="AM136" s="212">
        <f t="shared" ref="AM136:AM149" si="121">AJ136+AK136+AL136</f>
        <v>384077587.14100772</v>
      </c>
      <c r="AN136" s="213">
        <f t="shared" ref="AN136:AN149" si="122">X136+AG136+AM136</f>
        <v>642229732.09300768</v>
      </c>
      <c r="AO136" s="213">
        <f t="shared" ref="AO136:AO149" si="123">Y136+AH136+AM136</f>
        <v>584949839.98900771</v>
      </c>
      <c r="AP136" s="213">
        <f t="shared" ref="AP136:AP149" si="124">Z136+AI136+AM136</f>
        <v>802287158.1010077</v>
      </c>
      <c r="AQ136" s="212">
        <f>tblTotalCosts_Base[Gross Domestic Product (GDP)]</f>
        <v>33921600000</v>
      </c>
      <c r="AR136" s="214">
        <f t="shared" si="115"/>
        <v>1.8932766499605198E-2</v>
      </c>
      <c r="AS136" s="214">
        <f t="shared" si="116"/>
        <v>1.7244170085992633E-2</v>
      </c>
      <c r="AT136" s="214">
        <f t="shared" si="117"/>
        <v>2.3651218046937872E-2</v>
      </c>
      <c r="AU136" s="188">
        <f>'Healthcare Expenditures'!$AL132</f>
        <v>4865622.0480000079</v>
      </c>
      <c r="AV136" s="188">
        <f>'Healthcare Expenditures'!$AM132</f>
        <v>4144789.1519999802</v>
      </c>
      <c r="AW136" s="188">
        <f>'Healthcare Expenditures'!$AN132</f>
        <v>7809023.0400000215</v>
      </c>
      <c r="AX136" s="188">
        <f>'Healthcare Expenditures'!$AO132</f>
        <v>1764222.7680000067</v>
      </c>
      <c r="AY136" s="188">
        <f>'Healthcare Expenditures'!$AP132</f>
        <v>1502856.4320000038</v>
      </c>
      <c r="AZ136" s="188">
        <f>'Healthcare Expenditures'!$AQ132</f>
        <v>2831468.6400000006</v>
      </c>
      <c r="BA136" s="188">
        <f>'Healthcare Expenditures'!$AR132</f>
        <v>2788360.8480000049</v>
      </c>
      <c r="BB136" s="188">
        <f>'Healthcare Expenditures'!$AS132</f>
        <v>2375270.352000013</v>
      </c>
      <c r="BC136" s="188">
        <f>'Healthcare Expenditures'!$AT132</f>
        <v>4475147.0400000215</v>
      </c>
      <c r="BD136" s="166">
        <f>'Mortality Costs'!$N191</f>
        <v>4724389</v>
      </c>
      <c r="BE136" s="166">
        <f>'Mortality Costs'!$O191</f>
        <v>3149586</v>
      </c>
      <c r="BF136" s="166">
        <f>'Mortality Costs'!$P191</f>
        <v>6474170</v>
      </c>
      <c r="BG136" s="166">
        <f>'Workplace Smoking Costs'!$V144</f>
        <v>1818542.8290390372</v>
      </c>
      <c r="BH136" s="166">
        <f>'Workplace Smoking Costs'!$V263</f>
        <v>1762587.6650686115</v>
      </c>
      <c r="BI136" s="166">
        <f>'Workplace Smoking Costs'!$V382</f>
        <v>5805348.2619322836</v>
      </c>
      <c r="BJ136" s="166">
        <f t="shared" ref="BJ136:BJ149" si="125">BG136+BH136+BI136</f>
        <v>9386478.7560399324</v>
      </c>
      <c r="BK136" s="166">
        <f t="shared" ref="BK136:BK149" si="126">AU136+BD136+BJ136</f>
        <v>18976489.80403994</v>
      </c>
      <c r="BL136" s="166">
        <f t="shared" si="118"/>
        <v>16680853.908039913</v>
      </c>
      <c r="BM136" s="166">
        <f t="shared" si="119"/>
        <v>23669671.796039954</v>
      </c>
      <c r="BN136" s="215">
        <f>SUM('Intervention Costs'!$E$43+'Intervention Costs'!$D$43+'Intervention Costs'!$G$43+'Intervention Costs'!$F$43)</f>
        <v>1239351.5852383957</v>
      </c>
      <c r="BO136" s="166">
        <f t="shared" ref="BO136:BO152" si="127">BK136/$BN136</f>
        <v>15.311627491394795</v>
      </c>
      <c r="BP136" s="166">
        <f t="shared" ref="BP136:BP152" si="128">BL136/$BN136</f>
        <v>13.459339631079153</v>
      </c>
      <c r="BQ136" s="216">
        <f t="shared" si="120"/>
        <v>19.098431855789308</v>
      </c>
    </row>
    <row r="137" spans="2:69">
      <c r="B137" s="210">
        <v>3</v>
      </c>
      <c r="C137" s="211" t="s">
        <v>122</v>
      </c>
      <c r="D137" s="212">
        <f>'Healthcare Expenditures'!$J133</f>
        <v>203958000</v>
      </c>
      <c r="E137" s="212">
        <f>'Healthcare Expenditures'!$K133</f>
        <v>173742000</v>
      </c>
      <c r="F137" s="212">
        <f>'Healthcare Expenditures'!$L133</f>
        <v>327340000</v>
      </c>
      <c r="G137" s="212">
        <f>'Healthcare Expenditures'!$M133</f>
        <v>73953000</v>
      </c>
      <c r="H137" s="212">
        <f>'Healthcare Expenditures'!$N133</f>
        <v>62997000.000000007</v>
      </c>
      <c r="I137" s="212">
        <f>'Healthcare Expenditures'!$O133</f>
        <v>118690000</v>
      </c>
      <c r="J137" s="212">
        <f>'Healthcare Expenditures'!$P133</f>
        <v>116883000</v>
      </c>
      <c r="K137" s="212">
        <f>'Healthcare Expenditures'!$Q133</f>
        <v>99567000.000000015</v>
      </c>
      <c r="L137" s="212">
        <f>'Healthcare Expenditures'!$R133</f>
        <v>187590000</v>
      </c>
      <c r="M137" s="212">
        <f>'Mortality Costs'!$G192</f>
        <v>64103066</v>
      </c>
      <c r="N137" s="212">
        <f>'Mortality Costs'!$H192</f>
        <v>34596732</v>
      </c>
      <c r="O137" s="212">
        <f>'Mortality Costs'!$I192</f>
        <v>105678517</v>
      </c>
      <c r="P137" s="212">
        <f>'Workplace Smoking Costs'!$K145</f>
        <v>76229997.863809526</v>
      </c>
      <c r="Q137" s="212">
        <f>'Workplace Smoking Costs'!$K264</f>
        <v>73884459.46800001</v>
      </c>
      <c r="R137" s="212">
        <f>'Workplace Smoking Costs'!$K383</f>
        <v>243349608.56523812</v>
      </c>
      <c r="S137" s="212">
        <f t="shared" si="111"/>
        <v>393464065.89704764</v>
      </c>
      <c r="T137" s="213">
        <f t="shared" si="112"/>
        <v>661525131.89704764</v>
      </c>
      <c r="U137" s="213">
        <f t="shared" si="113"/>
        <v>601802797.89704764</v>
      </c>
      <c r="V137" s="213">
        <f t="shared" si="114"/>
        <v>826482582.89704764</v>
      </c>
      <c r="W137" s="355">
        <f>'Intervention Impacts'!$G$65</f>
        <v>-1.2E-2</v>
      </c>
      <c r="X137" s="212">
        <f>'Healthcare Expenditures'!$Z133</f>
        <v>196703269.41657597</v>
      </c>
      <c r="Y137" s="212">
        <f>'Healthcare Expenditures'!$AA133</f>
        <v>167562044.31782401</v>
      </c>
      <c r="Z137" s="212">
        <f>'Healthcare Expenditures'!$AB133</f>
        <v>315696605.23648</v>
      </c>
      <c r="AA137" s="212">
        <f>'Healthcare Expenditures'!$AC133</f>
        <v>71322511.905215994</v>
      </c>
      <c r="AB137" s="212">
        <f>'Healthcare Expenditures'!$AD133</f>
        <v>60756213.845184006</v>
      </c>
      <c r="AC137" s="212">
        <f>'Healthcare Expenditures'!$AE133</f>
        <v>114468228.98367999</v>
      </c>
      <c r="AD137" s="212">
        <f>'Healthcare Expenditures'!$AF133</f>
        <v>112725503.48217598</v>
      </c>
      <c r="AE137" s="212">
        <f>'Healthcare Expenditures'!$AG133</f>
        <v>96025428.892223999</v>
      </c>
      <c r="AF137" s="212">
        <f>'Healthcare Expenditures'!$AH133</f>
        <v>180917474.72448</v>
      </c>
      <c r="AG137" s="212">
        <f>'Mortality Costs'!$K192</f>
        <v>58818234</v>
      </c>
      <c r="AH137" s="212">
        <f>'Mortality Costs'!$L192</f>
        <v>31107472</v>
      </c>
      <c r="AI137" s="212">
        <f>'Mortality Costs'!$M192</f>
        <v>98190890</v>
      </c>
      <c r="AJ137" s="212">
        <f>'Workplace Smoking Costs'!$S145</f>
        <v>73518517.574353248</v>
      </c>
      <c r="AK137" s="212">
        <f>'Workplace Smoking Costs'!$S264</f>
        <v>71256409.341296226</v>
      </c>
      <c r="AL137" s="212">
        <f>'Workplace Smoking Costs'!$S383</f>
        <v>234693729.17966616</v>
      </c>
      <c r="AM137" s="212">
        <f t="shared" si="121"/>
        <v>379468656.09531564</v>
      </c>
      <c r="AN137" s="213">
        <f t="shared" si="122"/>
        <v>634990159.5118916</v>
      </c>
      <c r="AO137" s="213">
        <f t="shared" si="123"/>
        <v>578138172.41313958</v>
      </c>
      <c r="AP137" s="213">
        <f t="shared" si="124"/>
        <v>793356151.33179569</v>
      </c>
      <c r="AQ137" s="212">
        <f>tblTotalCosts_Base[Gross Domestic Product (GDP)]</f>
        <v>33921600000</v>
      </c>
      <c r="AR137" s="214">
        <f t="shared" si="115"/>
        <v>1.8719345771186842E-2</v>
      </c>
      <c r="AS137" s="214">
        <f t="shared" si="116"/>
        <v>1.7043363886524797E-2</v>
      </c>
      <c r="AT137" s="214">
        <f t="shared" si="117"/>
        <v>2.3387934275853606E-2</v>
      </c>
      <c r="AU137" s="188">
        <f>'Healthcare Expenditures'!$AL133</f>
        <v>7254730.5834240317</v>
      </c>
      <c r="AV137" s="188">
        <f>'Healthcare Expenditures'!$AM133</f>
        <v>6179955.6821759939</v>
      </c>
      <c r="AW137" s="188">
        <f>'Healthcare Expenditures'!$AN133</f>
        <v>11643394.763520002</v>
      </c>
      <c r="AX137" s="188">
        <f>'Healthcare Expenditures'!$AO133</f>
        <v>2630488.0947840065</v>
      </c>
      <c r="AY137" s="188">
        <f>'Healthcare Expenditures'!$AP133</f>
        <v>2240786.1548160017</v>
      </c>
      <c r="AZ137" s="188">
        <f>'Healthcare Expenditures'!$AQ133</f>
        <v>4221771.0163200051</v>
      </c>
      <c r="BA137" s="188">
        <f>'Healthcare Expenditures'!$AR133</f>
        <v>4157496.517824024</v>
      </c>
      <c r="BB137" s="188">
        <f>'Healthcare Expenditures'!$AS133</f>
        <v>3541571.107776016</v>
      </c>
      <c r="BC137" s="188">
        <f>'Healthcare Expenditures'!$AT133</f>
        <v>6672525.2755199969</v>
      </c>
      <c r="BD137" s="166">
        <f>'Mortality Costs'!$N192</f>
        <v>5284832</v>
      </c>
      <c r="BE137" s="166">
        <f>'Mortality Costs'!$O192</f>
        <v>3489260</v>
      </c>
      <c r="BF137" s="166">
        <f>'Mortality Costs'!$P192</f>
        <v>7487627</v>
      </c>
      <c r="BG137" s="166">
        <f>'Workplace Smoking Costs'!$V145</f>
        <v>2711480.2894562781</v>
      </c>
      <c r="BH137" s="166">
        <f>'Workplace Smoking Costs'!$V264</f>
        <v>2628050.1267037839</v>
      </c>
      <c r="BI137" s="166">
        <f>'Workplace Smoking Costs'!$V383</f>
        <v>8655879.3855719566</v>
      </c>
      <c r="BJ137" s="166">
        <f t="shared" si="125"/>
        <v>13995409.801732019</v>
      </c>
      <c r="BK137" s="166">
        <f t="shared" si="126"/>
        <v>26534972.38515605</v>
      </c>
      <c r="BL137" s="166">
        <f t="shared" si="118"/>
        <v>23664625.483908013</v>
      </c>
      <c r="BM137" s="166">
        <f t="shared" si="119"/>
        <v>33126431.565252021</v>
      </c>
      <c r="BN137" s="215">
        <f>SUM('Intervention Costs'!$E$44+'Intervention Costs'!$D$44+'Intervention Costs'!$G$44+'Intervention Costs'!$F$44)</f>
        <v>837959.39977647236</v>
      </c>
      <c r="BO137" s="166">
        <f t="shared" si="127"/>
        <v>31.666179044276269</v>
      </c>
      <c r="BP137" s="166">
        <f t="shared" si="128"/>
        <v>28.24077812149444</v>
      </c>
      <c r="BQ137" s="216">
        <f t="shared" si="120"/>
        <v>39.532263226701168</v>
      </c>
    </row>
    <row r="138" spans="2:69">
      <c r="B138" s="210">
        <v>4</v>
      </c>
      <c r="C138" s="211" t="s">
        <v>122</v>
      </c>
      <c r="D138" s="212">
        <f>'Healthcare Expenditures'!$J134</f>
        <v>203958000</v>
      </c>
      <c r="E138" s="212">
        <f>'Healthcare Expenditures'!$K134</f>
        <v>173742000</v>
      </c>
      <c r="F138" s="212">
        <f>'Healthcare Expenditures'!$L134</f>
        <v>327340000</v>
      </c>
      <c r="G138" s="212">
        <f>'Healthcare Expenditures'!$M134</f>
        <v>73953000</v>
      </c>
      <c r="H138" s="212">
        <f>'Healthcare Expenditures'!$N134</f>
        <v>62997000.000000007</v>
      </c>
      <c r="I138" s="212">
        <f>'Healthcare Expenditures'!$O134</f>
        <v>118690000</v>
      </c>
      <c r="J138" s="212">
        <f>'Healthcare Expenditures'!$P134</f>
        <v>116883000</v>
      </c>
      <c r="K138" s="212">
        <f>'Healthcare Expenditures'!$Q134</f>
        <v>99567000.000000015</v>
      </c>
      <c r="L138" s="212">
        <f>'Healthcare Expenditures'!$R134</f>
        <v>187590000</v>
      </c>
      <c r="M138" s="212">
        <f>'Mortality Costs'!$G193</f>
        <v>64423567</v>
      </c>
      <c r="N138" s="212">
        <f>'Mortality Costs'!$H193</f>
        <v>34769710</v>
      </c>
      <c r="O138" s="212">
        <f>'Mortality Costs'!$I193</f>
        <v>106206876</v>
      </c>
      <c r="P138" s="212">
        <f>'Workplace Smoking Costs'!$K146</f>
        <v>76229997.863809526</v>
      </c>
      <c r="Q138" s="212">
        <f>'Workplace Smoking Costs'!$K265</f>
        <v>73884459.46800001</v>
      </c>
      <c r="R138" s="212">
        <f>'Workplace Smoking Costs'!$K384</f>
        <v>243349608.56523812</v>
      </c>
      <c r="S138" s="212">
        <f t="shared" si="111"/>
        <v>393464065.89704764</v>
      </c>
      <c r="T138" s="213">
        <f t="shared" si="112"/>
        <v>661845632.89704764</v>
      </c>
      <c r="U138" s="213">
        <f t="shared" si="113"/>
        <v>601975775.89704764</v>
      </c>
      <c r="V138" s="213">
        <f t="shared" si="114"/>
        <v>827010941.89704764</v>
      </c>
      <c r="W138" s="355">
        <f>'Intervention Impacts'!$G$66</f>
        <v>-1.2E-2</v>
      </c>
      <c r="X138" s="212">
        <f>'Healthcare Expenditures'!$Z134</f>
        <v>194342830.18357706</v>
      </c>
      <c r="Y138" s="212">
        <f>'Healthcare Expenditures'!$AA134</f>
        <v>165551299.78601012</v>
      </c>
      <c r="Z138" s="212">
        <f>'Healthcare Expenditures'!$AB134</f>
        <v>311908245.97364223</v>
      </c>
      <c r="AA138" s="212">
        <f>'Healthcare Expenditures'!$AC134</f>
        <v>70466641.76235339</v>
      </c>
      <c r="AB138" s="212">
        <f>'Healthcare Expenditures'!$AD134</f>
        <v>60027139.279041797</v>
      </c>
      <c r="AC138" s="212">
        <f>'Healthcare Expenditures'!$AE134</f>
        <v>113094610.23587583</v>
      </c>
      <c r="AD138" s="212">
        <f>'Healthcare Expenditures'!$AF134</f>
        <v>111372797.44038987</v>
      </c>
      <c r="AE138" s="212">
        <f>'Healthcare Expenditures'!$AG134</f>
        <v>94873123.745517313</v>
      </c>
      <c r="AF138" s="212">
        <f>'Healthcare Expenditures'!$AH134</f>
        <v>178746465.02778623</v>
      </c>
      <c r="AG138" s="212">
        <f>'Mortality Costs'!$K193</f>
        <v>58507705</v>
      </c>
      <c r="AH138" s="212">
        <f>'Mortality Costs'!$L193</f>
        <v>30965351</v>
      </c>
      <c r="AI138" s="212">
        <f>'Mortality Costs'!$M193</f>
        <v>97695855</v>
      </c>
      <c r="AJ138" s="212">
        <f>'Workplace Smoking Costs'!$S146</f>
        <v>72636295.363461003</v>
      </c>
      <c r="AK138" s="212">
        <f>'Workplace Smoking Costs'!$S265</f>
        <v>70401332.429200664</v>
      </c>
      <c r="AL138" s="212">
        <f>'Workplace Smoking Costs'!$S384</f>
        <v>231877404.42951015</v>
      </c>
      <c r="AM138" s="212">
        <f t="shared" si="121"/>
        <v>374915032.22217178</v>
      </c>
      <c r="AN138" s="213">
        <f t="shared" si="122"/>
        <v>627765567.40574884</v>
      </c>
      <c r="AO138" s="213">
        <f t="shared" si="123"/>
        <v>571431683.00818193</v>
      </c>
      <c r="AP138" s="213">
        <f t="shared" si="124"/>
        <v>784519133.19581401</v>
      </c>
      <c r="AQ138" s="212">
        <f>tblTotalCosts_Base[Gross Domestic Product (GDP)]</f>
        <v>33921600000</v>
      </c>
      <c r="AR138" s="214">
        <f t="shared" si="115"/>
        <v>1.8506366663298572E-2</v>
      </c>
      <c r="AS138" s="214">
        <f t="shared" si="116"/>
        <v>1.6845658312349122E-2</v>
      </c>
      <c r="AT138" s="214">
        <f t="shared" si="117"/>
        <v>2.3127421265382943E-2</v>
      </c>
      <c r="AU138" s="188">
        <f>'Healthcare Expenditures'!$AL134</f>
        <v>9615169.8164229393</v>
      </c>
      <c r="AV138" s="188">
        <f>'Healthcare Expenditures'!$AM134</f>
        <v>8190700.2139898837</v>
      </c>
      <c r="AW138" s="188">
        <f>'Healthcare Expenditures'!$AN134</f>
        <v>15431754.02635777</v>
      </c>
      <c r="AX138" s="188">
        <f>'Healthcare Expenditures'!$AO134</f>
        <v>3486358.2376466095</v>
      </c>
      <c r="AY138" s="188">
        <f>'Healthcare Expenditures'!$AP134</f>
        <v>2969860.7209582105</v>
      </c>
      <c r="AZ138" s="188">
        <f>'Healthcare Expenditures'!$AQ134</f>
        <v>5595389.7641241699</v>
      </c>
      <c r="BA138" s="188">
        <f>'Healthcare Expenditures'!$AR134</f>
        <v>5510202.5596101284</v>
      </c>
      <c r="BB138" s="188">
        <f>'Healthcare Expenditures'!$AS134</f>
        <v>4693876.2544827014</v>
      </c>
      <c r="BC138" s="188">
        <f>'Healthcare Expenditures'!$AT134</f>
        <v>8843534.9722137749</v>
      </c>
      <c r="BD138" s="166">
        <f>'Mortality Costs'!$N193</f>
        <v>5915862</v>
      </c>
      <c r="BE138" s="166">
        <f>'Mortality Costs'!$O193</f>
        <v>3804359</v>
      </c>
      <c r="BF138" s="166">
        <f>'Mortality Costs'!$P193</f>
        <v>8511021</v>
      </c>
      <c r="BG138" s="166">
        <f>'Workplace Smoking Costs'!$V146</f>
        <v>3593702.5003485233</v>
      </c>
      <c r="BH138" s="166">
        <f>'Workplace Smoking Costs'!$V265</f>
        <v>3483127.0387993455</v>
      </c>
      <c r="BI138" s="166">
        <f>'Workplace Smoking Costs'!$V384</f>
        <v>11472204.135727972</v>
      </c>
      <c r="BJ138" s="166">
        <f t="shared" si="125"/>
        <v>18549033.674875841</v>
      </c>
      <c r="BK138" s="166">
        <f t="shared" si="126"/>
        <v>34080065.49129878</v>
      </c>
      <c r="BL138" s="166">
        <f t="shared" si="118"/>
        <v>30544092.888865724</v>
      </c>
      <c r="BM138" s="166">
        <f t="shared" si="119"/>
        <v>42491808.701233611</v>
      </c>
      <c r="BN138" s="215">
        <f>SUM('Intervention Costs'!$E$45+'Intervention Costs'!$D$45+'Intervention Costs'!$G$45+'Intervention Costs'!$F$45)</f>
        <v>855330.42127871746</v>
      </c>
      <c r="BO138" s="166">
        <f t="shared" si="127"/>
        <v>39.844327576177101</v>
      </c>
      <c r="BP138" s="166">
        <f t="shared" si="128"/>
        <v>35.710284737917263</v>
      </c>
      <c r="BQ138" s="216">
        <f t="shared" si="120"/>
        <v>49.67882311225226</v>
      </c>
    </row>
    <row r="139" spans="2:69">
      <c r="B139" s="210">
        <v>5</v>
      </c>
      <c r="C139" s="211" t="s">
        <v>122</v>
      </c>
      <c r="D139" s="212">
        <f>'Healthcare Expenditures'!$J135</f>
        <v>203958000</v>
      </c>
      <c r="E139" s="212">
        <f>'Healthcare Expenditures'!$K135</f>
        <v>173742000</v>
      </c>
      <c r="F139" s="212">
        <f>'Healthcare Expenditures'!$L135</f>
        <v>327340000</v>
      </c>
      <c r="G139" s="212">
        <f>'Healthcare Expenditures'!$M135</f>
        <v>73953000</v>
      </c>
      <c r="H139" s="212">
        <f>'Healthcare Expenditures'!$N135</f>
        <v>62997000.000000007</v>
      </c>
      <c r="I139" s="212">
        <f>'Healthcare Expenditures'!$O135</f>
        <v>118690000</v>
      </c>
      <c r="J139" s="212">
        <f>'Healthcare Expenditures'!$P135</f>
        <v>116883000</v>
      </c>
      <c r="K139" s="212">
        <f>'Healthcare Expenditures'!$Q135</f>
        <v>99567000.000000015</v>
      </c>
      <c r="L139" s="212">
        <f>'Healthcare Expenditures'!$R135</f>
        <v>187590000</v>
      </c>
      <c r="M139" s="212">
        <f>'Mortality Costs'!$G194</f>
        <v>64745714</v>
      </c>
      <c r="N139" s="212">
        <f>'Mortality Costs'!$H194</f>
        <v>34943589</v>
      </c>
      <c r="O139" s="212">
        <f>'Mortality Costs'!$I194</f>
        <v>106737953</v>
      </c>
      <c r="P139" s="212">
        <f>'Workplace Smoking Costs'!$K147</f>
        <v>76229997.863809526</v>
      </c>
      <c r="Q139" s="212">
        <f>'Workplace Smoking Costs'!$K266</f>
        <v>73884459.46800001</v>
      </c>
      <c r="R139" s="212">
        <f>'Workplace Smoking Costs'!$K385</f>
        <v>243349608.56523812</v>
      </c>
      <c r="S139" s="212">
        <f t="shared" si="111"/>
        <v>393464065.89704764</v>
      </c>
      <c r="T139" s="213">
        <f t="shared" si="112"/>
        <v>662167779.89704764</v>
      </c>
      <c r="U139" s="213">
        <f t="shared" si="113"/>
        <v>602149654.89704764</v>
      </c>
      <c r="V139" s="213">
        <f t="shared" si="114"/>
        <v>827542018.89704764</v>
      </c>
      <c r="W139" s="355">
        <f>'Intervention Impacts'!$G$67</f>
        <v>-1.2E-2</v>
      </c>
      <c r="X139" s="212">
        <f>'Healthcare Expenditures'!$Z135</f>
        <v>192010716.22137412</v>
      </c>
      <c r="Y139" s="212">
        <f>'Healthcare Expenditures'!$AA135</f>
        <v>163564684.18857798</v>
      </c>
      <c r="Z139" s="212">
        <f>'Healthcare Expenditures'!$AB135</f>
        <v>308165347.02195847</v>
      </c>
      <c r="AA139" s="212">
        <f>'Healthcare Expenditures'!$AC135</f>
        <v>69621042.061205149</v>
      </c>
      <c r="AB139" s="212">
        <f>'Healthcare Expenditures'!$AD135</f>
        <v>59306813.607693292</v>
      </c>
      <c r="AC139" s="212">
        <f>'Healthcare Expenditures'!$AE135</f>
        <v>111737474.91304532</v>
      </c>
      <c r="AD139" s="212">
        <f>'Healthcare Expenditures'!$AF135</f>
        <v>110036323.87110518</v>
      </c>
      <c r="AE139" s="212">
        <f>'Healthcare Expenditures'!$AG135</f>
        <v>93734646.260571107</v>
      </c>
      <c r="AF139" s="212">
        <f>'Healthcare Expenditures'!$AH135</f>
        <v>176601507.44745278</v>
      </c>
      <c r="AG139" s="212">
        <f>'Mortality Costs'!$K194</f>
        <v>58136535</v>
      </c>
      <c r="AH139" s="212">
        <f>'Mortality Costs'!$L194</f>
        <v>30792997</v>
      </c>
      <c r="AI139" s="212">
        <f>'Mortality Costs'!$M194</f>
        <v>97034520</v>
      </c>
      <c r="AJ139" s="212">
        <f>'Workplace Smoking Costs'!$S147</f>
        <v>71764659.819099471</v>
      </c>
      <c r="AK139" s="212">
        <f>'Workplace Smoking Costs'!$S266</f>
        <v>69556516.440050259</v>
      </c>
      <c r="AL139" s="212">
        <f>'Workplace Smoking Costs'!$S385</f>
        <v>229094875.57635602</v>
      </c>
      <c r="AM139" s="212">
        <f t="shared" si="121"/>
        <v>370416051.83550572</v>
      </c>
      <c r="AN139" s="213">
        <f t="shared" si="122"/>
        <v>620563303.05687988</v>
      </c>
      <c r="AO139" s="213">
        <f t="shared" si="123"/>
        <v>564773733.02408373</v>
      </c>
      <c r="AP139" s="213">
        <f t="shared" si="124"/>
        <v>775615918.85746419</v>
      </c>
      <c r="AQ139" s="212">
        <f>tblTotalCosts_Base[Gross Domestic Product (GDP)]</f>
        <v>33921600000</v>
      </c>
      <c r="AR139" s="214">
        <f t="shared" si="115"/>
        <v>1.8294045771923492E-2</v>
      </c>
      <c r="AS139" s="214">
        <f t="shared" si="116"/>
        <v>1.6649383667753991E-2</v>
      </c>
      <c r="AT139" s="214">
        <f t="shared" si="117"/>
        <v>2.2864956807976754E-2</v>
      </c>
      <c r="AU139" s="188">
        <f>'Healthcare Expenditures'!$AL135</f>
        <v>11947283.778625876</v>
      </c>
      <c r="AV139" s="188">
        <f>'Healthcare Expenditures'!$AM135</f>
        <v>10177315.81142202</v>
      </c>
      <c r="AW139" s="188">
        <f>'Healthcare Expenditures'!$AN135</f>
        <v>19174652.97804153</v>
      </c>
      <c r="AX139" s="188">
        <f>'Healthcare Expenditures'!$AO135</f>
        <v>4331957.9387948513</v>
      </c>
      <c r="AY139" s="188">
        <f>'Healthcare Expenditures'!$AP135</f>
        <v>3690186.3923067153</v>
      </c>
      <c r="AZ139" s="188">
        <f>'Healthcare Expenditures'!$AQ135</f>
        <v>6952525.0869546831</v>
      </c>
      <c r="BA139" s="188">
        <f>'Healthcare Expenditures'!$AR135</f>
        <v>6846676.1288948208</v>
      </c>
      <c r="BB139" s="188">
        <f>'Healthcare Expenditures'!$AS135</f>
        <v>5832353.7394289076</v>
      </c>
      <c r="BC139" s="188">
        <f>'Healthcare Expenditures'!$AT135</f>
        <v>10988492.552547216</v>
      </c>
      <c r="BD139" s="166">
        <f>'Mortality Costs'!$N194</f>
        <v>6609179</v>
      </c>
      <c r="BE139" s="166">
        <f>'Mortality Costs'!$O194</f>
        <v>4150592</v>
      </c>
      <c r="BF139" s="166">
        <f>'Mortality Costs'!$P194</f>
        <v>9703433</v>
      </c>
      <c r="BG139" s="166">
        <f>'Workplace Smoking Costs'!$V147</f>
        <v>4465338.044710055</v>
      </c>
      <c r="BH139" s="166">
        <f>'Workplace Smoking Costs'!$V266</f>
        <v>4327943.0279497504</v>
      </c>
      <c r="BI139" s="166">
        <f>'Workplace Smoking Costs'!$V385</f>
        <v>14254732.988882095</v>
      </c>
      <c r="BJ139" s="166">
        <f t="shared" si="125"/>
        <v>23048014.0615419</v>
      </c>
      <c r="BK139" s="166">
        <f t="shared" si="126"/>
        <v>41604476.840167776</v>
      </c>
      <c r="BL139" s="166">
        <f t="shared" si="118"/>
        <v>37375921.87296392</v>
      </c>
      <c r="BM139" s="166">
        <f t="shared" si="119"/>
        <v>51926100.03958343</v>
      </c>
      <c r="BN139" s="215">
        <f>SUM('Intervention Costs'!$E$46+'Intervention Costs'!$D$46+'Intervention Costs'!$G$46+'Intervention Costs'!$F$46)</f>
        <v>837959.39977647236</v>
      </c>
      <c r="BO139" s="166">
        <f t="shared" si="127"/>
        <v>49.649752543220913</v>
      </c>
      <c r="BP139" s="166">
        <f t="shared" si="128"/>
        <v>44.603499743464937</v>
      </c>
      <c r="BQ139" s="216">
        <f t="shared" si="120"/>
        <v>61.96732210824873</v>
      </c>
    </row>
    <row r="140" spans="2:69">
      <c r="B140" s="210">
        <v>6</v>
      </c>
      <c r="C140" s="211" t="s">
        <v>122</v>
      </c>
      <c r="D140" s="212">
        <f>'Healthcare Expenditures'!$J136</f>
        <v>203958000</v>
      </c>
      <c r="E140" s="212">
        <f>'Healthcare Expenditures'!$K136</f>
        <v>173742000</v>
      </c>
      <c r="F140" s="212">
        <f>'Healthcare Expenditures'!$L136</f>
        <v>327340000</v>
      </c>
      <c r="G140" s="212">
        <f>'Healthcare Expenditures'!$M136</f>
        <v>73953000</v>
      </c>
      <c r="H140" s="212">
        <f>'Healthcare Expenditures'!$N136</f>
        <v>62997000.000000007</v>
      </c>
      <c r="I140" s="212">
        <f>'Healthcare Expenditures'!$O136</f>
        <v>118690000</v>
      </c>
      <c r="J140" s="212">
        <f>'Healthcare Expenditures'!$P136</f>
        <v>116883000</v>
      </c>
      <c r="K140" s="212">
        <f>'Healthcare Expenditures'!$Q136</f>
        <v>99567000.000000015</v>
      </c>
      <c r="L140" s="212">
        <f>'Healthcare Expenditures'!$R136</f>
        <v>187590000</v>
      </c>
      <c r="M140" s="212">
        <f>'Mortality Costs'!$G195</f>
        <v>65069283</v>
      </c>
      <c r="N140" s="212">
        <f>'Mortality Costs'!$H195</f>
        <v>35118184</v>
      </c>
      <c r="O140" s="212">
        <f>'Mortality Costs'!$I195</f>
        <v>107271458</v>
      </c>
      <c r="P140" s="212">
        <f>'Workplace Smoking Costs'!$K148</f>
        <v>76229997.863809526</v>
      </c>
      <c r="Q140" s="212">
        <f>'Workplace Smoking Costs'!$K267</f>
        <v>73884459.46800001</v>
      </c>
      <c r="R140" s="212">
        <f>'Workplace Smoking Costs'!$K386</f>
        <v>243349608.56523812</v>
      </c>
      <c r="S140" s="212">
        <f t="shared" si="111"/>
        <v>393464065.89704764</v>
      </c>
      <c r="T140" s="213">
        <f t="shared" si="112"/>
        <v>662491348.89704764</v>
      </c>
      <c r="U140" s="213">
        <f t="shared" si="113"/>
        <v>602324249.89704764</v>
      </c>
      <c r="V140" s="213">
        <f t="shared" si="114"/>
        <v>828075523.89704764</v>
      </c>
      <c r="W140" s="355">
        <f>'Intervention Impacts'!$G$68</f>
        <v>-3.0000000000000001E-3</v>
      </c>
      <c r="X140" s="212">
        <f>'Healthcare Expenditures'!$Z136</f>
        <v>191434684.07270998</v>
      </c>
      <c r="Y140" s="212">
        <f>'Healthcare Expenditures'!$AA136</f>
        <v>163073990.13601223</v>
      </c>
      <c r="Z140" s="212">
        <f>'Healthcare Expenditures'!$AB136</f>
        <v>307240850.9808926</v>
      </c>
      <c r="AA140" s="212">
        <f>'Healthcare Expenditures'!$AC136</f>
        <v>69412178.935021535</v>
      </c>
      <c r="AB140" s="212">
        <f>'Healthcare Expenditures'!$AD136</f>
        <v>59128893.166870207</v>
      </c>
      <c r="AC140" s="212">
        <f>'Healthcare Expenditures'!$AE136</f>
        <v>111402262.48830618</v>
      </c>
      <c r="AD140" s="212">
        <f>'Healthcare Expenditures'!$AF136</f>
        <v>109706214.89949186</v>
      </c>
      <c r="AE140" s="212">
        <f>'Healthcare Expenditures'!$AG136</f>
        <v>93453442.321789384</v>
      </c>
      <c r="AF140" s="212">
        <f>'Healthcare Expenditures'!$AH136</f>
        <v>176071702.92511043</v>
      </c>
      <c r="AG140" s="212">
        <f>'Mortality Costs'!$K195</f>
        <v>58276791</v>
      </c>
      <c r="AH140" s="212">
        <f>'Mortality Costs'!$L195</f>
        <v>30862341</v>
      </c>
      <c r="AI140" s="212">
        <f>'Mortality Costs'!$M195</f>
        <v>97237724</v>
      </c>
      <c r="AJ140" s="212">
        <f>'Workplace Smoking Costs'!$S148</f>
        <v>71549365.839642182</v>
      </c>
      <c r="AK140" s="212">
        <f>'Workplace Smoking Costs'!$S267</f>
        <v>69347846.890730113</v>
      </c>
      <c r="AL140" s="212">
        <f>'Workplace Smoking Costs'!$S386</f>
        <v>228407590.94962698</v>
      </c>
      <c r="AM140" s="212">
        <f t="shared" si="121"/>
        <v>369304803.67999929</v>
      </c>
      <c r="AN140" s="213">
        <f t="shared" si="122"/>
        <v>619016278.75270927</v>
      </c>
      <c r="AO140" s="213">
        <f t="shared" si="123"/>
        <v>563241134.81601155</v>
      </c>
      <c r="AP140" s="213">
        <f t="shared" si="124"/>
        <v>773783378.66089189</v>
      </c>
      <c r="AQ140" s="212">
        <f>tblTotalCosts_Base[Gross Domestic Product (GDP)]</f>
        <v>33921600000</v>
      </c>
      <c r="AR140" s="214">
        <f t="shared" si="115"/>
        <v>1.8248439895308867E-2</v>
      </c>
      <c r="AS140" s="214">
        <f t="shared" si="116"/>
        <v>1.6604203068723514E-2</v>
      </c>
      <c r="AT140" s="214">
        <f t="shared" si="117"/>
        <v>2.281093399665381E-2</v>
      </c>
      <c r="AU140" s="188">
        <f>'Healthcare Expenditures'!$AL136</f>
        <v>12523315.927290022</v>
      </c>
      <c r="AV140" s="188">
        <f>'Healthcare Expenditures'!$AM136</f>
        <v>10668009.863987774</v>
      </c>
      <c r="AW140" s="188">
        <f>'Healthcare Expenditures'!$AN136</f>
        <v>20099149.019107401</v>
      </c>
      <c r="AX140" s="188">
        <f>'Healthcare Expenditures'!$AO136</f>
        <v>4540821.0649784654</v>
      </c>
      <c r="AY140" s="188">
        <f>'Healthcare Expenditures'!$AP136</f>
        <v>3868106.8331298009</v>
      </c>
      <c r="AZ140" s="188">
        <f>'Healthcare Expenditures'!$AQ136</f>
        <v>7287737.5116938204</v>
      </c>
      <c r="BA140" s="188">
        <f>'Healthcare Expenditures'!$AR136</f>
        <v>7176785.1005081385</v>
      </c>
      <c r="BB140" s="188">
        <f>'Healthcare Expenditures'!$AS136</f>
        <v>6113557.678210631</v>
      </c>
      <c r="BC140" s="188">
        <f>'Healthcare Expenditures'!$AT136</f>
        <v>11518297.07488957</v>
      </c>
      <c r="BD140" s="166">
        <f>'Mortality Costs'!$N195</f>
        <v>6792492</v>
      </c>
      <c r="BE140" s="166">
        <f>'Mortality Costs'!$O195</f>
        <v>4255843</v>
      </c>
      <c r="BF140" s="166">
        <f>'Mortality Costs'!$P195</f>
        <v>10033734</v>
      </c>
      <c r="BG140" s="166">
        <f>'Workplace Smoking Costs'!$V148</f>
        <v>4680632.024167344</v>
      </c>
      <c r="BH140" s="166">
        <f>'Workplace Smoking Costs'!$V267</f>
        <v>4536612.5772698969</v>
      </c>
      <c r="BI140" s="166">
        <f>'Workplace Smoking Costs'!$V386</f>
        <v>14942017.615611136</v>
      </c>
      <c r="BJ140" s="166">
        <f t="shared" si="125"/>
        <v>24159262.217048377</v>
      </c>
      <c r="BK140" s="166">
        <f t="shared" si="126"/>
        <v>43475070.144338399</v>
      </c>
      <c r="BL140" s="166">
        <f t="shared" si="118"/>
        <v>39083115.08103615</v>
      </c>
      <c r="BM140" s="166">
        <f t="shared" si="119"/>
        <v>54292145.236155778</v>
      </c>
      <c r="BN140" s="215">
        <f>SUM('Intervention Costs'!$E$47+'Intervention Costs'!$D$47+'Intervention Costs'!$G$47+'Intervention Costs'!$F$47)</f>
        <v>661371.43756002001</v>
      </c>
      <c r="BO140" s="166">
        <f t="shared" si="127"/>
        <v>65.734725867100963</v>
      </c>
      <c r="BP140" s="166">
        <f t="shared" si="128"/>
        <v>59.094047401297587</v>
      </c>
      <c r="BQ140" s="216">
        <f t="shared" si="120"/>
        <v>82.090247858985776</v>
      </c>
    </row>
    <row r="141" spans="2:69">
      <c r="B141" s="210">
        <v>7</v>
      </c>
      <c r="C141" s="211" t="s">
        <v>122</v>
      </c>
      <c r="D141" s="212">
        <f>'Healthcare Expenditures'!$J137</f>
        <v>203958000</v>
      </c>
      <c r="E141" s="212">
        <f>'Healthcare Expenditures'!$K137</f>
        <v>173742000</v>
      </c>
      <c r="F141" s="212">
        <f>'Healthcare Expenditures'!$L137</f>
        <v>327340000</v>
      </c>
      <c r="G141" s="212">
        <f>'Healthcare Expenditures'!$M137</f>
        <v>73953000</v>
      </c>
      <c r="H141" s="212">
        <f>'Healthcare Expenditures'!$N137</f>
        <v>62997000.000000007</v>
      </c>
      <c r="I141" s="212">
        <f>'Healthcare Expenditures'!$O137</f>
        <v>118690000</v>
      </c>
      <c r="J141" s="212">
        <f>'Healthcare Expenditures'!$P137</f>
        <v>116883000</v>
      </c>
      <c r="K141" s="212">
        <f>'Healthcare Expenditures'!$Q137</f>
        <v>99567000.000000015</v>
      </c>
      <c r="L141" s="212">
        <f>'Healthcare Expenditures'!$R137</f>
        <v>187590000</v>
      </c>
      <c r="M141" s="212">
        <f>'Mortality Costs'!$G196</f>
        <v>65394678</v>
      </c>
      <c r="N141" s="212">
        <f>'Mortality Costs'!$H196</f>
        <v>35293800</v>
      </c>
      <c r="O141" s="212">
        <f>'Mortality Costs'!$I196</f>
        <v>107807880</v>
      </c>
      <c r="P141" s="212">
        <f>'Workplace Smoking Costs'!$K149</f>
        <v>76229997.863809526</v>
      </c>
      <c r="Q141" s="212">
        <f>'Workplace Smoking Costs'!$K268</f>
        <v>73884459.46800001</v>
      </c>
      <c r="R141" s="212">
        <f>'Workplace Smoking Costs'!$K387</f>
        <v>243349608.56523812</v>
      </c>
      <c r="S141" s="212">
        <f t="shared" si="111"/>
        <v>393464065.89704764</v>
      </c>
      <c r="T141" s="213">
        <f t="shared" si="112"/>
        <v>662816743.89704764</v>
      </c>
      <c r="U141" s="213">
        <f t="shared" si="113"/>
        <v>602499865.89704764</v>
      </c>
      <c r="V141" s="213">
        <f t="shared" si="114"/>
        <v>828611945.89704764</v>
      </c>
      <c r="W141" s="355">
        <f>'Intervention Impacts'!$G$69</f>
        <v>-3.0000000000000001E-3</v>
      </c>
      <c r="X141" s="212">
        <f>'Healthcare Expenditures'!$Z137</f>
        <v>190860380.02049187</v>
      </c>
      <c r="Y141" s="212">
        <f>'Healthcare Expenditures'!$AA137</f>
        <v>162584768.1656042</v>
      </c>
      <c r="Z141" s="212">
        <f>'Healthcare Expenditures'!$AB137</f>
        <v>306319128.42794997</v>
      </c>
      <c r="AA141" s="212">
        <f>'Healthcare Expenditures'!$AC137</f>
        <v>69203942.398216471</v>
      </c>
      <c r="AB141" s="212">
        <f>'Healthcare Expenditures'!$AD137</f>
        <v>58951506.48736959</v>
      </c>
      <c r="AC141" s="212">
        <f>'Healthcare Expenditures'!$AE137</f>
        <v>111068055.70084126</v>
      </c>
      <c r="AD141" s="212">
        <f>'Healthcare Expenditures'!$AF137</f>
        <v>109377096.25479341</v>
      </c>
      <c r="AE141" s="212">
        <f>'Healthcare Expenditures'!$AG137</f>
        <v>93173081.994824007</v>
      </c>
      <c r="AF141" s="212">
        <f>'Healthcare Expenditures'!$AH137</f>
        <v>175543487.81633508</v>
      </c>
      <c r="AG141" s="212">
        <f>'Mortality Costs'!$K196</f>
        <v>58436032</v>
      </c>
      <c r="AH141" s="212">
        <f>'Mortality Costs'!$L196</f>
        <v>30950578</v>
      </c>
      <c r="AI141" s="212">
        <f>'Mortality Costs'!$M196</f>
        <v>97431267</v>
      </c>
      <c r="AJ141" s="212">
        <f>'Workplace Smoking Costs'!$S149</f>
        <v>71334717.742123261</v>
      </c>
      <c r="AK141" s="212">
        <f>'Workplace Smoking Costs'!$S268</f>
        <v>69139803.35005793</v>
      </c>
      <c r="AL141" s="212">
        <f>'Workplace Smoking Costs'!$S387</f>
        <v>227722368.17677811</v>
      </c>
      <c r="AM141" s="212">
        <f t="shared" si="121"/>
        <v>368196889.26895928</v>
      </c>
      <c r="AN141" s="213">
        <f t="shared" si="122"/>
        <v>617493301.28945112</v>
      </c>
      <c r="AO141" s="213">
        <f t="shared" si="123"/>
        <v>561732235.43456352</v>
      </c>
      <c r="AP141" s="213">
        <f t="shared" si="124"/>
        <v>771947284.69690919</v>
      </c>
      <c r="AQ141" s="212">
        <f>tblTotalCosts_Base[Gross Domestic Product (GDP)]</f>
        <v>33921600000</v>
      </c>
      <c r="AR141" s="214">
        <f t="shared" si="115"/>
        <v>1.8203542913348754E-2</v>
      </c>
      <c r="AS141" s="214">
        <f t="shared" si="116"/>
        <v>1.6559721104976284E-2</v>
      </c>
      <c r="AT141" s="214">
        <f t="shared" si="117"/>
        <v>2.2756806421186181E-2</v>
      </c>
      <c r="AU141" s="188">
        <f>'Healthcare Expenditures'!$AL137</f>
        <v>13097619.979508132</v>
      </c>
      <c r="AV141" s="188">
        <f>'Healthcare Expenditures'!$AM137</f>
        <v>11157231.834395796</v>
      </c>
      <c r="AW141" s="188">
        <f>'Healthcare Expenditures'!$AN137</f>
        <v>21020871.572050035</v>
      </c>
      <c r="AX141" s="188">
        <f>'Healthcare Expenditures'!$AO137</f>
        <v>4749057.6017835289</v>
      </c>
      <c r="AY141" s="188">
        <f>'Healthcare Expenditures'!$AP137</f>
        <v>4045493.5126304179</v>
      </c>
      <c r="AZ141" s="188">
        <f>'Healthcare Expenditures'!$AQ137</f>
        <v>7621944.2991587371</v>
      </c>
      <c r="BA141" s="188">
        <f>'Healthcare Expenditures'!$AR137</f>
        <v>7505903.7452065945</v>
      </c>
      <c r="BB141" s="188">
        <f>'Healthcare Expenditures'!$AS137</f>
        <v>6393918.0051760077</v>
      </c>
      <c r="BC141" s="188">
        <f>'Healthcare Expenditures'!$AT137</f>
        <v>12046512.183664918</v>
      </c>
      <c r="BD141" s="166">
        <f>'Mortality Costs'!$N196</f>
        <v>6958646</v>
      </c>
      <c r="BE141" s="166">
        <f>'Mortality Costs'!$O196</f>
        <v>4343222</v>
      </c>
      <c r="BF141" s="166">
        <f>'Mortality Costs'!$P196</f>
        <v>10376613</v>
      </c>
      <c r="BG141" s="166">
        <f>'Workplace Smoking Costs'!$V149</f>
        <v>4895280.1216862649</v>
      </c>
      <c r="BH141" s="166">
        <f>'Workplace Smoking Costs'!$V268</f>
        <v>4744656.1179420799</v>
      </c>
      <c r="BI141" s="166">
        <f>'Workplace Smoking Costs'!$V387</f>
        <v>15627240.38846001</v>
      </c>
      <c r="BJ141" s="166">
        <f t="shared" si="125"/>
        <v>25267176.628088355</v>
      </c>
      <c r="BK141" s="166">
        <f t="shared" si="126"/>
        <v>45323442.607596487</v>
      </c>
      <c r="BL141" s="166">
        <f t="shared" si="118"/>
        <v>40767630.462484151</v>
      </c>
      <c r="BM141" s="166">
        <f t="shared" si="119"/>
        <v>56664661.20013839</v>
      </c>
      <c r="BN141" s="215">
        <f>SUM('Intervention Costs'!$E$48+'Intervention Costs'!$D$48+'Intervention Costs'!$G$48+'Intervention Costs'!$F$48)</f>
        <v>504727.41104759427</v>
      </c>
      <c r="BO141" s="166">
        <f t="shared" si="127"/>
        <v>89.797862401657085</v>
      </c>
      <c r="BP141" s="166">
        <f t="shared" si="128"/>
        <v>80.771580005667431</v>
      </c>
      <c r="BQ141" s="216">
        <f t="shared" si="120"/>
        <v>112.2678498529082</v>
      </c>
    </row>
    <row r="142" spans="2:69">
      <c r="B142" s="210">
        <v>8</v>
      </c>
      <c r="C142" s="211" t="s">
        <v>122</v>
      </c>
      <c r="D142" s="212">
        <f>'Healthcare Expenditures'!$J138</f>
        <v>203958000</v>
      </c>
      <c r="E142" s="212">
        <f>'Healthcare Expenditures'!$K138</f>
        <v>173742000</v>
      </c>
      <c r="F142" s="212">
        <f>'Healthcare Expenditures'!$L138</f>
        <v>327340000</v>
      </c>
      <c r="G142" s="212">
        <f>'Healthcare Expenditures'!$M138</f>
        <v>73953000</v>
      </c>
      <c r="H142" s="212">
        <f>'Healthcare Expenditures'!$N138</f>
        <v>62997000.000000007</v>
      </c>
      <c r="I142" s="212">
        <f>'Healthcare Expenditures'!$O138</f>
        <v>118690000</v>
      </c>
      <c r="J142" s="212">
        <f>'Healthcare Expenditures'!$P138</f>
        <v>116883000</v>
      </c>
      <c r="K142" s="212">
        <f>'Healthcare Expenditures'!$Q138</f>
        <v>99567000.000000015</v>
      </c>
      <c r="L142" s="212">
        <f>'Healthcare Expenditures'!$R138</f>
        <v>187590000</v>
      </c>
      <c r="M142" s="212">
        <f>'Mortality Costs'!$G197</f>
        <v>65721801</v>
      </c>
      <c r="N142" s="212">
        <f>'Mortality Costs'!$H197</f>
        <v>35470400</v>
      </c>
      <c r="O142" s="212">
        <f>'Mortality Costs'!$I197</f>
        <v>108347093</v>
      </c>
      <c r="P142" s="212">
        <f>'Workplace Smoking Costs'!$K150</f>
        <v>76229997.863809526</v>
      </c>
      <c r="Q142" s="212">
        <f>'Workplace Smoking Costs'!$K269</f>
        <v>73884459.46800001</v>
      </c>
      <c r="R142" s="212">
        <f>'Workplace Smoking Costs'!$K388</f>
        <v>243349608.56523812</v>
      </c>
      <c r="S142" s="212">
        <f t="shared" si="111"/>
        <v>393464065.89704764</v>
      </c>
      <c r="T142" s="213">
        <f t="shared" si="112"/>
        <v>663143866.89704764</v>
      </c>
      <c r="U142" s="213">
        <f t="shared" si="113"/>
        <v>602676465.89704764</v>
      </c>
      <c r="V142" s="213">
        <f t="shared" si="114"/>
        <v>829151158.89704764</v>
      </c>
      <c r="W142" s="355">
        <f>'Intervention Impacts'!$G$70</f>
        <v>-3.0000000000000001E-3</v>
      </c>
      <c r="X142" s="212">
        <f>'Healthcare Expenditures'!$Z138</f>
        <v>190287798.8804304</v>
      </c>
      <c r="Y142" s="212">
        <f>'Healthcare Expenditures'!$AA138</f>
        <v>162097013.86110738</v>
      </c>
      <c r="Z142" s="212">
        <f>'Healthcare Expenditures'!$AB138</f>
        <v>305400171.04266608</v>
      </c>
      <c r="AA142" s="212">
        <f>'Healthcare Expenditures'!$AC138</f>
        <v>68996330.571021825</v>
      </c>
      <c r="AB142" s="212">
        <f>'Healthcare Expenditures'!$AD138</f>
        <v>58774651.967907481</v>
      </c>
      <c r="AC142" s="212">
        <f>'Healthcare Expenditures'!$AE138</f>
        <v>110734851.53373873</v>
      </c>
      <c r="AD142" s="212">
        <f>'Healthcare Expenditures'!$AF138</f>
        <v>109048964.96602903</v>
      </c>
      <c r="AE142" s="212">
        <f>'Healthcare Expenditures'!$AG138</f>
        <v>92893562.748839542</v>
      </c>
      <c r="AF142" s="212">
        <f>'Healthcare Expenditures'!$AH138</f>
        <v>175016857.35288608</v>
      </c>
      <c r="AG142" s="212">
        <f>'Mortality Costs'!$K197</f>
        <v>58585981</v>
      </c>
      <c r="AH142" s="212">
        <f>'Mortality Costs'!$L197</f>
        <v>31010514</v>
      </c>
      <c r="AI142" s="212">
        <f>'Mortality Costs'!$M197</f>
        <v>97595909</v>
      </c>
      <c r="AJ142" s="212">
        <f>'Workplace Smoking Costs'!$S150</f>
        <v>71120713.588896871</v>
      </c>
      <c r="AK142" s="212">
        <f>'Workplace Smoking Costs'!$S269</f>
        <v>68932383.940007731</v>
      </c>
      <c r="AL142" s="212">
        <f>'Workplace Smoking Costs'!$S388</f>
        <v>227039201.07224774</v>
      </c>
      <c r="AM142" s="212">
        <f t="shared" si="121"/>
        <v>367092298.60115236</v>
      </c>
      <c r="AN142" s="213">
        <f t="shared" si="122"/>
        <v>615966078.48158276</v>
      </c>
      <c r="AO142" s="213">
        <f t="shared" si="123"/>
        <v>560199826.46225977</v>
      </c>
      <c r="AP142" s="213">
        <f t="shared" si="124"/>
        <v>770088378.64381838</v>
      </c>
      <c r="AQ142" s="212">
        <f>tblTotalCosts_Base[Gross Domestic Product (GDP)]</f>
        <v>33921600000</v>
      </c>
      <c r="AR142" s="214">
        <f t="shared" si="115"/>
        <v>1.8158520779726864E-2</v>
      </c>
      <c r="AS142" s="214">
        <f t="shared" si="116"/>
        <v>1.6514546084567348E-2</v>
      </c>
      <c r="AT142" s="214">
        <f t="shared" si="117"/>
        <v>2.2702006351228078E-2</v>
      </c>
      <c r="AU142" s="188">
        <f>'Healthcare Expenditures'!$AL138</f>
        <v>13670201.1195696</v>
      </c>
      <c r="AV142" s="188">
        <f>'Healthcare Expenditures'!$AM138</f>
        <v>11644986.138892621</v>
      </c>
      <c r="AW142" s="188">
        <f>'Healthcare Expenditures'!$AN138</f>
        <v>21939828.957333922</v>
      </c>
      <c r="AX142" s="188">
        <f>'Healthcare Expenditures'!$AO138</f>
        <v>4956669.4289781749</v>
      </c>
      <c r="AY142" s="188">
        <f>'Healthcare Expenditures'!$AP138</f>
        <v>4222348.0320925266</v>
      </c>
      <c r="AZ142" s="188">
        <f>'Healthcare Expenditures'!$AQ138</f>
        <v>7955148.4662612677</v>
      </c>
      <c r="BA142" s="188">
        <f>'Healthcare Expenditures'!$AR138</f>
        <v>7834035.0339709669</v>
      </c>
      <c r="BB142" s="188">
        <f>'Healthcare Expenditures'!$AS138</f>
        <v>6673437.2511604726</v>
      </c>
      <c r="BC142" s="188">
        <f>'Healthcare Expenditures'!$AT138</f>
        <v>12573142.647113919</v>
      </c>
      <c r="BD142" s="166">
        <f>'Mortality Costs'!$N197</f>
        <v>7135820</v>
      </c>
      <c r="BE142" s="166">
        <f>'Mortality Costs'!$O197</f>
        <v>4459886</v>
      </c>
      <c r="BF142" s="166">
        <f>'Mortality Costs'!$P197</f>
        <v>10751184</v>
      </c>
      <c r="BG142" s="166">
        <f>'Workplace Smoking Costs'!$V150</f>
        <v>5109284.2749126554</v>
      </c>
      <c r="BH142" s="166">
        <f>'Workplace Smoking Costs'!$V269</f>
        <v>4952075.5279922783</v>
      </c>
      <c r="BI142" s="166">
        <f>'Workplace Smoking Costs'!$V388</f>
        <v>16310407.492990375</v>
      </c>
      <c r="BJ142" s="166">
        <f t="shared" si="125"/>
        <v>26371767.295895308</v>
      </c>
      <c r="BK142" s="166">
        <f t="shared" si="126"/>
        <v>47177788.415464908</v>
      </c>
      <c r="BL142" s="166">
        <f t="shared" si="118"/>
        <v>42476639.434787929</v>
      </c>
      <c r="BM142" s="166">
        <f t="shared" si="119"/>
        <v>59062780.253229231</v>
      </c>
      <c r="BN142" s="215">
        <f>SUM('Intervention Costs'!$E$49+'Intervention Costs'!$D$49+'Intervention Costs'!$G$49+'Intervention Costs'!$F$49)</f>
        <v>487356.38954534929</v>
      </c>
      <c r="BO142" s="166">
        <f t="shared" si="127"/>
        <v>96.80346749834689</v>
      </c>
      <c r="BP142" s="166">
        <f t="shared" si="128"/>
        <v>87.157243335650179</v>
      </c>
      <c r="BQ142" s="216">
        <f t="shared" si="120"/>
        <v>121.19012189073463</v>
      </c>
    </row>
    <row r="143" spans="2:69">
      <c r="B143" s="210">
        <v>9</v>
      </c>
      <c r="C143" s="211" t="s">
        <v>122</v>
      </c>
      <c r="D143" s="212">
        <f>'Healthcare Expenditures'!$J139</f>
        <v>203958000</v>
      </c>
      <c r="E143" s="212">
        <f>'Healthcare Expenditures'!$K139</f>
        <v>173742000</v>
      </c>
      <c r="F143" s="212">
        <f>'Healthcare Expenditures'!$L139</f>
        <v>327340000</v>
      </c>
      <c r="G143" s="212">
        <f>'Healthcare Expenditures'!$M139</f>
        <v>73953000</v>
      </c>
      <c r="H143" s="212">
        <f>'Healthcare Expenditures'!$N139</f>
        <v>62997000.000000007</v>
      </c>
      <c r="I143" s="212">
        <f>'Healthcare Expenditures'!$O139</f>
        <v>118690000</v>
      </c>
      <c r="J143" s="212">
        <f>'Healthcare Expenditures'!$P139</f>
        <v>116883000</v>
      </c>
      <c r="K143" s="212">
        <f>'Healthcare Expenditures'!$Q139</f>
        <v>99567000.000000015</v>
      </c>
      <c r="L143" s="212">
        <f>'Healthcare Expenditures'!$R139</f>
        <v>187590000</v>
      </c>
      <c r="M143" s="212">
        <f>'Mortality Costs'!$G198</f>
        <v>66050368</v>
      </c>
      <c r="N143" s="212">
        <f>'Mortality Costs'!$H198</f>
        <v>35647711</v>
      </c>
      <c r="O143" s="212">
        <f>'Mortality Costs'!$I198</f>
        <v>108888772</v>
      </c>
      <c r="P143" s="212">
        <f>'Workplace Smoking Costs'!$K151</f>
        <v>76229997.863809526</v>
      </c>
      <c r="Q143" s="212">
        <f>'Workplace Smoking Costs'!$K270</f>
        <v>73884459.46800001</v>
      </c>
      <c r="R143" s="212">
        <f>'Workplace Smoking Costs'!$K389</f>
        <v>243349608.56523812</v>
      </c>
      <c r="S143" s="212">
        <f t="shared" si="111"/>
        <v>393464065.89704764</v>
      </c>
      <c r="T143" s="213">
        <f t="shared" si="112"/>
        <v>663472433.89704764</v>
      </c>
      <c r="U143" s="213">
        <f t="shared" si="113"/>
        <v>602853776.89704764</v>
      </c>
      <c r="V143" s="213">
        <f t="shared" si="114"/>
        <v>829692837.89704764</v>
      </c>
      <c r="W143" s="355">
        <f>'Intervention Impacts'!$G$71</f>
        <v>-3.0000000000000001E-3</v>
      </c>
      <c r="X143" s="212">
        <f>'Healthcare Expenditures'!$Z139</f>
        <v>189716935.48378915</v>
      </c>
      <c r="Y143" s="212">
        <f>'Healthcare Expenditures'!$AA139</f>
        <v>161610722.81952405</v>
      </c>
      <c r="Z143" s="212">
        <f>'Healthcare Expenditures'!$AB139</f>
        <v>304483970.52953809</v>
      </c>
      <c r="AA143" s="212">
        <f>'Healthcare Expenditures'!$AC139</f>
        <v>68789341.579308763</v>
      </c>
      <c r="AB143" s="212">
        <f>'Healthcare Expenditures'!$AD139</f>
        <v>58598328.012003757</v>
      </c>
      <c r="AC143" s="212">
        <f>'Healthcare Expenditures'!$AE139</f>
        <v>110402646.97913752</v>
      </c>
      <c r="AD143" s="212">
        <f>'Healthcare Expenditures'!$AF139</f>
        <v>108721818.07113095</v>
      </c>
      <c r="AE143" s="212">
        <f>'Healthcare Expenditures'!$AG139</f>
        <v>92614882.060593009</v>
      </c>
      <c r="AF143" s="212">
        <f>'Healthcare Expenditures'!$AH139</f>
        <v>174491806.78082743</v>
      </c>
      <c r="AG143" s="212">
        <f>'Mortality Costs'!$K198</f>
        <v>58716757</v>
      </c>
      <c r="AH143" s="212">
        <f>'Mortality Costs'!$L198</f>
        <v>31060642</v>
      </c>
      <c r="AI143" s="212">
        <f>'Mortality Costs'!$M198</f>
        <v>97816812</v>
      </c>
      <c r="AJ143" s="212">
        <f>'Workplace Smoking Costs'!$S151</f>
        <v>70907351.44813019</v>
      </c>
      <c r="AK143" s="212">
        <f>'Workplace Smoking Costs'!$S270</f>
        <v>68725586.788187712</v>
      </c>
      <c r="AL143" s="212">
        <f>'Workplace Smoking Costs'!$S389</f>
        <v>226358083.46903098</v>
      </c>
      <c r="AM143" s="212">
        <f t="shared" si="121"/>
        <v>365991021.70534885</v>
      </c>
      <c r="AN143" s="213">
        <f t="shared" si="122"/>
        <v>614424714.18913794</v>
      </c>
      <c r="AO143" s="213">
        <f t="shared" si="123"/>
        <v>558662386.5248729</v>
      </c>
      <c r="AP143" s="213">
        <f t="shared" si="124"/>
        <v>768291804.23488688</v>
      </c>
      <c r="AQ143" s="212">
        <f>tblTotalCosts_Base[Gross Domestic Product (GDP)]</f>
        <v>33921600000</v>
      </c>
      <c r="AR143" s="214">
        <f t="shared" si="115"/>
        <v>1.8113081758794926E-2</v>
      </c>
      <c r="AS143" s="214">
        <f t="shared" si="116"/>
        <v>1.6469222752608158E-2</v>
      </c>
      <c r="AT143" s="214">
        <f t="shared" si="117"/>
        <v>2.264904380202841E-2</v>
      </c>
      <c r="AU143" s="188">
        <f>'Healthcare Expenditures'!$AL139</f>
        <v>14241064.516210854</v>
      </c>
      <c r="AV143" s="188">
        <f>'Healthcare Expenditures'!$AM139</f>
        <v>12131277.18047595</v>
      </c>
      <c r="AW143" s="188">
        <f>'Healthcare Expenditures'!$AN139</f>
        <v>22856029.470461905</v>
      </c>
      <c r="AX143" s="188">
        <f>'Healthcare Expenditures'!$AO139</f>
        <v>5163658.4206912369</v>
      </c>
      <c r="AY143" s="188">
        <f>'Healthcare Expenditures'!$AP139</f>
        <v>4398671.9879962504</v>
      </c>
      <c r="AZ143" s="188">
        <f>'Healthcare Expenditures'!$AQ139</f>
        <v>8287353.020862475</v>
      </c>
      <c r="BA143" s="188">
        <f>'Healthcare Expenditures'!$AR139</f>
        <v>8161181.9288690537</v>
      </c>
      <c r="BB143" s="188">
        <f>'Healthcare Expenditures'!$AS139</f>
        <v>6952117.9394070059</v>
      </c>
      <c r="BC143" s="188">
        <f>'Healthcare Expenditures'!$AT139</f>
        <v>13098193.219172567</v>
      </c>
      <c r="BD143" s="166">
        <f>'Mortality Costs'!$N198</f>
        <v>7333611</v>
      </c>
      <c r="BE143" s="166">
        <f>'Mortality Costs'!$O198</f>
        <v>4587069</v>
      </c>
      <c r="BF143" s="166">
        <f>'Mortality Costs'!$P198</f>
        <v>11071960</v>
      </c>
      <c r="BG143" s="166">
        <f>'Workplace Smoking Costs'!$V151</f>
        <v>5322646.4156793356</v>
      </c>
      <c r="BH143" s="166">
        <f>'Workplace Smoking Costs'!$V270</f>
        <v>5158872.6798122972</v>
      </c>
      <c r="BI143" s="166">
        <f>'Workplace Smoking Costs'!$V389</f>
        <v>16991525.096207142</v>
      </c>
      <c r="BJ143" s="166">
        <f t="shared" si="125"/>
        <v>27473044.191698775</v>
      </c>
      <c r="BK143" s="166">
        <f t="shared" si="126"/>
        <v>49047719.707909629</v>
      </c>
      <c r="BL143" s="166">
        <f t="shared" si="118"/>
        <v>44191390.372174725</v>
      </c>
      <c r="BM143" s="166">
        <f t="shared" si="119"/>
        <v>61401033.66216068</v>
      </c>
      <c r="BN143" s="215">
        <f>SUM('Intervention Costs'!$E$50+'Intervention Costs'!$D$50+'Intervention Costs'!$G$50+'Intervention Costs'!$F$50)</f>
        <v>487356.38954534929</v>
      </c>
      <c r="BO143" s="166">
        <f t="shared" si="127"/>
        <v>100.64035428706667</v>
      </c>
      <c r="BP143" s="166">
        <f t="shared" si="128"/>
        <v>90.675717647614107</v>
      </c>
      <c r="BQ143" s="216">
        <f t="shared" si="120"/>
        <v>125.98795251138739</v>
      </c>
    </row>
    <row r="144" spans="2:69">
      <c r="B144" s="210">
        <v>10</v>
      </c>
      <c r="C144" s="211" t="s">
        <v>122</v>
      </c>
      <c r="D144" s="212">
        <f>'Healthcare Expenditures'!$J140</f>
        <v>203958000</v>
      </c>
      <c r="E144" s="212">
        <f>'Healthcare Expenditures'!$K140</f>
        <v>173742000</v>
      </c>
      <c r="F144" s="212">
        <f>'Healthcare Expenditures'!$L140</f>
        <v>327340000</v>
      </c>
      <c r="G144" s="212">
        <f>'Healthcare Expenditures'!$M140</f>
        <v>73953000</v>
      </c>
      <c r="H144" s="212">
        <f>'Healthcare Expenditures'!$N140</f>
        <v>62997000.000000007</v>
      </c>
      <c r="I144" s="212">
        <f>'Healthcare Expenditures'!$O140</f>
        <v>118690000</v>
      </c>
      <c r="J144" s="212">
        <f>'Healthcare Expenditures'!$P140</f>
        <v>116883000</v>
      </c>
      <c r="K144" s="212">
        <f>'Healthcare Expenditures'!$Q140</f>
        <v>99567000.000000015</v>
      </c>
      <c r="L144" s="212">
        <f>'Healthcare Expenditures'!$R140</f>
        <v>187590000</v>
      </c>
      <c r="M144" s="212">
        <f>'Mortality Costs'!$G199</f>
        <v>66380616</v>
      </c>
      <c r="N144" s="212">
        <f>'Mortality Costs'!$H199</f>
        <v>35825953</v>
      </c>
      <c r="O144" s="212">
        <f>'Mortality Costs'!$I199</f>
        <v>109433221</v>
      </c>
      <c r="P144" s="212">
        <f>'Workplace Smoking Costs'!$K152</f>
        <v>76229997.863809526</v>
      </c>
      <c r="Q144" s="212">
        <f>'Workplace Smoking Costs'!$K271</f>
        <v>73884459.46800001</v>
      </c>
      <c r="R144" s="212">
        <f>'Workplace Smoking Costs'!$K390</f>
        <v>243349608.56523812</v>
      </c>
      <c r="S144" s="212">
        <f t="shared" si="111"/>
        <v>393464065.89704764</v>
      </c>
      <c r="T144" s="213">
        <f t="shared" si="112"/>
        <v>663802681.89704764</v>
      </c>
      <c r="U144" s="213">
        <f t="shared" si="113"/>
        <v>603032018.89704764</v>
      </c>
      <c r="V144" s="213">
        <f t="shared" si="114"/>
        <v>830237286.89704764</v>
      </c>
      <c r="W144" s="355">
        <f>'Intervention Impacts'!$G$72</f>
        <v>-3.0000000000000001E-3</v>
      </c>
      <c r="X144" s="212">
        <f>'Healthcare Expenditures'!$Z140</f>
        <v>189147784.67733777</v>
      </c>
      <c r="Y144" s="212">
        <f>'Healthcare Expenditures'!$AA140</f>
        <v>161125890.6510655</v>
      </c>
      <c r="Z144" s="212">
        <f>'Healthcare Expenditures'!$AB140</f>
        <v>303570518.61794949</v>
      </c>
      <c r="AA144" s="212">
        <f>'Healthcare Expenditures'!$AC140</f>
        <v>68582973.554570839</v>
      </c>
      <c r="AB144" s="212">
        <f>'Healthcare Expenditures'!$AD140</f>
        <v>58422533.027967751</v>
      </c>
      <c r="AC144" s="212">
        <f>'Healthcare Expenditures'!$AE140</f>
        <v>110071439.0382001</v>
      </c>
      <c r="AD144" s="212">
        <f>'Healthcare Expenditures'!$AF140</f>
        <v>108395652.61691755</v>
      </c>
      <c r="AE144" s="212">
        <f>'Healthcare Expenditures'!$AG140</f>
        <v>92337037.414411247</v>
      </c>
      <c r="AF144" s="212">
        <f>'Healthcare Expenditures'!$AH140</f>
        <v>173968331.36048493</v>
      </c>
      <c r="AG144" s="212">
        <f>'Mortality Costs'!$K199</f>
        <v>58876159</v>
      </c>
      <c r="AH144" s="212">
        <f>'Mortality Costs'!$L199</f>
        <v>31158444</v>
      </c>
      <c r="AI144" s="212">
        <f>'Mortality Costs'!$M199</f>
        <v>97912950</v>
      </c>
      <c r="AJ144" s="212">
        <f>'Workplace Smoking Costs'!$S152</f>
        <v>70694629.393785805</v>
      </c>
      <c r="AK144" s="212">
        <f>'Workplace Smoking Costs'!$S271</f>
        <v>68519410.027823165</v>
      </c>
      <c r="AL144" s="212">
        <f>'Workplace Smoking Costs'!$S390</f>
        <v>225679009.21862391</v>
      </c>
      <c r="AM144" s="212">
        <f t="shared" si="121"/>
        <v>364893048.64023292</v>
      </c>
      <c r="AN144" s="213">
        <f t="shared" si="122"/>
        <v>612916992.31757069</v>
      </c>
      <c r="AO144" s="213">
        <f t="shared" si="123"/>
        <v>557177383.29129839</v>
      </c>
      <c r="AP144" s="213">
        <f t="shared" si="124"/>
        <v>766376517.25818241</v>
      </c>
      <c r="AQ144" s="212">
        <f>tblTotalCosts_Base[Gross Domestic Product (GDP)]</f>
        <v>33921600000</v>
      </c>
      <c r="AR144" s="214">
        <f t="shared" si="115"/>
        <v>1.8068634507734618E-2</v>
      </c>
      <c r="AS144" s="214">
        <f t="shared" si="116"/>
        <v>1.6425445241123604E-2</v>
      </c>
      <c r="AT144" s="214">
        <f t="shared" si="117"/>
        <v>2.2592581637015424E-2</v>
      </c>
      <c r="AU144" s="188">
        <f>'Healthcare Expenditures'!$AL140</f>
        <v>14810215.322662234</v>
      </c>
      <c r="AV144" s="188">
        <f>'Healthcare Expenditures'!$AM140</f>
        <v>12616109.348934501</v>
      </c>
      <c r="AW144" s="188">
        <f>'Healthcare Expenditures'!$AN140</f>
        <v>23769481.382050514</v>
      </c>
      <c r="AX144" s="188">
        <f>'Healthcare Expenditures'!$AO140</f>
        <v>5370026.4454291612</v>
      </c>
      <c r="AY144" s="188">
        <f>'Healthcare Expenditures'!$AP140</f>
        <v>4574466.9720322564</v>
      </c>
      <c r="AZ144" s="188">
        <f>'Healthcare Expenditures'!$AQ140</f>
        <v>8618560.9617999047</v>
      </c>
      <c r="BA144" s="188">
        <f>'Healthcare Expenditures'!$AR140</f>
        <v>8487347.3830824494</v>
      </c>
      <c r="BB144" s="188">
        <f>'Healthcare Expenditures'!$AS140</f>
        <v>7229962.5855887681</v>
      </c>
      <c r="BC144" s="188">
        <f>'Healthcare Expenditures'!$AT140</f>
        <v>13621668.639515072</v>
      </c>
      <c r="BD144" s="166">
        <f>'Mortality Costs'!$N199</f>
        <v>7504457</v>
      </c>
      <c r="BE144" s="166">
        <f>'Mortality Costs'!$O199</f>
        <v>4667509</v>
      </c>
      <c r="BF144" s="166">
        <f>'Mortality Costs'!$P199</f>
        <v>11520271</v>
      </c>
      <c r="BG144" s="166">
        <f>'Workplace Smoking Costs'!$V152</f>
        <v>5535368.4700237215</v>
      </c>
      <c r="BH144" s="166">
        <f>'Workplace Smoking Costs'!$V271</f>
        <v>5365049.4401768446</v>
      </c>
      <c r="BI144" s="166">
        <f>'Workplace Smoking Costs'!$V390</f>
        <v>17670599.346614212</v>
      </c>
      <c r="BJ144" s="166">
        <f t="shared" si="125"/>
        <v>28571017.256814778</v>
      </c>
      <c r="BK144" s="166">
        <f t="shared" si="126"/>
        <v>50885689.579477012</v>
      </c>
      <c r="BL144" s="166">
        <f t="shared" si="118"/>
        <v>45854635.605749279</v>
      </c>
      <c r="BM144" s="166">
        <f t="shared" si="119"/>
        <v>63860769.638865292</v>
      </c>
      <c r="BN144" s="215">
        <f>SUM('Intervention Costs'!$E$51+'Intervention Costs'!$D$51+'Intervention Costs'!$G$51+'Intervention Costs'!$F$51)</f>
        <v>504727.41104759427</v>
      </c>
      <c r="BO144" s="166">
        <f t="shared" si="127"/>
        <v>100.81816137915015</v>
      </c>
      <c r="BP144" s="166">
        <f t="shared" si="128"/>
        <v>90.850297808424997</v>
      </c>
      <c r="BQ144" s="216">
        <f t="shared" si="120"/>
        <v>126.52526540280058</v>
      </c>
    </row>
    <row r="145" spans="2:69">
      <c r="B145" s="210">
        <v>11</v>
      </c>
      <c r="C145" s="211" t="s">
        <v>122</v>
      </c>
      <c r="D145" s="212">
        <f>'Healthcare Expenditures'!$J141</f>
        <v>203958000</v>
      </c>
      <c r="E145" s="212">
        <f>'Healthcare Expenditures'!$K141</f>
        <v>173742000</v>
      </c>
      <c r="F145" s="212">
        <f>'Healthcare Expenditures'!$L141</f>
        <v>327340000</v>
      </c>
      <c r="G145" s="212">
        <f>'Healthcare Expenditures'!$M141</f>
        <v>73953000</v>
      </c>
      <c r="H145" s="212">
        <f>'Healthcare Expenditures'!$N141</f>
        <v>62997000.000000007</v>
      </c>
      <c r="I145" s="212">
        <f>'Healthcare Expenditures'!$O141</f>
        <v>118690000</v>
      </c>
      <c r="J145" s="212">
        <f>'Healthcare Expenditures'!$P141</f>
        <v>116883000</v>
      </c>
      <c r="K145" s="212">
        <f>'Healthcare Expenditures'!$Q141</f>
        <v>99567000.000000015</v>
      </c>
      <c r="L145" s="212">
        <f>'Healthcare Expenditures'!$R141</f>
        <v>187590000</v>
      </c>
      <c r="M145" s="212">
        <f>'Mortality Costs'!$G200</f>
        <v>66712539</v>
      </c>
      <c r="N145" s="212">
        <f>'Mortality Costs'!$H200</f>
        <v>36005105</v>
      </c>
      <c r="O145" s="212">
        <f>'Mortality Costs'!$I200</f>
        <v>109980423</v>
      </c>
      <c r="P145" s="212">
        <f>'Workplace Smoking Costs'!$K153</f>
        <v>76229997.863809526</v>
      </c>
      <c r="Q145" s="212">
        <f>'Workplace Smoking Costs'!$K272</f>
        <v>73884459.46800001</v>
      </c>
      <c r="R145" s="212">
        <f>'Workplace Smoking Costs'!$K391</f>
        <v>243349608.56523812</v>
      </c>
      <c r="S145" s="212">
        <f t="shared" si="111"/>
        <v>393464065.89704764</v>
      </c>
      <c r="T145" s="213">
        <f t="shared" si="112"/>
        <v>664134604.89704764</v>
      </c>
      <c r="U145" s="213">
        <f t="shared" si="113"/>
        <v>603211170.89704764</v>
      </c>
      <c r="V145" s="213">
        <f t="shared" si="114"/>
        <v>830784488.89704764</v>
      </c>
      <c r="W145" s="355">
        <f>'Intervention Impacts'!$G$73</f>
        <v>-3.0000000000000001E-3</v>
      </c>
      <c r="X145" s="212">
        <f>'Healthcare Expenditures'!$Z141</f>
        <v>188580341.32330576</v>
      </c>
      <c r="Y145" s="212">
        <f>'Healthcare Expenditures'!$AA141</f>
        <v>160642512.9791123</v>
      </c>
      <c r="Z145" s="212">
        <f>'Healthcare Expenditures'!$AB141</f>
        <v>302659807.06209564</v>
      </c>
      <c r="AA145" s="212">
        <f>'Healthcare Expenditures'!$AC141</f>
        <v>68377224.633907124</v>
      </c>
      <c r="AB145" s="212">
        <f>'Healthcare Expenditures'!$AD141</f>
        <v>58247265.428883851</v>
      </c>
      <c r="AC145" s="212">
        <f>'Healthcare Expenditures'!$AE141</f>
        <v>109741224.7210855</v>
      </c>
      <c r="AD145" s="212">
        <f>'Healthcare Expenditures'!$AF141</f>
        <v>108070465.6590668</v>
      </c>
      <c r="AE145" s="212">
        <f>'Healthcare Expenditures'!$AG141</f>
        <v>92060026.302168012</v>
      </c>
      <c r="AF145" s="212">
        <f>'Healthcare Expenditures'!$AH141</f>
        <v>173446426.36640349</v>
      </c>
      <c r="AG145" s="212">
        <f>'Mortality Costs'!$K200</f>
        <v>58987537</v>
      </c>
      <c r="AH145" s="212">
        <f>'Mortality Costs'!$L200</f>
        <v>31237183</v>
      </c>
      <c r="AI145" s="212">
        <f>'Mortality Costs'!$M200</f>
        <v>98152084</v>
      </c>
      <c r="AJ145" s="212">
        <f>'Workplace Smoking Costs'!$S153</f>
        <v>70482545.505604446</v>
      </c>
      <c r="AK145" s="212">
        <f>'Workplace Smoking Costs'!$S272</f>
        <v>68313851.797739699</v>
      </c>
      <c r="AL145" s="212">
        <f>'Workplace Smoking Costs'!$S391</f>
        <v>225001972.19096807</v>
      </c>
      <c r="AM145" s="212">
        <f t="shared" si="121"/>
        <v>363798369.49431217</v>
      </c>
      <c r="AN145" s="213">
        <f t="shared" si="122"/>
        <v>611366247.81761789</v>
      </c>
      <c r="AO145" s="213">
        <f t="shared" si="123"/>
        <v>555678065.47342443</v>
      </c>
      <c r="AP145" s="213">
        <f t="shared" si="124"/>
        <v>764610260.55640781</v>
      </c>
      <c r="AQ145" s="212">
        <f>tblTotalCosts_Base[Gross Domestic Product (GDP)]</f>
        <v>33921600000</v>
      </c>
      <c r="AR145" s="214">
        <f t="shared" si="115"/>
        <v>1.8022918960709927E-2</v>
      </c>
      <c r="AS145" s="214">
        <f t="shared" si="116"/>
        <v>1.638124573939391E-2</v>
      </c>
      <c r="AT145" s="214">
        <f t="shared" si="117"/>
        <v>2.2540512845986269E-2</v>
      </c>
      <c r="AU145" s="188">
        <f>'Healthcare Expenditures'!$AL141</f>
        <v>15377658.676694244</v>
      </c>
      <c r="AV145" s="188">
        <f>'Healthcare Expenditures'!$AM141</f>
        <v>13099487.020887703</v>
      </c>
      <c r="AW145" s="188">
        <f>'Healthcare Expenditures'!$AN141</f>
        <v>24680192.937904358</v>
      </c>
      <c r="AX145" s="188">
        <f>'Healthcare Expenditures'!$AO141</f>
        <v>5575775.3660928756</v>
      </c>
      <c r="AY145" s="188">
        <f>'Healthcare Expenditures'!$AP141</f>
        <v>4749734.5711161569</v>
      </c>
      <c r="AZ145" s="188">
        <f>'Healthcare Expenditures'!$AQ141</f>
        <v>8948775.2789144963</v>
      </c>
      <c r="BA145" s="188">
        <f>'Healthcare Expenditures'!$AR141</f>
        <v>8812534.3409332037</v>
      </c>
      <c r="BB145" s="188">
        <f>'Healthcare Expenditures'!$AS141</f>
        <v>7506973.6978320032</v>
      </c>
      <c r="BC145" s="188">
        <f>'Healthcare Expenditures'!$AT141</f>
        <v>14143573.63359651</v>
      </c>
      <c r="BD145" s="166">
        <f>'Mortality Costs'!$N200</f>
        <v>7725002</v>
      </c>
      <c r="BE145" s="166">
        <f>'Mortality Costs'!$O200</f>
        <v>4767922</v>
      </c>
      <c r="BF145" s="166">
        <f>'Mortality Costs'!$P200</f>
        <v>11828339</v>
      </c>
      <c r="BG145" s="166">
        <f>'Workplace Smoking Costs'!$V153</f>
        <v>5747452.35820508</v>
      </c>
      <c r="BH145" s="166">
        <f>'Workplace Smoking Costs'!$V272</f>
        <v>5570607.6702603102</v>
      </c>
      <c r="BI145" s="166">
        <f>'Workplace Smoking Costs'!$V391</f>
        <v>18347636.374270052</v>
      </c>
      <c r="BJ145" s="166">
        <f t="shared" si="125"/>
        <v>29665696.402735442</v>
      </c>
      <c r="BK145" s="166">
        <f t="shared" si="126"/>
        <v>52768357.079429686</v>
      </c>
      <c r="BL145" s="166">
        <f t="shared" si="118"/>
        <v>47533105.423623145</v>
      </c>
      <c r="BM145" s="166">
        <f t="shared" si="119"/>
        <v>66174228.3406398</v>
      </c>
      <c r="BN145" s="215">
        <f>SUM('Intervention Costs'!$E$52+'Intervention Costs'!$D$52+'Intervention Costs'!$G$52+'Intervention Costs'!$F$52)</f>
        <v>661371.43756002001</v>
      </c>
      <c r="BO145" s="166">
        <f t="shared" si="127"/>
        <v>79.786265451841373</v>
      </c>
      <c r="BP145" s="166">
        <f t="shared" si="128"/>
        <v>71.87051439503611</v>
      </c>
      <c r="BQ145" s="216">
        <f t="shared" si="120"/>
        <v>100.05607225007269</v>
      </c>
    </row>
    <row r="146" spans="2:69">
      <c r="B146" s="210">
        <v>12</v>
      </c>
      <c r="C146" s="211" t="s">
        <v>122</v>
      </c>
      <c r="D146" s="212">
        <f>'Healthcare Expenditures'!$J142</f>
        <v>203958000</v>
      </c>
      <c r="E146" s="212">
        <f>'Healthcare Expenditures'!$K142</f>
        <v>173742000</v>
      </c>
      <c r="F146" s="212">
        <f>'Healthcare Expenditures'!$L142</f>
        <v>327340000</v>
      </c>
      <c r="G146" s="212">
        <f>'Healthcare Expenditures'!$M142</f>
        <v>73953000</v>
      </c>
      <c r="H146" s="212">
        <f>'Healthcare Expenditures'!$N142</f>
        <v>62997000.000000007</v>
      </c>
      <c r="I146" s="212">
        <f>'Healthcare Expenditures'!$O142</f>
        <v>118690000</v>
      </c>
      <c r="J146" s="212">
        <f>'Healthcare Expenditures'!$P142</f>
        <v>116883000</v>
      </c>
      <c r="K146" s="212">
        <f>'Healthcare Expenditures'!$Q142</f>
        <v>99567000.000000015</v>
      </c>
      <c r="L146" s="212">
        <f>'Healthcare Expenditures'!$R142</f>
        <v>187590000</v>
      </c>
      <c r="M146" s="212">
        <f>'Mortality Costs'!$G201</f>
        <v>67046100</v>
      </c>
      <c r="N146" s="212">
        <f>'Mortality Costs'!$H201</f>
        <v>36185110</v>
      </c>
      <c r="O146" s="212">
        <f>'Mortality Costs'!$I201</f>
        <v>110530303</v>
      </c>
      <c r="P146" s="212">
        <f>'Workplace Smoking Costs'!$K154</f>
        <v>76229997.863809526</v>
      </c>
      <c r="Q146" s="212">
        <f>'Workplace Smoking Costs'!$K273</f>
        <v>73884459.46800001</v>
      </c>
      <c r="R146" s="212">
        <f>'Workplace Smoking Costs'!$K392</f>
        <v>243349608.56523812</v>
      </c>
      <c r="S146" s="212">
        <f t="shared" si="111"/>
        <v>393464065.89704764</v>
      </c>
      <c r="T146" s="213">
        <f t="shared" si="112"/>
        <v>664468165.89704764</v>
      </c>
      <c r="U146" s="213">
        <f t="shared" si="113"/>
        <v>603391175.89704764</v>
      </c>
      <c r="V146" s="213">
        <f t="shared" si="114"/>
        <v>831334368.89704764</v>
      </c>
      <c r="W146" s="355">
        <f>'Intervention Impacts'!$G$74</f>
        <v>-3.0000000000000001E-3</v>
      </c>
      <c r="X146" s="212">
        <f>'Healthcare Expenditures'!$Z142</f>
        <v>188014600.29933584</v>
      </c>
      <c r="Y146" s="212">
        <f>'Healthcare Expenditures'!$AA142</f>
        <v>160160585.44017497</v>
      </c>
      <c r="Z146" s="212">
        <f>'Healthcare Expenditures'!$AB142</f>
        <v>301751827.64090931</v>
      </c>
      <c r="AA146" s="212">
        <f>'Healthcare Expenditures'!$AC142</f>
        <v>68172092.960005403</v>
      </c>
      <c r="AB146" s="212">
        <f>'Healthcare Expenditures'!$AD142</f>
        <v>58072523.632597201</v>
      </c>
      <c r="AC146" s="212">
        <f>'Healthcare Expenditures'!$AE142</f>
        <v>109412001.04692225</v>
      </c>
      <c r="AD146" s="212">
        <f>'Healthcare Expenditures'!$AF142</f>
        <v>107746254.2620896</v>
      </c>
      <c r="AE146" s="212">
        <f>'Healthcare Expenditures'!$AG142</f>
        <v>91783846.223261505</v>
      </c>
      <c r="AF146" s="212">
        <f>'Healthcare Expenditures'!$AH142</f>
        <v>172926087.08730426</v>
      </c>
      <c r="AG146" s="212">
        <f>'Mortality Costs'!$K201</f>
        <v>59069516</v>
      </c>
      <c r="AH146" s="212">
        <f>'Mortality Costs'!$L201</f>
        <v>31296561</v>
      </c>
      <c r="AI146" s="212">
        <f>'Mortality Costs'!$M201</f>
        <v>98371802</v>
      </c>
      <c r="AJ146" s="212">
        <f>'Workplace Smoking Costs'!$S154</f>
        <v>70271097.869087636</v>
      </c>
      <c r="AK146" s="212">
        <f>'Workplace Smoking Costs'!$S273</f>
        <v>68108910.24234648</v>
      </c>
      <c r="AL146" s="212">
        <f>'Workplace Smoking Costs'!$S392</f>
        <v>224326966.27439517</v>
      </c>
      <c r="AM146" s="212">
        <f t="shared" si="121"/>
        <v>362706974.38582927</v>
      </c>
      <c r="AN146" s="213">
        <f t="shared" si="122"/>
        <v>609791090.68516517</v>
      </c>
      <c r="AO146" s="213">
        <f t="shared" si="123"/>
        <v>554164120.82600427</v>
      </c>
      <c r="AP146" s="213">
        <f t="shared" si="124"/>
        <v>762830604.02673864</v>
      </c>
      <c r="AQ146" s="212">
        <f>tblTotalCosts_Base[Gross Domestic Product (GDP)]</f>
        <v>33921600000</v>
      </c>
      <c r="AR146" s="214">
        <f t="shared" si="115"/>
        <v>1.7976483735589275E-2</v>
      </c>
      <c r="AS146" s="214">
        <f t="shared" si="116"/>
        <v>1.6336615042509915E-2</v>
      </c>
      <c r="AT146" s="214">
        <f t="shared" si="117"/>
        <v>2.2488049031494348E-2</v>
      </c>
      <c r="AU146" s="188">
        <f>'Healthcare Expenditures'!$AL142</f>
        <v>15943399.700664163</v>
      </c>
      <c r="AV146" s="188">
        <f>'Healthcare Expenditures'!$AM142</f>
        <v>13581414.559825033</v>
      </c>
      <c r="AW146" s="188">
        <f>'Healthcare Expenditures'!$AN142</f>
        <v>25588172.359090686</v>
      </c>
      <c r="AX146" s="188">
        <f>'Healthcare Expenditures'!$AO142</f>
        <v>5780907.0399945974</v>
      </c>
      <c r="AY146" s="188">
        <f>'Healthcare Expenditures'!$AP142</f>
        <v>4924476.3674028069</v>
      </c>
      <c r="AZ146" s="188">
        <f>'Healthcare Expenditures'!$AQ142</f>
        <v>9277998.9530777484</v>
      </c>
      <c r="BA146" s="188">
        <f>'Healthcare Expenditures'!$AR142</f>
        <v>9136745.7379104048</v>
      </c>
      <c r="BB146" s="188">
        <f>'Healthcare Expenditures'!$AS142</f>
        <v>7783153.7767385095</v>
      </c>
      <c r="BC146" s="188">
        <f>'Healthcare Expenditures'!$AT142</f>
        <v>14663912.912695736</v>
      </c>
      <c r="BD146" s="166">
        <f>'Mortality Costs'!$N201</f>
        <v>7976584</v>
      </c>
      <c r="BE146" s="166">
        <f>'Mortality Costs'!$O201</f>
        <v>4888549</v>
      </c>
      <c r="BF146" s="166">
        <f>'Mortality Costs'!$P201</f>
        <v>12158501</v>
      </c>
      <c r="BG146" s="166">
        <f>'Workplace Smoking Costs'!$V154</f>
        <v>5958899.9947218895</v>
      </c>
      <c r="BH146" s="166">
        <f>'Workplace Smoking Costs'!$V273</f>
        <v>5775549.2256535292</v>
      </c>
      <c r="BI146" s="166">
        <f>'Workplace Smoking Costs'!$V392</f>
        <v>19022642.29084295</v>
      </c>
      <c r="BJ146" s="166">
        <f t="shared" si="125"/>
        <v>30757091.511218369</v>
      </c>
      <c r="BK146" s="166">
        <f t="shared" si="126"/>
        <v>54677075.211882532</v>
      </c>
      <c r="BL146" s="166">
        <f t="shared" si="118"/>
        <v>49227055.071043402</v>
      </c>
      <c r="BM146" s="166">
        <f t="shared" si="119"/>
        <v>68503764.870309055</v>
      </c>
      <c r="BN146" s="215">
        <f>SUM('Intervention Costs'!$E$53+'Intervention Costs'!$D$53+'Intervention Costs'!$G$53+'Intervention Costs'!$F$53)</f>
        <v>487356.38954534929</v>
      </c>
      <c r="BO146" s="166">
        <f t="shared" si="127"/>
        <v>112.1911528909887</v>
      </c>
      <c r="BP146" s="166">
        <f t="shared" si="128"/>
        <v>101.00833009897933</v>
      </c>
      <c r="BQ146" s="216">
        <f t="shared" si="120"/>
        <v>140.56195084302814</v>
      </c>
    </row>
    <row r="147" spans="2:69">
      <c r="B147" s="210">
        <v>13</v>
      </c>
      <c r="C147" s="211" t="s">
        <v>122</v>
      </c>
      <c r="D147" s="212">
        <f>'Healthcare Expenditures'!$J143</f>
        <v>203958000</v>
      </c>
      <c r="E147" s="212">
        <f>'Healthcare Expenditures'!$K143</f>
        <v>173742000</v>
      </c>
      <c r="F147" s="212">
        <f>'Healthcare Expenditures'!$L143</f>
        <v>327340000</v>
      </c>
      <c r="G147" s="212">
        <f>'Healthcare Expenditures'!$M143</f>
        <v>73953000</v>
      </c>
      <c r="H147" s="212">
        <f>'Healthcare Expenditures'!$N143</f>
        <v>62997000.000000007</v>
      </c>
      <c r="I147" s="212">
        <f>'Healthcare Expenditures'!$O143</f>
        <v>118690000</v>
      </c>
      <c r="J147" s="212">
        <f>'Healthcare Expenditures'!$P143</f>
        <v>116883000</v>
      </c>
      <c r="K147" s="212">
        <f>'Healthcare Expenditures'!$Q143</f>
        <v>99567000.000000015</v>
      </c>
      <c r="L147" s="212">
        <f>'Healthcare Expenditures'!$R143</f>
        <v>187590000</v>
      </c>
      <c r="M147" s="212">
        <f>'Mortality Costs'!$G202</f>
        <v>67381313</v>
      </c>
      <c r="N147" s="212">
        <f>'Mortality Costs'!$H202</f>
        <v>36366011</v>
      </c>
      <c r="O147" s="212">
        <f>'Mortality Costs'!$I202</f>
        <v>111082917</v>
      </c>
      <c r="P147" s="212">
        <f>'Workplace Smoking Costs'!$K155</f>
        <v>76229997.863809526</v>
      </c>
      <c r="Q147" s="212">
        <f>'Workplace Smoking Costs'!$K274</f>
        <v>73884459.46800001</v>
      </c>
      <c r="R147" s="212">
        <f>'Workplace Smoking Costs'!$K393</f>
        <v>243349608.56523812</v>
      </c>
      <c r="S147" s="212">
        <f t="shared" si="111"/>
        <v>393464065.89704764</v>
      </c>
      <c r="T147" s="213">
        <f t="shared" si="112"/>
        <v>664803378.89704764</v>
      </c>
      <c r="U147" s="213">
        <f t="shared" si="113"/>
        <v>603572076.89704764</v>
      </c>
      <c r="V147" s="213">
        <f t="shared" si="114"/>
        <v>831886982.89704764</v>
      </c>
      <c r="W147" s="355">
        <f>'Intervention Impacts'!$G$75</f>
        <v>-3.0000000000000001E-3</v>
      </c>
      <c r="X147" s="212">
        <f>'Healthcare Expenditures'!$Z143</f>
        <v>187450556.49843782</v>
      </c>
      <c r="Y147" s="212">
        <f>'Healthcare Expenditures'!$AA143</f>
        <v>159680103.68385443</v>
      </c>
      <c r="Z147" s="212">
        <f>'Healthcare Expenditures'!$AB143</f>
        <v>300846572.15798658</v>
      </c>
      <c r="AA147" s="212">
        <f>'Healthcare Expenditures'!$AC143</f>
        <v>67967576.681125388</v>
      </c>
      <c r="AB147" s="212">
        <f>'Healthcare Expenditures'!$AD143</f>
        <v>57898306.061699405</v>
      </c>
      <c r="AC147" s="212">
        <f>'Healthcare Expenditures'!$AE143</f>
        <v>109083765.04378147</v>
      </c>
      <c r="AD147" s="212">
        <f>'Healthcare Expenditures'!$AF143</f>
        <v>107423015.49930333</v>
      </c>
      <c r="AE147" s="212">
        <f>'Healthcare Expenditures'!$AG143</f>
        <v>91508494.684591725</v>
      </c>
      <c r="AF147" s="212">
        <f>'Healthcare Expenditures'!$AH143</f>
        <v>172407308.82604235</v>
      </c>
      <c r="AG147" s="212">
        <f>'Mortality Costs'!$K202</f>
        <v>59257831</v>
      </c>
      <c r="AH147" s="212">
        <f>'Mortality Costs'!$L202</f>
        <v>31414122</v>
      </c>
      <c r="AI147" s="212">
        <f>'Mortality Costs'!$M202</f>
        <v>98669079</v>
      </c>
      <c r="AJ147" s="212">
        <f>'Workplace Smoking Costs'!$S155</f>
        <v>70060284.575480372</v>
      </c>
      <c r="AK147" s="212">
        <f>'Workplace Smoking Costs'!$S274</f>
        <v>67904583.511619419</v>
      </c>
      <c r="AL147" s="212">
        <f>'Workplace Smoking Costs'!$S393</f>
        <v>223653985.37557194</v>
      </c>
      <c r="AM147" s="212">
        <f t="shared" si="121"/>
        <v>361618853.46267176</v>
      </c>
      <c r="AN147" s="213">
        <f t="shared" si="122"/>
        <v>608327240.96110964</v>
      </c>
      <c r="AO147" s="213">
        <f t="shared" si="123"/>
        <v>552713079.14652622</v>
      </c>
      <c r="AP147" s="213">
        <f t="shared" si="124"/>
        <v>761134504.6206584</v>
      </c>
      <c r="AQ147" s="212">
        <f>tblTotalCosts_Base[Gross Domestic Product (GDP)]</f>
        <v>33921600000</v>
      </c>
      <c r="AR147" s="214">
        <f t="shared" si="115"/>
        <v>1.7933329824097614E-2</v>
      </c>
      <c r="AS147" s="214">
        <f t="shared" si="116"/>
        <v>1.6293838708861794E-2</v>
      </c>
      <c r="AT147" s="214">
        <f t="shared" si="117"/>
        <v>2.2438048459408118E-2</v>
      </c>
      <c r="AU147" s="188">
        <f>'Healthcare Expenditures'!$AL143</f>
        <v>16507443.501562178</v>
      </c>
      <c r="AV147" s="188">
        <f>'Healthcare Expenditures'!$AM143</f>
        <v>14061896.316145569</v>
      </c>
      <c r="AW147" s="188">
        <f>'Healthcare Expenditures'!$AN143</f>
        <v>26493427.842013419</v>
      </c>
      <c r="AX147" s="188">
        <f>'Healthcare Expenditures'!$AO143</f>
        <v>5985423.3188746125</v>
      </c>
      <c r="AY147" s="188">
        <f>'Healthcare Expenditures'!$AP143</f>
        <v>5098693.9383006021</v>
      </c>
      <c r="AZ147" s="188">
        <f>'Healthcare Expenditures'!$AQ143</f>
        <v>9606234.9562185258</v>
      </c>
      <c r="BA147" s="188">
        <f>'Healthcare Expenditures'!$AR143</f>
        <v>9459984.500696674</v>
      </c>
      <c r="BB147" s="188">
        <f>'Healthcare Expenditures'!$AS143</f>
        <v>8058505.3154082894</v>
      </c>
      <c r="BC147" s="188">
        <f>'Healthcare Expenditures'!$AT143</f>
        <v>15182691.173957646</v>
      </c>
      <c r="BD147" s="166">
        <f>'Mortality Costs'!$N202</f>
        <v>8123482</v>
      </c>
      <c r="BE147" s="166">
        <f>'Mortality Costs'!$O202</f>
        <v>4951889</v>
      </c>
      <c r="BF147" s="166">
        <f>'Mortality Costs'!$P202</f>
        <v>12413838</v>
      </c>
      <c r="BG147" s="166">
        <f>'Workplace Smoking Costs'!$V155</f>
        <v>6169713.2883291543</v>
      </c>
      <c r="BH147" s="166">
        <f>'Workplace Smoking Costs'!$V274</f>
        <v>5979875.9563805908</v>
      </c>
      <c r="BI147" s="166">
        <f>'Workplace Smoking Costs'!$V393</f>
        <v>19695623.189666182</v>
      </c>
      <c r="BJ147" s="166">
        <f t="shared" si="125"/>
        <v>31845212.434375927</v>
      </c>
      <c r="BK147" s="166">
        <f t="shared" si="126"/>
        <v>56476137.935938105</v>
      </c>
      <c r="BL147" s="166">
        <f t="shared" si="118"/>
        <v>50858997.750521496</v>
      </c>
      <c r="BM147" s="166">
        <f t="shared" si="119"/>
        <v>70752478.276389346</v>
      </c>
      <c r="BN147" s="215">
        <f>SUM('Intervention Costs'!$E$54+'Intervention Costs'!$D$54+'Intervention Costs'!$G$54+'Intervention Costs'!$F$54)</f>
        <v>504727.41104759427</v>
      </c>
      <c r="BO147" s="166">
        <f t="shared" si="127"/>
        <v>111.8943348424811</v>
      </c>
      <c r="BP147" s="166">
        <f t="shared" si="128"/>
        <v>100.76527772676417</v>
      </c>
      <c r="BQ147" s="216">
        <f t="shared" si="120"/>
        <v>140.17958352913311</v>
      </c>
    </row>
    <row r="148" spans="2:69">
      <c r="B148" s="210">
        <v>14</v>
      </c>
      <c r="C148" s="211" t="s">
        <v>122</v>
      </c>
      <c r="D148" s="212">
        <f>'Healthcare Expenditures'!$J144</f>
        <v>203958000</v>
      </c>
      <c r="E148" s="212">
        <f>'Healthcare Expenditures'!$K144</f>
        <v>173742000</v>
      </c>
      <c r="F148" s="212">
        <f>'Healthcare Expenditures'!$L144</f>
        <v>327340000</v>
      </c>
      <c r="G148" s="212">
        <f>'Healthcare Expenditures'!$M144</f>
        <v>73953000</v>
      </c>
      <c r="H148" s="212">
        <f>'Healthcare Expenditures'!$N144</f>
        <v>62997000.000000007</v>
      </c>
      <c r="I148" s="212">
        <f>'Healthcare Expenditures'!$O144</f>
        <v>118690000</v>
      </c>
      <c r="J148" s="212">
        <f>'Healthcare Expenditures'!$P144</f>
        <v>116883000</v>
      </c>
      <c r="K148" s="212">
        <f>'Healthcare Expenditures'!$Q144</f>
        <v>99567000.000000015</v>
      </c>
      <c r="L148" s="212">
        <f>'Healthcare Expenditures'!$R144</f>
        <v>187590000</v>
      </c>
      <c r="M148" s="212">
        <f>'Mortality Costs'!$G203</f>
        <v>67718222</v>
      </c>
      <c r="N148" s="212">
        <f>'Mortality Costs'!$H203</f>
        <v>36547863</v>
      </c>
      <c r="O148" s="212">
        <f>'Mortality Costs'!$I203</f>
        <v>111638347</v>
      </c>
      <c r="P148" s="212">
        <f>'Workplace Smoking Costs'!$K156</f>
        <v>76229997.863809526</v>
      </c>
      <c r="Q148" s="212">
        <f>'Workplace Smoking Costs'!$K275</f>
        <v>73884459.46800001</v>
      </c>
      <c r="R148" s="212">
        <f>'Workplace Smoking Costs'!$K394</f>
        <v>243349608.56523812</v>
      </c>
      <c r="S148" s="212">
        <f t="shared" si="111"/>
        <v>393464065.89704764</v>
      </c>
      <c r="T148" s="213">
        <f t="shared" si="112"/>
        <v>665140287.89704764</v>
      </c>
      <c r="U148" s="213">
        <f t="shared" si="113"/>
        <v>603753928.89704764</v>
      </c>
      <c r="V148" s="213">
        <f t="shared" si="114"/>
        <v>832442412.89704764</v>
      </c>
      <c r="W148" s="355">
        <f>'Intervention Impacts'!$G$76</f>
        <v>-3.0000000000000001E-3</v>
      </c>
      <c r="X148" s="212">
        <f>'Healthcare Expenditures'!$Z144</f>
        <v>186888204.82894251</v>
      </c>
      <c r="Y148" s="212">
        <f>'Healthcare Expenditures'!$AA144</f>
        <v>159201063.37280288</v>
      </c>
      <c r="Z148" s="212">
        <f>'Healthcare Expenditures'!$AB144</f>
        <v>299944032.44151264</v>
      </c>
      <c r="AA148" s="212">
        <f>'Healthcare Expenditures'!$AC144</f>
        <v>67763673.951082021</v>
      </c>
      <c r="AB148" s="212">
        <f>'Healthcare Expenditures'!$AD144</f>
        <v>57724611.143514313</v>
      </c>
      <c r="AC148" s="212">
        <f>'Healthcare Expenditures'!$AE144</f>
        <v>108756513.74865013</v>
      </c>
      <c r="AD148" s="212">
        <f>'Healthcare Expenditures'!$AF144</f>
        <v>107100746.45280541</v>
      </c>
      <c r="AE148" s="212">
        <f>'Healthcare Expenditures'!$AG144</f>
        <v>91233969.20053795</v>
      </c>
      <c r="AF148" s="212">
        <f>'Healthcare Expenditures'!$AH144</f>
        <v>171890086.89956424</v>
      </c>
      <c r="AG148" s="212">
        <f>'Mortality Costs'!$K203</f>
        <v>59290128</v>
      </c>
      <c r="AH148" s="212">
        <f>'Mortality Costs'!$L203</f>
        <v>31453862</v>
      </c>
      <c r="AI148" s="212">
        <f>'Mortality Costs'!$M203</f>
        <v>98829978</v>
      </c>
      <c r="AJ148" s="212">
        <f>'Workplace Smoking Costs'!$S156</f>
        <v>69850103.721753925</v>
      </c>
      <c r="AK148" s="212">
        <f>'Workplace Smoking Costs'!$S275</f>
        <v>67700869.761084557</v>
      </c>
      <c r="AL148" s="212">
        <f>'Workplace Smoking Costs'!$S394</f>
        <v>222983023.41944525</v>
      </c>
      <c r="AM148" s="212">
        <f t="shared" si="121"/>
        <v>360533996.90228373</v>
      </c>
      <c r="AN148" s="213">
        <f t="shared" si="122"/>
        <v>606712329.73122621</v>
      </c>
      <c r="AO148" s="213">
        <f t="shared" si="123"/>
        <v>551188922.27508664</v>
      </c>
      <c r="AP148" s="213">
        <f t="shared" si="124"/>
        <v>759308007.34379637</v>
      </c>
      <c r="AQ148" s="212">
        <f>tblTotalCosts_Base[Gross Domestic Product (GDP)]</f>
        <v>33921600000</v>
      </c>
      <c r="AR148" s="214">
        <f t="shared" si="115"/>
        <v>1.7885722658460279E-2</v>
      </c>
      <c r="AS148" s="214">
        <f t="shared" si="116"/>
        <v>1.6248906958253345E-2</v>
      </c>
      <c r="AT148" s="214">
        <f t="shared" si="117"/>
        <v>2.2384203791796269E-2</v>
      </c>
      <c r="AU148" s="188">
        <f>'Healthcare Expenditures'!$AL144</f>
        <v>17069795.171057492</v>
      </c>
      <c r="AV148" s="188">
        <f>'Healthcare Expenditures'!$AM144</f>
        <v>14540936.627197117</v>
      </c>
      <c r="AW148" s="188">
        <f>'Healthcare Expenditures'!$AN144</f>
        <v>27395967.558487356</v>
      </c>
      <c r="AX148" s="188">
        <f>'Healthcare Expenditures'!$AO144</f>
        <v>6189326.048917979</v>
      </c>
      <c r="AY148" s="188">
        <f>'Healthcare Expenditures'!$AP144</f>
        <v>5272388.8564856946</v>
      </c>
      <c r="AZ148" s="188">
        <f>'Healthcare Expenditures'!$AQ144</f>
        <v>9933486.2513498664</v>
      </c>
      <c r="BA148" s="188">
        <f>'Healthcare Expenditures'!$AR144</f>
        <v>9782253.5471945852</v>
      </c>
      <c r="BB148" s="188">
        <f>'Healthcare Expenditures'!$AS144</f>
        <v>8333030.7994620651</v>
      </c>
      <c r="BC148" s="188">
        <f>'Healthcare Expenditures'!$AT144</f>
        <v>15699913.100435764</v>
      </c>
      <c r="BD148" s="166">
        <f>'Mortality Costs'!$N203</f>
        <v>8428094</v>
      </c>
      <c r="BE148" s="166">
        <f>'Mortality Costs'!$O203</f>
        <v>5094001</v>
      </c>
      <c r="BF148" s="166">
        <f>'Mortality Costs'!$P203</f>
        <v>12808369</v>
      </c>
      <c r="BG148" s="166">
        <f>'Workplace Smoking Costs'!$V156</f>
        <v>6379894.1420556009</v>
      </c>
      <c r="BH148" s="166">
        <f>'Workplace Smoking Costs'!$V275</f>
        <v>6183589.7069154531</v>
      </c>
      <c r="BI148" s="166">
        <f>'Workplace Smoking Costs'!$V394</f>
        <v>20366585.145792872</v>
      </c>
      <c r="BJ148" s="166">
        <f t="shared" si="125"/>
        <v>32930068.994763926</v>
      </c>
      <c r="BK148" s="166">
        <f t="shared" si="126"/>
        <v>58427958.165821418</v>
      </c>
      <c r="BL148" s="166">
        <f t="shared" si="118"/>
        <v>52565006.621961042</v>
      </c>
      <c r="BM148" s="166">
        <f t="shared" si="119"/>
        <v>73134405.553251281</v>
      </c>
      <c r="BN148" s="215">
        <f>SUM('Intervention Costs'!$E$55+'Intervention Costs'!$D$55+'Intervention Costs'!$G$55+'Intervention Costs'!$F$55)</f>
        <v>487356.38954534929</v>
      </c>
      <c r="BO148" s="166">
        <f t="shared" si="127"/>
        <v>119.88753901498731</v>
      </c>
      <c r="BP148" s="166">
        <f t="shared" si="128"/>
        <v>107.85742784863967</v>
      </c>
      <c r="BQ148" s="216">
        <f t="shared" si="120"/>
        <v>150.06349998094365</v>
      </c>
    </row>
    <row r="149" spans="2:69">
      <c r="B149" s="210">
        <v>15</v>
      </c>
      <c r="C149" s="211" t="s">
        <v>122</v>
      </c>
      <c r="D149" s="212">
        <f>'Healthcare Expenditures'!$J145</f>
        <v>203958000</v>
      </c>
      <c r="E149" s="212">
        <f>'Healthcare Expenditures'!$K145</f>
        <v>173742000</v>
      </c>
      <c r="F149" s="212">
        <f>'Healthcare Expenditures'!$L145</f>
        <v>327340000</v>
      </c>
      <c r="G149" s="212">
        <f>'Healthcare Expenditures'!$M145</f>
        <v>73953000</v>
      </c>
      <c r="H149" s="212">
        <f>'Healthcare Expenditures'!$N145</f>
        <v>62997000.000000007</v>
      </c>
      <c r="I149" s="212">
        <f>'Healthcare Expenditures'!$O145</f>
        <v>118690000</v>
      </c>
      <c r="J149" s="212">
        <f>'Healthcare Expenditures'!$P145</f>
        <v>116883000</v>
      </c>
      <c r="K149" s="212">
        <f>'Healthcare Expenditures'!$Q145</f>
        <v>99567000.000000015</v>
      </c>
      <c r="L149" s="212">
        <f>'Healthcare Expenditures'!$R145</f>
        <v>187590000</v>
      </c>
      <c r="M149" s="212">
        <f>'Mortality Costs'!$G204</f>
        <v>68056809</v>
      </c>
      <c r="N149" s="212">
        <f>'Mortality Costs'!$H204</f>
        <v>36730607</v>
      </c>
      <c r="O149" s="212">
        <f>'Mortality Costs'!$I204</f>
        <v>112196551</v>
      </c>
      <c r="P149" s="212">
        <f>'Workplace Smoking Costs'!$K157</f>
        <v>76229997.863809526</v>
      </c>
      <c r="Q149" s="212">
        <f>'Workplace Smoking Costs'!$K276</f>
        <v>73884459.46800001</v>
      </c>
      <c r="R149" s="212">
        <f>'Workplace Smoking Costs'!$K395</f>
        <v>243349608.56523812</v>
      </c>
      <c r="S149" s="212">
        <f t="shared" si="111"/>
        <v>393464065.89704764</v>
      </c>
      <c r="T149" s="213">
        <f t="shared" si="112"/>
        <v>665478874.89704764</v>
      </c>
      <c r="U149" s="213">
        <f t="shared" si="113"/>
        <v>603936672.89704764</v>
      </c>
      <c r="V149" s="213">
        <f t="shared" si="114"/>
        <v>833000616.89704764</v>
      </c>
      <c r="W149" s="355">
        <f>'Intervention Impacts'!$G$77</f>
        <v>-3.0000000000000001E-3</v>
      </c>
      <c r="X149" s="181">
        <f>'Healthcare Expenditures'!$Z145</f>
        <v>186327540.21445566</v>
      </c>
      <c r="Y149" s="181">
        <f>'Healthcare Expenditures'!$AA145</f>
        <v>158723460.18268448</v>
      </c>
      <c r="Z149" s="181">
        <f>'Healthcare Expenditures'!$AB145</f>
        <v>299044200.34418809</v>
      </c>
      <c r="AA149" s="181">
        <f>'Healthcare Expenditures'!$AC145</f>
        <v>67560382.929228768</v>
      </c>
      <c r="AB149" s="181">
        <f>'Healthcare Expenditures'!$AD145</f>
        <v>57551437.310083769</v>
      </c>
      <c r="AC149" s="181">
        <f>'Healthcare Expenditures'!$AE145</f>
        <v>108430244.20740418</v>
      </c>
      <c r="AD149" s="181">
        <f>'Healthcare Expenditures'!$AF145</f>
        <v>106779444.21344699</v>
      </c>
      <c r="AE149" s="181">
        <f>'Healthcare Expenditures'!$AG145</f>
        <v>90960267.29293634</v>
      </c>
      <c r="AF149" s="181">
        <f>'Healthcare Expenditures'!$AH145</f>
        <v>171374416.63886553</v>
      </c>
      <c r="AG149" s="181">
        <f>'Mortality Costs'!$K204</f>
        <v>59458840</v>
      </c>
      <c r="AH149" s="181">
        <f>'Mortality Costs'!$L204</f>
        <v>31542354</v>
      </c>
      <c r="AI149" s="181">
        <f>'Mortality Costs'!$M204</f>
        <v>99058823</v>
      </c>
      <c r="AJ149" s="181">
        <f>'Workplace Smoking Costs'!$S157</f>
        <v>69640553.410588652</v>
      </c>
      <c r="AK149" s="181">
        <f>'Workplace Smoking Costs'!$S276</f>
        <v>67497767.151801318</v>
      </c>
      <c r="AL149" s="181">
        <f>'Workplace Smoking Costs'!$S395</f>
        <v>222314074.34918687</v>
      </c>
      <c r="AM149" s="181">
        <f t="shared" si="121"/>
        <v>359452394.91157687</v>
      </c>
      <c r="AN149" s="192">
        <f t="shared" si="122"/>
        <v>605238775.12603259</v>
      </c>
      <c r="AO149" s="192">
        <f t="shared" si="123"/>
        <v>549718209.09426141</v>
      </c>
      <c r="AP149" s="192">
        <f t="shared" si="124"/>
        <v>757555418.25576496</v>
      </c>
      <c r="AQ149" s="181">
        <f>tblTotalCosts_Base[Gross Domestic Product (GDP)]</f>
        <v>33921600000</v>
      </c>
      <c r="AR149" s="194">
        <f t="shared" si="115"/>
        <v>1.7842282649581168E-2</v>
      </c>
      <c r="AS149" s="194">
        <f t="shared" si="116"/>
        <v>1.6205550713830168E-2</v>
      </c>
      <c r="AT149" s="194">
        <f t="shared" si="117"/>
        <v>2.233253791848748E-2</v>
      </c>
      <c r="AU149" s="189">
        <f>'Healthcare Expenditures'!$AL145</f>
        <v>17630459.785544336</v>
      </c>
      <c r="AV149" s="189">
        <f>'Healthcare Expenditures'!$AM145</f>
        <v>15018539.817315519</v>
      </c>
      <c r="AW149" s="189">
        <f>'Healthcare Expenditures'!$AN145</f>
        <v>28295799.655811906</v>
      </c>
      <c r="AX149" s="189">
        <f>'Healthcare Expenditures'!$AO145</f>
        <v>6392617.0707712322</v>
      </c>
      <c r="AY149" s="189">
        <f>'Healthcare Expenditures'!$AP145</f>
        <v>5445562.6899162382</v>
      </c>
      <c r="AZ149" s="189">
        <f>'Healthcare Expenditures'!$AQ145</f>
        <v>10259755.792595819</v>
      </c>
      <c r="BA149" s="189">
        <f>'Healthcare Expenditures'!$AR145</f>
        <v>10103555.78655301</v>
      </c>
      <c r="BB149" s="189">
        <f>'Healthcare Expenditures'!$AS145</f>
        <v>8606732.7070636749</v>
      </c>
      <c r="BC149" s="189">
        <f>'Healthcare Expenditures'!$AT145</f>
        <v>16215583.36113447</v>
      </c>
      <c r="BD149" s="190">
        <f>'Mortality Costs'!$N204</f>
        <v>8597969</v>
      </c>
      <c r="BE149" s="190">
        <f>'Mortality Costs'!$O204</f>
        <v>5188253</v>
      </c>
      <c r="BF149" s="190">
        <f>'Mortality Costs'!$P204</f>
        <v>13137728</v>
      </c>
      <c r="BG149" s="190">
        <f>'Workplace Smoking Costs'!$V157</f>
        <v>6589444.4532208741</v>
      </c>
      <c r="BH149" s="190">
        <f>'Workplace Smoking Costs'!$V276</f>
        <v>6386692.3161986917</v>
      </c>
      <c r="BI149" s="190">
        <f>'Workplace Smoking Costs'!$V395</f>
        <v>21035534.216051251</v>
      </c>
      <c r="BJ149" s="190">
        <f t="shared" si="125"/>
        <v>34011670.985470816</v>
      </c>
      <c r="BK149" s="190">
        <f t="shared" si="126"/>
        <v>60240099.771015152</v>
      </c>
      <c r="BL149" s="190">
        <f t="shared" si="118"/>
        <v>54218463.802786335</v>
      </c>
      <c r="BM149" s="190">
        <f t="shared" si="119"/>
        <v>75445198.641282722</v>
      </c>
      <c r="BN149" s="197">
        <f>SUM('Intervention Costs'!$E$56+'Intervention Costs'!$D$56+'Intervention Costs'!$G$56+'Intervention Costs'!$F$56)</f>
        <v>487356.38954534929</v>
      </c>
      <c r="BO149" s="190">
        <f t="shared" si="127"/>
        <v>123.60584792417032</v>
      </c>
      <c r="BP149" s="190">
        <f t="shared" si="128"/>
        <v>111.25013432852761</v>
      </c>
      <c r="BQ149" s="218">
        <f t="shared" si="120"/>
        <v>154.80498513965298</v>
      </c>
    </row>
    <row r="150" spans="2:69">
      <c r="B150" s="202" t="s">
        <v>200</v>
      </c>
      <c r="C150" s="203" t="s">
        <v>122</v>
      </c>
      <c r="D150" s="204">
        <f t="shared" ref="D150:V150" si="129">SUM(D$135:D$139)</f>
        <v>1019790000</v>
      </c>
      <c r="E150" s="204">
        <f t="shared" si="129"/>
        <v>868710000</v>
      </c>
      <c r="F150" s="204">
        <f t="shared" si="129"/>
        <v>1636700000</v>
      </c>
      <c r="G150" s="204">
        <f t="shared" si="129"/>
        <v>369765000</v>
      </c>
      <c r="H150" s="204">
        <f t="shared" si="129"/>
        <v>314985000.00000006</v>
      </c>
      <c r="I150" s="204">
        <f t="shared" si="129"/>
        <v>593450000</v>
      </c>
      <c r="J150" s="204">
        <f t="shared" si="129"/>
        <v>584415000</v>
      </c>
      <c r="K150" s="204">
        <f t="shared" si="129"/>
        <v>497835000.00000006</v>
      </c>
      <c r="L150" s="204">
        <f t="shared" si="129"/>
        <v>937950000</v>
      </c>
      <c r="M150" s="204">
        <f t="shared" si="129"/>
        <v>320523302</v>
      </c>
      <c r="N150" s="204">
        <f t="shared" si="129"/>
        <v>172988000</v>
      </c>
      <c r="O150" s="204">
        <f t="shared" si="129"/>
        <v>528405685</v>
      </c>
      <c r="P150" s="204">
        <f t="shared" si="129"/>
        <v>381149989.31904763</v>
      </c>
      <c r="Q150" s="204">
        <f t="shared" si="129"/>
        <v>369422297.34000003</v>
      </c>
      <c r="R150" s="204">
        <f t="shared" si="129"/>
        <v>1216748042.8261905</v>
      </c>
      <c r="S150" s="204">
        <f t="shared" si="129"/>
        <v>1967320329.4852381</v>
      </c>
      <c r="T150" s="205">
        <f t="shared" si="129"/>
        <v>3307633631.4852381</v>
      </c>
      <c r="U150" s="205">
        <f t="shared" si="129"/>
        <v>3009018329.4852381</v>
      </c>
      <c r="V150" s="205">
        <f t="shared" si="129"/>
        <v>4132426014.4852381</v>
      </c>
      <c r="W150" s="360">
        <f>SUM(W$135:W$139)</f>
        <v>-0.06</v>
      </c>
      <c r="X150" s="212">
        <f t="shared" ref="X150:AQ150" si="130">SUM(X$135:X$139)</f>
        <v>983659697.77352726</v>
      </c>
      <c r="Y150" s="212">
        <f t="shared" si="130"/>
        <v>837932335.14041221</v>
      </c>
      <c r="Z150" s="212">
        <f t="shared" si="130"/>
        <v>1578713095.1920805</v>
      </c>
      <c r="AA150" s="212">
        <f t="shared" si="130"/>
        <v>356664536.96077454</v>
      </c>
      <c r="AB150" s="212">
        <f t="shared" si="130"/>
        <v>303825346.29991913</v>
      </c>
      <c r="AC150" s="212">
        <f t="shared" si="130"/>
        <v>572424565.49260116</v>
      </c>
      <c r="AD150" s="212">
        <f t="shared" si="130"/>
        <v>563709667.94567108</v>
      </c>
      <c r="AE150" s="212">
        <f t="shared" si="130"/>
        <v>480197124.54631245</v>
      </c>
      <c r="AF150" s="212">
        <f t="shared" si="130"/>
        <v>904719220.15971899</v>
      </c>
      <c r="AG150" s="212">
        <f t="shared" si="130"/>
        <v>293792170</v>
      </c>
      <c r="AH150" s="212">
        <f t="shared" si="130"/>
        <v>155535216</v>
      </c>
      <c r="AI150" s="212">
        <f t="shared" si="130"/>
        <v>490667215</v>
      </c>
      <c r="AJ150" s="212">
        <f t="shared" si="130"/>
        <v>367646165.68112803</v>
      </c>
      <c r="AK150" s="212">
        <f t="shared" si="130"/>
        <v>356333975.96786255</v>
      </c>
      <c r="AL150" s="212">
        <f t="shared" si="130"/>
        <v>1173639682.7512934</v>
      </c>
      <c r="AM150" s="212">
        <f t="shared" si="130"/>
        <v>1897619824.4002841</v>
      </c>
      <c r="AN150" s="213">
        <f t="shared" si="130"/>
        <v>3175071692.173811</v>
      </c>
      <c r="AO150" s="213">
        <f t="shared" si="130"/>
        <v>2891087375.5406957</v>
      </c>
      <c r="AP150" s="213">
        <f t="shared" si="130"/>
        <v>3967000134.5923648</v>
      </c>
      <c r="AQ150" s="212">
        <f t="shared" si="130"/>
        <v>169608000000</v>
      </c>
      <c r="AR150" s="214">
        <f t="shared" si="115"/>
        <v>1.8720058559583339E-2</v>
      </c>
      <c r="AS150" s="214">
        <f t="shared" si="116"/>
        <v>1.7045701709475353E-2</v>
      </c>
      <c r="AT150" s="214">
        <f t="shared" si="117"/>
        <v>2.3389227716807962E-2</v>
      </c>
      <c r="AU150" s="188">
        <f t="shared" ref="AU150:BN150" si="131">SUM(AU$135:AU$139)</f>
        <v>36130302.226472855</v>
      </c>
      <c r="AV150" s="188">
        <f t="shared" si="131"/>
        <v>30777664.859587848</v>
      </c>
      <c r="AW150" s="188">
        <f t="shared" si="131"/>
        <v>57986904.807919323</v>
      </c>
      <c r="AX150" s="188">
        <f t="shared" si="131"/>
        <v>13100463.039225474</v>
      </c>
      <c r="AY150" s="188">
        <f t="shared" si="131"/>
        <v>11159653.700080931</v>
      </c>
      <c r="AZ150" s="188">
        <f t="shared" si="131"/>
        <v>21025434.507398859</v>
      </c>
      <c r="BA150" s="188">
        <f t="shared" si="131"/>
        <v>20705332.054328978</v>
      </c>
      <c r="BB150" s="188">
        <f t="shared" si="131"/>
        <v>17637875.453687638</v>
      </c>
      <c r="BC150" s="188">
        <f t="shared" si="131"/>
        <v>33230779.84028101</v>
      </c>
      <c r="BD150" s="188">
        <f t="shared" si="131"/>
        <v>26731132</v>
      </c>
      <c r="BE150" s="188">
        <f t="shared" si="131"/>
        <v>17452784</v>
      </c>
      <c r="BF150" s="188">
        <f t="shared" si="131"/>
        <v>37738470</v>
      </c>
      <c r="BG150" s="188">
        <f t="shared" si="131"/>
        <v>13503823.637919605</v>
      </c>
      <c r="BH150" s="188">
        <f t="shared" si="131"/>
        <v>13088321.372137502</v>
      </c>
      <c r="BI150" s="188">
        <f t="shared" si="131"/>
        <v>43108360.07489717</v>
      </c>
      <c r="BJ150" s="188">
        <f t="shared" si="131"/>
        <v>69700505.084954277</v>
      </c>
      <c r="BK150" s="188">
        <f t="shared" si="131"/>
        <v>132561939.31142713</v>
      </c>
      <c r="BL150" s="188">
        <f t="shared" si="131"/>
        <v>117930953.94454212</v>
      </c>
      <c r="BM150" s="188">
        <f t="shared" si="131"/>
        <v>165425879.89287359</v>
      </c>
      <c r="BN150" s="215">
        <f t="shared" si="131"/>
        <v>4748445.9023322966</v>
      </c>
      <c r="BO150" s="166">
        <f t="shared" si="127"/>
        <v>27.916910508829133</v>
      </c>
      <c r="BP150" s="166">
        <f t="shared" si="128"/>
        <v>24.835694955820792</v>
      </c>
      <c r="BQ150" s="216">
        <f t="shared" si="120"/>
        <v>34.837899240174828</v>
      </c>
    </row>
    <row r="151" spans="2:69">
      <c r="B151" s="210" t="s">
        <v>329</v>
      </c>
      <c r="C151" s="211" t="s">
        <v>122</v>
      </c>
      <c r="D151" s="212">
        <f t="shared" ref="D151:V151" si="132">SUM(D$140:D$149)</f>
        <v>2039580000</v>
      </c>
      <c r="E151" s="212">
        <f t="shared" si="132"/>
        <v>1737420000</v>
      </c>
      <c r="F151" s="212">
        <f t="shared" si="132"/>
        <v>3273400000</v>
      </c>
      <c r="G151" s="212">
        <f t="shared" si="132"/>
        <v>739530000</v>
      </c>
      <c r="H151" s="212">
        <f t="shared" si="132"/>
        <v>629970000.00000012</v>
      </c>
      <c r="I151" s="212">
        <f t="shared" si="132"/>
        <v>1186900000</v>
      </c>
      <c r="J151" s="212">
        <f t="shared" si="132"/>
        <v>1168830000</v>
      </c>
      <c r="K151" s="212">
        <f t="shared" si="132"/>
        <v>995670000.00000012</v>
      </c>
      <c r="L151" s="212">
        <f t="shared" si="132"/>
        <v>1875900000</v>
      </c>
      <c r="M151" s="212">
        <f t="shared" si="132"/>
        <v>665531729</v>
      </c>
      <c r="N151" s="212">
        <f t="shared" si="132"/>
        <v>359190744</v>
      </c>
      <c r="O151" s="212">
        <f t="shared" si="132"/>
        <v>1097176965</v>
      </c>
      <c r="P151" s="212">
        <f t="shared" si="132"/>
        <v>762299978.63809538</v>
      </c>
      <c r="Q151" s="212">
        <f t="shared" si="132"/>
        <v>738844594.68000019</v>
      </c>
      <c r="R151" s="212">
        <f t="shared" si="132"/>
        <v>2433496085.6523805</v>
      </c>
      <c r="S151" s="212">
        <f t="shared" si="132"/>
        <v>3934640658.9704757</v>
      </c>
      <c r="T151" s="213">
        <f t="shared" si="132"/>
        <v>6639752387.9704771</v>
      </c>
      <c r="U151" s="213">
        <f t="shared" si="132"/>
        <v>6031251402.9704771</v>
      </c>
      <c r="V151" s="213">
        <f t="shared" si="132"/>
        <v>8305217623.9704781</v>
      </c>
      <c r="W151" s="361">
        <f>SUM(W$140:W$149)</f>
        <v>-2.9999999999999995E-2</v>
      </c>
      <c r="X151" s="212">
        <f t="shared" ref="X151:AQ151" si="133">SUM(X$140:X$149)</f>
        <v>1888708826.299237</v>
      </c>
      <c r="Y151" s="212">
        <f t="shared" si="133"/>
        <v>1608900111.2919424</v>
      </c>
      <c r="Z151" s="212">
        <f t="shared" si="133"/>
        <v>3031261079.2456884</v>
      </c>
      <c r="AA151" s="212">
        <f t="shared" si="133"/>
        <v>684825718.19348812</v>
      </c>
      <c r="AB151" s="212">
        <f t="shared" si="133"/>
        <v>583370056.23889732</v>
      </c>
      <c r="AC151" s="212">
        <f t="shared" si="133"/>
        <v>1099103004.5080674</v>
      </c>
      <c r="AD151" s="212">
        <f t="shared" si="133"/>
        <v>1082369672.8950748</v>
      </c>
      <c r="AE151" s="212">
        <f t="shared" si="133"/>
        <v>922018610.24395263</v>
      </c>
      <c r="AF151" s="212">
        <f t="shared" si="133"/>
        <v>1737136512.0538239</v>
      </c>
      <c r="AG151" s="212">
        <f t="shared" si="133"/>
        <v>588955572</v>
      </c>
      <c r="AH151" s="212">
        <f t="shared" si="133"/>
        <v>311986601</v>
      </c>
      <c r="AI151" s="212">
        <f t="shared" si="133"/>
        <v>981076428</v>
      </c>
      <c r="AJ151" s="212">
        <f t="shared" si="133"/>
        <v>705911363.09509337</v>
      </c>
      <c r="AK151" s="212">
        <f t="shared" si="133"/>
        <v>684191013.46139812</v>
      </c>
      <c r="AL151" s="212">
        <f t="shared" si="133"/>
        <v>2253486274.4958749</v>
      </c>
      <c r="AM151" s="212">
        <f t="shared" si="133"/>
        <v>3643588651.0523667</v>
      </c>
      <c r="AN151" s="213">
        <f t="shared" si="133"/>
        <v>6121253049.3516035</v>
      </c>
      <c r="AO151" s="213">
        <f t="shared" si="133"/>
        <v>5564475363.3443089</v>
      </c>
      <c r="AP151" s="213">
        <f t="shared" si="133"/>
        <v>7655926158.2980556</v>
      </c>
      <c r="AQ151" s="212">
        <f t="shared" si="133"/>
        <v>339216000000</v>
      </c>
      <c r="AR151" s="214">
        <f t="shared" si="115"/>
        <v>1.8045295768335232E-2</v>
      </c>
      <c r="AS151" s="214">
        <f t="shared" si="116"/>
        <v>1.6403929541484803E-2</v>
      </c>
      <c r="AT151" s="214">
        <f t="shared" si="117"/>
        <v>2.2569472425528442E-2</v>
      </c>
      <c r="AU151" s="166">
        <f t="shared" ref="AU151:BN151" si="134">SUM(AU$140:AU$149)</f>
        <v>150871173.70076326</v>
      </c>
      <c r="AV151" s="166">
        <f t="shared" si="134"/>
        <v>128519888.70805758</v>
      </c>
      <c r="AW151" s="166">
        <f t="shared" si="134"/>
        <v>242138920.7543115</v>
      </c>
      <c r="AX151" s="166">
        <f t="shared" si="134"/>
        <v>54704281.806511864</v>
      </c>
      <c r="AY151" s="166">
        <f t="shared" si="134"/>
        <v>46599943.761102751</v>
      </c>
      <c r="AZ151" s="166">
        <f t="shared" si="134"/>
        <v>87796995.49193266</v>
      </c>
      <c r="BA151" s="166">
        <f t="shared" si="134"/>
        <v>86460327.104925081</v>
      </c>
      <c r="BB151" s="166">
        <f t="shared" si="134"/>
        <v>73651389.756047428</v>
      </c>
      <c r="BC151" s="166">
        <f t="shared" si="134"/>
        <v>138763487.94617617</v>
      </c>
      <c r="BD151" s="166">
        <f t="shared" si="134"/>
        <v>76576157</v>
      </c>
      <c r="BE151" s="166">
        <f t="shared" si="134"/>
        <v>47204143</v>
      </c>
      <c r="BF151" s="166">
        <f t="shared" si="134"/>
        <v>116100537</v>
      </c>
      <c r="BG151" s="166">
        <f t="shared" si="134"/>
        <v>56388615.54300192</v>
      </c>
      <c r="BH151" s="166">
        <f t="shared" si="134"/>
        <v>54653581.218601972</v>
      </c>
      <c r="BI151" s="166">
        <f t="shared" si="134"/>
        <v>180009811.15650618</v>
      </c>
      <c r="BJ151" s="166">
        <f t="shared" si="134"/>
        <v>291052007.91811007</v>
      </c>
      <c r="BK151" s="166">
        <f t="shared" si="134"/>
        <v>518499338.61887336</v>
      </c>
      <c r="BL151" s="166">
        <f t="shared" si="134"/>
        <v>466776039.62616765</v>
      </c>
      <c r="BM151" s="166">
        <f t="shared" si="134"/>
        <v>649291465.67242157</v>
      </c>
      <c r="BN151" s="215">
        <f t="shared" si="134"/>
        <v>5273707.05598957</v>
      </c>
      <c r="BO151" s="166">
        <f t="shared" si="127"/>
        <v>98.317811951650199</v>
      </c>
      <c r="BP151" s="166">
        <f t="shared" si="128"/>
        <v>88.510043252408295</v>
      </c>
      <c r="BQ151" s="216">
        <f t="shared" si="120"/>
        <v>123.11860685075294</v>
      </c>
    </row>
    <row r="152" spans="2:69">
      <c r="B152" s="217" t="s">
        <v>330</v>
      </c>
      <c r="C152" s="180" t="s">
        <v>122</v>
      </c>
      <c r="D152" s="181">
        <f t="shared" ref="D152:V152" si="135">SUM(D$135:D$149)</f>
        <v>3059370000</v>
      </c>
      <c r="E152" s="181">
        <f t="shared" si="135"/>
        <v>2606130000</v>
      </c>
      <c r="F152" s="181">
        <f t="shared" si="135"/>
        <v>4910100000</v>
      </c>
      <c r="G152" s="181">
        <f t="shared" si="135"/>
        <v>1109295000</v>
      </c>
      <c r="H152" s="181">
        <f t="shared" si="135"/>
        <v>944955000.00000012</v>
      </c>
      <c r="I152" s="181">
        <f t="shared" si="135"/>
        <v>1780350000</v>
      </c>
      <c r="J152" s="181">
        <f t="shared" si="135"/>
        <v>1753245000</v>
      </c>
      <c r="K152" s="181">
        <f t="shared" si="135"/>
        <v>1493505000.0000002</v>
      </c>
      <c r="L152" s="181">
        <f t="shared" si="135"/>
        <v>2813850000</v>
      </c>
      <c r="M152" s="181">
        <f t="shared" si="135"/>
        <v>986055031</v>
      </c>
      <c r="N152" s="181">
        <f t="shared" si="135"/>
        <v>532178744</v>
      </c>
      <c r="O152" s="181">
        <f t="shared" si="135"/>
        <v>1625582650</v>
      </c>
      <c r="P152" s="181">
        <f t="shared" si="135"/>
        <v>1143449967.9571433</v>
      </c>
      <c r="Q152" s="181">
        <f t="shared" si="135"/>
        <v>1108266892.0200005</v>
      </c>
      <c r="R152" s="181">
        <f t="shared" si="135"/>
        <v>3650244128.4785705</v>
      </c>
      <c r="S152" s="181">
        <f t="shared" si="135"/>
        <v>5901960988.4557152</v>
      </c>
      <c r="T152" s="192">
        <f t="shared" si="135"/>
        <v>9947386019.4557152</v>
      </c>
      <c r="U152" s="192">
        <f t="shared" si="135"/>
        <v>9040269732.4557171</v>
      </c>
      <c r="V152" s="192">
        <f t="shared" si="135"/>
        <v>12437643638.455713</v>
      </c>
      <c r="W152" s="362">
        <f>SUM(W$135:W$149)</f>
        <v>-9.0000000000000024E-2</v>
      </c>
      <c r="X152" s="181">
        <f t="shared" ref="X152:AQ152" si="136">SUM(X$135:X$149)</f>
        <v>2872368524.0727639</v>
      </c>
      <c r="Y152" s="181">
        <f t="shared" si="136"/>
        <v>2446832446.4323545</v>
      </c>
      <c r="Z152" s="181">
        <f t="shared" si="136"/>
        <v>4609974174.4377689</v>
      </c>
      <c r="AA152" s="181">
        <f t="shared" si="136"/>
        <v>1041490255.1542625</v>
      </c>
      <c r="AB152" s="181">
        <f t="shared" si="136"/>
        <v>887195402.53881645</v>
      </c>
      <c r="AC152" s="181">
        <f t="shared" si="136"/>
        <v>1671527570.0006685</v>
      </c>
      <c r="AD152" s="181">
        <f t="shared" si="136"/>
        <v>1646079340.8407462</v>
      </c>
      <c r="AE152" s="181">
        <f t="shared" si="136"/>
        <v>1402215734.7902651</v>
      </c>
      <c r="AF152" s="181">
        <f t="shared" si="136"/>
        <v>2641855732.2135429</v>
      </c>
      <c r="AG152" s="181">
        <f t="shared" si="136"/>
        <v>882747742</v>
      </c>
      <c r="AH152" s="181">
        <f t="shared" si="136"/>
        <v>467521817</v>
      </c>
      <c r="AI152" s="181">
        <f t="shared" si="136"/>
        <v>1471743643</v>
      </c>
      <c r="AJ152" s="181">
        <f t="shared" si="136"/>
        <v>1073557528.7762214</v>
      </c>
      <c r="AK152" s="181">
        <f t="shared" si="136"/>
        <v>1040524989.4292608</v>
      </c>
      <c r="AL152" s="181">
        <f t="shared" si="136"/>
        <v>3427125957.2471681</v>
      </c>
      <c r="AM152" s="181">
        <f t="shared" si="136"/>
        <v>5541208475.452651</v>
      </c>
      <c r="AN152" s="192">
        <f t="shared" si="136"/>
        <v>9296324741.5254135</v>
      </c>
      <c r="AO152" s="192">
        <f t="shared" si="136"/>
        <v>8455562738.885005</v>
      </c>
      <c r="AP152" s="192">
        <f t="shared" si="136"/>
        <v>11622926292.890419</v>
      </c>
      <c r="AQ152" s="181">
        <f t="shared" si="136"/>
        <v>508824000000</v>
      </c>
      <c r="AR152" s="194">
        <f t="shared" si="115"/>
        <v>1.8270216698751264E-2</v>
      </c>
      <c r="AS152" s="194">
        <f t="shared" si="116"/>
        <v>1.6617853597481653E-2</v>
      </c>
      <c r="AT152" s="194">
        <f t="shared" si="117"/>
        <v>2.2842724189288278E-2</v>
      </c>
      <c r="AU152" s="190">
        <f t="shared" ref="AU152:BN152" si="137">SUM(AU$135:AU$149)</f>
        <v>187001475.92723611</v>
      </c>
      <c r="AV152" s="190">
        <f t="shared" si="137"/>
        <v>159297553.56764543</v>
      </c>
      <c r="AW152" s="190">
        <f t="shared" si="137"/>
        <v>300125825.56223083</v>
      </c>
      <c r="AX152" s="190">
        <f t="shared" si="137"/>
        <v>67804744.845737338</v>
      </c>
      <c r="AY152" s="190">
        <f t="shared" si="137"/>
        <v>57759597.461183682</v>
      </c>
      <c r="AZ152" s="190">
        <f t="shared" si="137"/>
        <v>108822429.99933152</v>
      </c>
      <c r="BA152" s="190">
        <f t="shared" si="137"/>
        <v>107165659.15925406</v>
      </c>
      <c r="BB152" s="190">
        <f t="shared" si="137"/>
        <v>91289265.209735066</v>
      </c>
      <c r="BC152" s="190">
        <f t="shared" si="137"/>
        <v>171994267.78645718</v>
      </c>
      <c r="BD152" s="190">
        <f t="shared" si="137"/>
        <v>103307289</v>
      </c>
      <c r="BE152" s="190">
        <f t="shared" si="137"/>
        <v>64656927</v>
      </c>
      <c r="BF152" s="190">
        <f t="shared" si="137"/>
        <v>153839007</v>
      </c>
      <c r="BG152" s="190">
        <f t="shared" si="137"/>
        <v>69892439.180921525</v>
      </c>
      <c r="BH152" s="190">
        <f t="shared" si="137"/>
        <v>67741902.590739474</v>
      </c>
      <c r="BI152" s="190">
        <f t="shared" si="137"/>
        <v>223118171.23140335</v>
      </c>
      <c r="BJ152" s="190">
        <f t="shared" si="137"/>
        <v>360752513.00306433</v>
      </c>
      <c r="BK152" s="190">
        <f t="shared" si="137"/>
        <v>651061277.93030047</v>
      </c>
      <c r="BL152" s="190">
        <f t="shared" si="137"/>
        <v>584706993.57070982</v>
      </c>
      <c r="BM152" s="190">
        <f t="shared" si="137"/>
        <v>814717345.5652951</v>
      </c>
      <c r="BN152" s="197">
        <f t="shared" si="137"/>
        <v>10022152.958321868</v>
      </c>
      <c r="BO152" s="190">
        <f t="shared" si="127"/>
        <v>64.962217263875772</v>
      </c>
      <c r="BP152" s="190">
        <f t="shared" si="128"/>
        <v>58.34145577325279</v>
      </c>
      <c r="BQ152" s="218">
        <f t="shared" si="120"/>
        <v>81.291649504191284</v>
      </c>
    </row>
    <row r="153" spans="2:69">
      <c r="D153" s="178"/>
      <c r="E153" s="178"/>
      <c r="F153" s="178"/>
      <c r="G153" s="178"/>
      <c r="H153" s="178"/>
      <c r="I153" s="178"/>
      <c r="J153" s="178"/>
    </row>
    <row r="154" spans="2:69">
      <c r="D154" s="178"/>
      <c r="E154" s="178"/>
      <c r="F154" s="178"/>
      <c r="G154" s="178"/>
      <c r="H154" s="178"/>
      <c r="I154" s="178"/>
      <c r="J154" s="178"/>
    </row>
    <row r="155" spans="2:69">
      <c r="D155" s="178"/>
      <c r="E155" s="178"/>
      <c r="F155" s="178"/>
      <c r="G155" s="178"/>
      <c r="H155" s="178"/>
      <c r="I155" s="178"/>
      <c r="J155" s="178"/>
    </row>
  </sheetData>
  <pageMargins left="0.7" right="0.7" top="0.75" bottom="0.75" header="0.3" footer="0.3"/>
  <pageSetup orientation="portrait" horizontalDpi="0" verticalDpi="0"/>
  <ignoredErrors>
    <ignoredError sqref="P39:P56 Q54:R56 G39:I53 J39:L53 G54:K56 L54:L56 S54:S56 S39:S53 D78:S80 D102:S104 E126:S128 D126:D128 D150:P152 Q150:S152 T78:V80 T102:V104 T126:V128 T150:V152" calculatedColumn="1"/>
  </ignoredErrors>
  <drawing r:id="rId1"/>
  <tableParts count="6">
    <tablePart r:id="rId2"/>
    <tablePart r:id="rId3"/>
    <tablePart r:id="rId4"/>
    <tablePart r:id="rId5"/>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89"/>
  <sheetViews>
    <sheetView workbookViewId="0"/>
  </sheetViews>
  <sheetFormatPr defaultColWidth="11.42578125" defaultRowHeight="15"/>
  <cols>
    <col min="2" max="2" width="48.85546875" customWidth="1"/>
    <col min="3" max="3" width="15.140625" customWidth="1"/>
  </cols>
  <sheetData>
    <row r="2" spans="2:12">
      <c r="B2" s="24" t="s">
        <v>28</v>
      </c>
    </row>
    <row r="3" spans="2:12">
      <c r="B3" s="20"/>
    </row>
    <row r="4" spans="2:12" ht="15.75">
      <c r="B4" s="22" t="s">
        <v>3</v>
      </c>
      <c r="C4" s="1" t="s">
        <v>14</v>
      </c>
      <c r="D4" s="1" t="s">
        <v>15</v>
      </c>
      <c r="E4" s="1" t="s">
        <v>16</v>
      </c>
      <c r="F4" s="1" t="s">
        <v>17</v>
      </c>
      <c r="G4" s="1" t="s">
        <v>18</v>
      </c>
      <c r="H4" s="1" t="s">
        <v>19</v>
      </c>
      <c r="I4" s="1" t="s">
        <v>20</v>
      </c>
      <c r="J4" s="1" t="s">
        <v>21</v>
      </c>
      <c r="K4" s="1" t="s">
        <v>22</v>
      </c>
      <c r="L4" s="1" t="s">
        <v>23</v>
      </c>
    </row>
    <row r="5" spans="2:12">
      <c r="B5" s="20" t="s">
        <v>11</v>
      </c>
      <c r="C5" s="23">
        <v>0.8</v>
      </c>
      <c r="D5" s="23">
        <v>0.54</v>
      </c>
      <c r="E5" s="23">
        <v>0.5</v>
      </c>
      <c r="F5" s="23">
        <v>0.5</v>
      </c>
      <c r="G5" s="23">
        <v>0.5</v>
      </c>
      <c r="H5" s="23">
        <v>0.6</v>
      </c>
      <c r="I5" s="23">
        <v>0.6</v>
      </c>
      <c r="J5" s="23">
        <v>0.6</v>
      </c>
      <c r="K5" s="23">
        <v>0.63</v>
      </c>
      <c r="L5" s="23">
        <v>0.75</v>
      </c>
    </row>
    <row r="6" spans="2:12">
      <c r="B6" s="20" t="s">
        <v>12</v>
      </c>
      <c r="C6" s="23">
        <v>1.41</v>
      </c>
      <c r="D6" s="23">
        <v>1.41</v>
      </c>
      <c r="E6" s="23">
        <v>1.63</v>
      </c>
      <c r="F6" s="23">
        <v>1.55</v>
      </c>
      <c r="G6" s="23">
        <v>1.5</v>
      </c>
      <c r="H6" s="23">
        <v>1.66</v>
      </c>
      <c r="I6" s="23">
        <v>1.79</v>
      </c>
      <c r="J6" s="23">
        <v>2.0099999999999998</v>
      </c>
      <c r="K6" s="23">
        <v>2.23</v>
      </c>
      <c r="L6" s="23">
        <v>2.3199999999999998</v>
      </c>
    </row>
    <row r="7" spans="2:12">
      <c r="B7" s="20" t="s">
        <v>13</v>
      </c>
      <c r="C7" s="5">
        <f>C5/C6</f>
        <v>0.56737588652482274</v>
      </c>
      <c r="D7" s="5">
        <f t="shared" ref="D7:J7" si="0">D5/D6</f>
        <v>0.38297872340425537</v>
      </c>
      <c r="E7" s="5">
        <f t="shared" si="0"/>
        <v>0.30674846625766872</v>
      </c>
      <c r="F7" s="5">
        <f t="shared" si="0"/>
        <v>0.32258064516129031</v>
      </c>
      <c r="G7" s="5">
        <f t="shared" si="0"/>
        <v>0.33333333333333331</v>
      </c>
      <c r="H7" s="5">
        <f t="shared" si="0"/>
        <v>0.36144578313253012</v>
      </c>
      <c r="I7" s="5">
        <f t="shared" si="0"/>
        <v>0.33519553072625696</v>
      </c>
      <c r="J7" s="5">
        <f t="shared" si="0"/>
        <v>0.29850746268656719</v>
      </c>
      <c r="K7" s="5">
        <f>K5/K6</f>
        <v>0.28251121076233182</v>
      </c>
      <c r="L7" s="5">
        <f>L5/L6</f>
        <v>0.32327586206896552</v>
      </c>
    </row>
    <row r="9" spans="2:12" ht="15.75">
      <c r="B9" s="20" t="s">
        <v>32</v>
      </c>
    </row>
    <row r="10" spans="2:12">
      <c r="B10" t="s">
        <v>24</v>
      </c>
    </row>
    <row r="12" spans="2:12" ht="15.75">
      <c r="B12" s="21" t="s">
        <v>25</v>
      </c>
    </row>
    <row r="13" spans="2:12" ht="15.75">
      <c r="B13" s="21" t="s">
        <v>26</v>
      </c>
    </row>
    <row r="14" spans="2:12" ht="15.75">
      <c r="B14" s="21" t="s">
        <v>27</v>
      </c>
    </row>
    <row r="17" spans="2:6">
      <c r="B17" s="17" t="s">
        <v>29</v>
      </c>
    </row>
    <row r="19" spans="2:6">
      <c r="B19" s="17" t="s">
        <v>3</v>
      </c>
      <c r="C19" s="1" t="s">
        <v>23</v>
      </c>
    </row>
    <row r="20" spans="2:6">
      <c r="B20" t="s">
        <v>30</v>
      </c>
      <c r="C20" s="2">
        <v>478062256</v>
      </c>
    </row>
    <row r="22" spans="2:6">
      <c r="B22" t="s">
        <v>31</v>
      </c>
    </row>
    <row r="25" spans="2:6">
      <c r="B25" s="17" t="s">
        <v>33</v>
      </c>
    </row>
    <row r="27" spans="2:6">
      <c r="B27" t="s">
        <v>3</v>
      </c>
      <c r="C27" t="s">
        <v>23</v>
      </c>
    </row>
    <row r="28" spans="2:6">
      <c r="B28" t="s">
        <v>34</v>
      </c>
      <c r="C28" s="2">
        <f>Table32[2014]*L6</f>
        <v>1109104433.9199998</v>
      </c>
      <c r="F28" s="17" t="s">
        <v>37</v>
      </c>
    </row>
    <row r="29" spans="2:6">
      <c r="B29" t="s">
        <v>36</v>
      </c>
      <c r="C29" s="2">
        <f>Table32[2014]*L5</f>
        <v>358546692</v>
      </c>
    </row>
    <row r="30" spans="2:6">
      <c r="B30" t="s">
        <v>35</v>
      </c>
      <c r="C30" s="2">
        <f>C28-C29</f>
        <v>750557741.91999984</v>
      </c>
    </row>
    <row r="49" spans="2:2">
      <c r="B49" s="25" t="s">
        <v>38</v>
      </c>
    </row>
    <row r="51" spans="2:2">
      <c r="B51" t="s">
        <v>39</v>
      </c>
    </row>
    <row r="53" spans="2:2">
      <c r="B53" t="s">
        <v>40</v>
      </c>
    </row>
    <row r="54" spans="2:2">
      <c r="B54" t="s">
        <v>41</v>
      </c>
    </row>
    <row r="55" spans="2:2">
      <c r="B55" t="s">
        <v>42</v>
      </c>
    </row>
    <row r="57" spans="2:2">
      <c r="B57" t="s">
        <v>43</v>
      </c>
    </row>
    <row r="58" spans="2:2">
      <c r="B58" t="s">
        <v>44</v>
      </c>
    </row>
    <row r="59" spans="2:2">
      <c r="B59" t="s">
        <v>45</v>
      </c>
    </row>
    <row r="60" spans="2:2">
      <c r="B60" s="26" t="s">
        <v>46</v>
      </c>
    </row>
    <row r="61" spans="2:2">
      <c r="B61" s="26" t="s">
        <v>47</v>
      </c>
    </row>
    <row r="64" spans="2:2">
      <c r="B64" s="17" t="s">
        <v>55</v>
      </c>
    </row>
    <row r="65" spans="2:2">
      <c r="B65" t="s">
        <v>48</v>
      </c>
    </row>
    <row r="66" spans="2:2">
      <c r="B66" t="s">
        <v>49</v>
      </c>
    </row>
    <row r="67" spans="2:2">
      <c r="B67" t="s">
        <v>50</v>
      </c>
    </row>
    <row r="68" spans="2:2">
      <c r="B68" t="s">
        <v>51</v>
      </c>
    </row>
    <row r="69" spans="2:2">
      <c r="B69" t="s">
        <v>52</v>
      </c>
    </row>
    <row r="70" spans="2:2">
      <c r="B70" s="26" t="s">
        <v>53</v>
      </c>
    </row>
    <row r="71" spans="2:2">
      <c r="B71" s="26" t="s">
        <v>54</v>
      </c>
    </row>
    <row r="72" spans="2:2">
      <c r="B72" t="s">
        <v>56</v>
      </c>
    </row>
    <row r="74" spans="2:2">
      <c r="B74" s="17" t="s">
        <v>35</v>
      </c>
    </row>
    <row r="75" spans="2:2">
      <c r="B75" t="s">
        <v>57</v>
      </c>
    </row>
    <row r="76" spans="2:2">
      <c r="B76" t="s">
        <v>58</v>
      </c>
    </row>
    <row r="77" spans="2:2">
      <c r="B77" t="s">
        <v>59</v>
      </c>
    </row>
    <row r="78" spans="2:2">
      <c r="B78" t="s">
        <v>60</v>
      </c>
    </row>
    <row r="79" spans="2:2">
      <c r="B79" s="26" t="s">
        <v>61</v>
      </c>
    </row>
    <row r="80" spans="2:2">
      <c r="B80" s="26" t="s">
        <v>62</v>
      </c>
    </row>
    <row r="82" spans="2:2">
      <c r="B82" s="17" t="s">
        <v>63</v>
      </c>
    </row>
    <row r="83" spans="2:2">
      <c r="B83" s="27" t="s">
        <v>64</v>
      </c>
    </row>
    <row r="84" spans="2:2">
      <c r="B84" t="s">
        <v>65</v>
      </c>
    </row>
    <row r="85" spans="2:2">
      <c r="B85" t="s">
        <v>66</v>
      </c>
    </row>
    <row r="86" spans="2:2">
      <c r="B86" t="s">
        <v>67</v>
      </c>
    </row>
    <row r="87" spans="2:2">
      <c r="B87" s="26" t="s">
        <v>68</v>
      </c>
    </row>
    <row r="88" spans="2:2">
      <c r="B88" s="26" t="s">
        <v>69</v>
      </c>
    </row>
    <row r="89" spans="2:2">
      <c r="B89" s="26" t="s">
        <v>70</v>
      </c>
    </row>
  </sheetData>
  <pageMargins left="0.7" right="0.7" top="0.75" bottom="0.75" header="0.3" footer="0.3"/>
  <drawing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76"/>
  <sheetViews>
    <sheetView workbookViewId="0"/>
  </sheetViews>
  <sheetFormatPr defaultColWidth="10.85546875" defaultRowHeight="15.75"/>
  <cols>
    <col min="1" max="1" width="7.85546875" style="29" customWidth="1"/>
    <col min="2" max="2" width="29.7109375" style="29" customWidth="1"/>
    <col min="3" max="3" width="32.42578125" style="29" customWidth="1"/>
    <col min="4" max="4" width="31.85546875" style="29" customWidth="1"/>
    <col min="5" max="5" width="34.140625" style="29" customWidth="1"/>
    <col min="6" max="6" width="34" style="29" customWidth="1"/>
    <col min="7" max="7" width="32.7109375" style="29" customWidth="1"/>
    <col min="8" max="8" width="27.7109375" customWidth="1"/>
    <col min="9" max="12" width="31.85546875" style="29" customWidth="1"/>
    <col min="13" max="17" width="10.85546875" style="29"/>
    <col min="18" max="18" width="25.140625" style="29" customWidth="1"/>
    <col min="19" max="16384" width="10.85546875" style="29"/>
  </cols>
  <sheetData>
    <row r="2" spans="2:9" ht="23.25">
      <c r="B2" s="158" t="s">
        <v>249</v>
      </c>
    </row>
    <row r="8" spans="2:9">
      <c r="H8" s="219"/>
      <c r="I8" s="220"/>
    </row>
    <row r="9" spans="2:9">
      <c r="B9" s="157" t="s">
        <v>247</v>
      </c>
      <c r="H9" s="219"/>
      <c r="I9" s="220"/>
    </row>
    <row r="10" spans="2:9">
      <c r="H10" s="219"/>
      <c r="I10" s="220"/>
    </row>
    <row r="11" spans="2:9">
      <c r="H11" s="219"/>
      <c r="I11" s="220"/>
    </row>
    <row r="12" spans="2:9">
      <c r="H12" s="219"/>
      <c r="I12" s="220"/>
    </row>
    <row r="38" spans="2:13">
      <c r="B38" s="28" t="s">
        <v>248</v>
      </c>
      <c r="I38"/>
      <c r="J38"/>
      <c r="K38"/>
      <c r="L38"/>
      <c r="M38"/>
    </row>
    <row r="39" spans="2:13">
      <c r="B39" s="150" t="s">
        <v>199</v>
      </c>
      <c r="I39"/>
      <c r="J39"/>
      <c r="K39"/>
      <c r="L39"/>
      <c r="M39"/>
    </row>
    <row r="40" spans="2:13">
      <c r="H40" s="29"/>
    </row>
    <row r="41" spans="2:13">
      <c r="B41" s="32" t="s">
        <v>198</v>
      </c>
      <c r="C41" s="223" t="s">
        <v>242</v>
      </c>
      <c r="D41" s="32" t="s">
        <v>363</v>
      </c>
      <c r="E41" s="32" t="s">
        <v>77</v>
      </c>
      <c r="F41" s="32" t="s">
        <v>121</v>
      </c>
      <c r="G41" s="32" t="s">
        <v>122</v>
      </c>
      <c r="H41" s="29"/>
    </row>
    <row r="42" spans="2:13">
      <c r="B42" s="152">
        <v>1</v>
      </c>
      <c r="C42" s="156">
        <f t="shared" ref="C42:C59" si="0">SUM(D42:G42)</f>
        <v>977845.09626223892</v>
      </c>
      <c r="D42" s="153">
        <v>420164.67851533508</v>
      </c>
      <c r="E42" s="153">
        <v>291952.13592082419</v>
      </c>
      <c r="F42" s="153">
        <v>133969.4117534635</v>
      </c>
      <c r="G42" s="153">
        <v>131758.87007261609</v>
      </c>
      <c r="H42" s="29"/>
    </row>
    <row r="43" spans="2:13">
      <c r="B43" s="152">
        <v>2</v>
      </c>
      <c r="C43" s="156">
        <f t="shared" si="0"/>
        <v>1239351.5852383957</v>
      </c>
      <c r="D43" s="153">
        <v>188719.35507489069</v>
      </c>
      <c r="E43" s="153">
        <v>503799.88966945937</v>
      </c>
      <c r="F43" s="153">
        <v>273303.57999894564</v>
      </c>
      <c r="G43" s="153">
        <v>273528.7604951</v>
      </c>
      <c r="H43" s="29"/>
    </row>
    <row r="44" spans="2:13">
      <c r="B44" s="152">
        <v>3</v>
      </c>
      <c r="C44" s="156">
        <f t="shared" si="0"/>
        <v>837959.39977647236</v>
      </c>
      <c r="D44" s="153">
        <v>155919.98335411877</v>
      </c>
      <c r="E44" s="153">
        <v>336131.3752381691</v>
      </c>
      <c r="F44" s="153">
        <v>170998.01058749502</v>
      </c>
      <c r="G44" s="153">
        <v>174910.03059668947</v>
      </c>
      <c r="H44" s="29"/>
    </row>
    <row r="45" spans="2:13">
      <c r="B45" s="152">
        <v>4</v>
      </c>
      <c r="C45" s="156">
        <f t="shared" si="0"/>
        <v>855330.42127871735</v>
      </c>
      <c r="D45" s="153">
        <v>155919.98335411877</v>
      </c>
      <c r="E45" s="153">
        <v>353502.39674041414</v>
      </c>
      <c r="F45" s="153">
        <v>170998.01058749502</v>
      </c>
      <c r="G45" s="153">
        <v>174910.03059668947</v>
      </c>
      <c r="H45" s="29"/>
    </row>
    <row r="46" spans="2:13">
      <c r="B46" s="152">
        <v>5</v>
      </c>
      <c r="C46" s="156">
        <f t="shared" si="0"/>
        <v>837959.39977647236</v>
      </c>
      <c r="D46" s="153">
        <v>155919.98335411877</v>
      </c>
      <c r="E46" s="153">
        <v>336131.3752381691</v>
      </c>
      <c r="F46" s="153">
        <v>170998.01058749502</v>
      </c>
      <c r="G46" s="153">
        <v>174910.03059668947</v>
      </c>
      <c r="H46" s="29"/>
    </row>
    <row r="47" spans="2:13">
      <c r="B47" s="152">
        <v>6</v>
      </c>
      <c r="C47" s="156">
        <f t="shared" si="0"/>
        <v>661371.43756002001</v>
      </c>
      <c r="D47" s="153">
        <v>188015.91453482551</v>
      </c>
      <c r="E47" s="153">
        <v>231478.41999997184</v>
      </c>
      <c r="F47" s="153">
        <v>123966.33501385748</v>
      </c>
      <c r="G47" s="153">
        <v>117910.76801136523</v>
      </c>
      <c r="H47" s="29"/>
    </row>
    <row r="48" spans="2:13">
      <c r="B48" s="152">
        <v>7</v>
      </c>
      <c r="C48" s="156">
        <f t="shared" si="0"/>
        <v>504727.41104759433</v>
      </c>
      <c r="D48" s="153">
        <v>143206.86834745869</v>
      </c>
      <c r="E48" s="153">
        <v>177293.76840340815</v>
      </c>
      <c r="F48" s="153">
        <v>93726.697405892919</v>
      </c>
      <c r="G48" s="153">
        <v>90500.076890834564</v>
      </c>
      <c r="H48" s="29"/>
    </row>
    <row r="49" spans="2:9">
      <c r="B49" s="152">
        <v>8</v>
      </c>
      <c r="C49" s="156">
        <f t="shared" si="0"/>
        <v>487356.38954534923</v>
      </c>
      <c r="D49" s="153">
        <v>143206.86834745869</v>
      </c>
      <c r="E49" s="153">
        <v>159922.7469011631</v>
      </c>
      <c r="F49" s="153">
        <v>93726.697405892919</v>
      </c>
      <c r="G49" s="153">
        <v>90500.076890834564</v>
      </c>
      <c r="H49" s="29"/>
    </row>
    <row r="50" spans="2:9">
      <c r="B50" s="152">
        <v>9</v>
      </c>
      <c r="C50" s="156">
        <f t="shared" si="0"/>
        <v>487356.38954534923</v>
      </c>
      <c r="D50" s="153">
        <v>143206.86834745869</v>
      </c>
      <c r="E50" s="153">
        <v>159922.7469011631</v>
      </c>
      <c r="F50" s="153">
        <v>93726.697405892919</v>
      </c>
      <c r="G50" s="153">
        <v>90500.076890834564</v>
      </c>
      <c r="H50" s="29"/>
    </row>
    <row r="51" spans="2:9">
      <c r="B51" s="152">
        <v>10</v>
      </c>
      <c r="C51" s="156">
        <f t="shared" si="0"/>
        <v>504727.41104759433</v>
      </c>
      <c r="D51" s="153">
        <v>143206.86834745869</v>
      </c>
      <c r="E51" s="153">
        <v>177293.76840340815</v>
      </c>
      <c r="F51" s="153">
        <v>93726.697405892919</v>
      </c>
      <c r="G51" s="153">
        <v>90500.076890834564</v>
      </c>
      <c r="H51" s="29"/>
    </row>
    <row r="52" spans="2:9">
      <c r="B52" s="152">
        <v>11</v>
      </c>
      <c r="C52" s="156">
        <f t="shared" si="0"/>
        <v>661371.43756002001</v>
      </c>
      <c r="D52" s="153">
        <v>188015.91453482551</v>
      </c>
      <c r="E52" s="153">
        <v>231478.41999997184</v>
      </c>
      <c r="F52" s="153">
        <v>123966.33501385748</v>
      </c>
      <c r="G52" s="153">
        <v>117910.76801136523</v>
      </c>
      <c r="H52" s="29"/>
    </row>
    <row r="53" spans="2:9">
      <c r="B53" s="152">
        <v>12</v>
      </c>
      <c r="C53" s="156">
        <f t="shared" si="0"/>
        <v>487356.38954534923</v>
      </c>
      <c r="D53" s="153">
        <v>143206.86834745869</v>
      </c>
      <c r="E53" s="153">
        <v>159922.7469011631</v>
      </c>
      <c r="F53" s="153">
        <v>93726.697405892919</v>
      </c>
      <c r="G53" s="153">
        <v>90500.076890834564</v>
      </c>
      <c r="H53" s="29"/>
    </row>
    <row r="54" spans="2:9">
      <c r="B54" s="152">
        <v>13</v>
      </c>
      <c r="C54" s="156">
        <f t="shared" si="0"/>
        <v>504727.41104759433</v>
      </c>
      <c r="D54" s="153">
        <v>143206.86834745869</v>
      </c>
      <c r="E54" s="153">
        <v>177293.76840340815</v>
      </c>
      <c r="F54" s="153">
        <v>93726.697405892919</v>
      </c>
      <c r="G54" s="153">
        <v>90500.076890834564</v>
      </c>
      <c r="H54" s="29"/>
    </row>
    <row r="55" spans="2:9">
      <c r="B55" s="152">
        <v>14</v>
      </c>
      <c r="C55" s="156">
        <f t="shared" si="0"/>
        <v>487356.38954534923</v>
      </c>
      <c r="D55" s="153">
        <v>143206.86834745869</v>
      </c>
      <c r="E55" s="153">
        <v>159922.7469011631</v>
      </c>
      <c r="F55" s="153">
        <v>93726.697405892919</v>
      </c>
      <c r="G55" s="153">
        <v>90500.076890834564</v>
      </c>
      <c r="H55" s="29"/>
    </row>
    <row r="56" spans="2:9" ht="16.5" thickBot="1">
      <c r="B56" s="337">
        <v>15</v>
      </c>
      <c r="C56" s="338">
        <f t="shared" si="0"/>
        <v>487356.38954534923</v>
      </c>
      <c r="D56" s="339">
        <v>143206.86834745869</v>
      </c>
      <c r="E56" s="339">
        <v>159922.7469011631</v>
      </c>
      <c r="F56" s="339">
        <v>93726.697405892919</v>
      </c>
      <c r="G56" s="339">
        <v>90500.076890834564</v>
      </c>
      <c r="H56" s="29"/>
    </row>
    <row r="57" spans="2:9">
      <c r="B57" s="340" t="s">
        <v>200</v>
      </c>
      <c r="C57" s="341">
        <f t="shared" si="0"/>
        <v>4748445.9023322966</v>
      </c>
      <c r="D57" s="341">
        <v>1076643.9836525819</v>
      </c>
      <c r="E57" s="341">
        <v>1821517.172807036</v>
      </c>
      <c r="F57" s="341">
        <v>920267.0235148943</v>
      </c>
      <c r="G57" s="341">
        <v>930017.7223577844</v>
      </c>
      <c r="H57" s="29"/>
    </row>
    <row r="58" spans="2:9">
      <c r="B58" s="340" t="s">
        <v>201</v>
      </c>
      <c r="C58" s="341">
        <f t="shared" si="0"/>
        <v>5273707.05598957</v>
      </c>
      <c r="D58" s="341">
        <v>1521686.7758493207</v>
      </c>
      <c r="E58" s="341">
        <v>1794451.8797159838</v>
      </c>
      <c r="F58" s="341">
        <v>997746.24927485816</v>
      </c>
      <c r="G58" s="341">
        <v>959822.15114940715</v>
      </c>
      <c r="H58" s="29"/>
    </row>
    <row r="59" spans="2:9">
      <c r="B59" s="340" t="s">
        <v>7</v>
      </c>
      <c r="C59" s="341">
        <f t="shared" si="0"/>
        <v>10022152.958321866</v>
      </c>
      <c r="D59" s="341">
        <v>2598330.7595019024</v>
      </c>
      <c r="E59" s="341">
        <v>3615969.0525230188</v>
      </c>
      <c r="F59" s="341">
        <v>1918013.2727897526</v>
      </c>
      <c r="G59" s="341">
        <v>1889839.8735071917</v>
      </c>
      <c r="H59" s="29"/>
    </row>
    <row r="60" spans="2:9">
      <c r="B60" s="151"/>
      <c r="C60" s="149"/>
      <c r="D60" s="149"/>
      <c r="E60" s="149"/>
      <c r="F60" s="149"/>
      <c r="G60" s="149"/>
      <c r="H60" s="149"/>
      <c r="I60" s="149"/>
    </row>
    <row r="61" spans="2:9">
      <c r="B61" s="151"/>
      <c r="C61" s="149"/>
      <c r="D61" s="149"/>
      <c r="E61" s="149"/>
      <c r="F61" s="149"/>
      <c r="G61" s="149"/>
      <c r="H61" s="149"/>
      <c r="I61" s="149"/>
    </row>
    <row r="62" spans="2:9">
      <c r="D62" s="149"/>
    </row>
    <row r="63" spans="2:9">
      <c r="D63" s="149"/>
    </row>
    <row r="64" spans="2:9">
      <c r="D64" s="149"/>
    </row>
    <row r="65" spans="4:4">
      <c r="D65" s="149"/>
    </row>
    <row r="66" spans="4:4">
      <c r="D66" s="149"/>
    </row>
    <row r="67" spans="4:4">
      <c r="D67" s="149"/>
    </row>
    <row r="68" spans="4:4">
      <c r="D68" s="149"/>
    </row>
    <row r="69" spans="4:4">
      <c r="D69" s="149"/>
    </row>
    <row r="70" spans="4:4">
      <c r="D70" s="149"/>
    </row>
    <row r="71" spans="4:4">
      <c r="D71" s="149"/>
    </row>
    <row r="72" spans="4:4">
      <c r="D72" s="149"/>
    </row>
    <row r="73" spans="4:4">
      <c r="D73" s="149"/>
    </row>
    <row r="74" spans="4:4">
      <c r="D74" s="149"/>
    </row>
    <row r="75" spans="4:4">
      <c r="D75" s="149"/>
    </row>
    <row r="76" spans="4:4">
      <c r="D76" s="149"/>
    </row>
  </sheetData>
  <pageMargins left="0.7" right="0.7" top="0.75" bottom="0.75" header="0.3" footer="0.3"/>
  <pageSetup orientation="portrait"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W239"/>
  <sheetViews>
    <sheetView zoomScale="90" zoomScaleNormal="90" workbookViewId="0"/>
  </sheetViews>
  <sheetFormatPr defaultColWidth="11.42578125" defaultRowHeight="15"/>
  <cols>
    <col min="1" max="1" width="6" style="6" customWidth="1"/>
    <col min="2" max="2" width="40" style="6" customWidth="1"/>
    <col min="3" max="3" width="30.28515625" style="6" customWidth="1"/>
    <col min="4" max="4" width="32.7109375" style="6" customWidth="1"/>
    <col min="5" max="5" width="69.42578125" style="6" customWidth="1"/>
    <col min="6" max="6" width="35.7109375" style="6" customWidth="1"/>
    <col min="7" max="7" width="31" style="6" customWidth="1"/>
    <col min="8" max="8" width="33.85546875" style="6" customWidth="1"/>
    <col min="9" max="9" width="37.140625" style="6" customWidth="1"/>
    <col min="10" max="10" width="45.7109375" style="6" customWidth="1"/>
    <col min="11" max="11" width="35.140625" style="6" customWidth="1"/>
    <col min="12" max="12" width="45.42578125" style="6" customWidth="1"/>
    <col min="13" max="13" width="38.28515625" style="6" customWidth="1"/>
    <col min="14" max="14" width="38.140625" style="6" customWidth="1"/>
    <col min="15" max="15" width="35.42578125" style="6" customWidth="1"/>
    <col min="16" max="16" width="24.85546875" style="6" customWidth="1"/>
    <col min="17" max="17" width="31.140625" style="6" customWidth="1"/>
    <col min="18" max="18" width="35" style="6" customWidth="1"/>
    <col min="19" max="19" width="27.42578125" style="6" customWidth="1"/>
    <col min="20" max="21" width="25.85546875" style="6" customWidth="1"/>
    <col min="22" max="22" width="43.28515625" style="6" customWidth="1"/>
    <col min="23" max="23" width="30.85546875" style="6" customWidth="1"/>
    <col min="24" max="24" width="27.42578125" style="6" customWidth="1"/>
    <col min="25" max="25" width="24.7109375" style="6" customWidth="1"/>
    <col min="26" max="26" width="27" style="6" customWidth="1"/>
    <col min="27" max="27" width="22" style="6" customWidth="1"/>
    <col min="28" max="28" width="27.140625" style="6" customWidth="1"/>
    <col min="29" max="29" width="26.42578125" style="6" customWidth="1"/>
    <col min="30" max="30" width="28" style="6" customWidth="1"/>
    <col min="31" max="31" width="29.7109375" style="6" customWidth="1"/>
    <col min="32" max="32" width="22.42578125" style="6" customWidth="1"/>
    <col min="33" max="33" width="28" style="6" customWidth="1"/>
    <col min="34" max="34" width="24.42578125" style="6" customWidth="1"/>
    <col min="35" max="35" width="24" style="6" customWidth="1"/>
    <col min="36" max="36" width="22.140625" style="6" customWidth="1"/>
    <col min="37" max="37" width="24.42578125" style="6" customWidth="1"/>
    <col min="38" max="38" width="26.7109375" style="6" customWidth="1"/>
    <col min="39" max="39" width="21.42578125" style="6" customWidth="1"/>
    <col min="40" max="40" width="21.28515625" style="6" customWidth="1"/>
    <col min="41" max="41" width="29.28515625" style="6" customWidth="1"/>
    <col min="42" max="42" width="25.28515625" style="6" customWidth="1"/>
    <col min="43" max="43" width="27.7109375" style="6" customWidth="1"/>
    <col min="44" max="44" width="29.140625" style="6" customWidth="1"/>
    <col min="45" max="45" width="21.140625" style="6" customWidth="1"/>
    <col min="46" max="46" width="26.28515625" style="6" customWidth="1"/>
    <col min="47" max="47" width="25" style="6" customWidth="1"/>
    <col min="48" max="48" width="20.28515625" style="6" customWidth="1"/>
    <col min="49" max="49" width="24.85546875" style="6" customWidth="1"/>
    <col min="50" max="16384" width="11.42578125" style="6"/>
  </cols>
  <sheetData>
    <row r="2" spans="2:7" ht="23.25">
      <c r="B2" s="80" t="s">
        <v>82</v>
      </c>
    </row>
    <row r="4" spans="2:7" ht="30">
      <c r="B4" t="s">
        <v>1</v>
      </c>
      <c r="C4" t="s">
        <v>0</v>
      </c>
      <c r="D4" s="38" t="s">
        <v>85</v>
      </c>
      <c r="E4" s="4" t="s">
        <v>86</v>
      </c>
      <c r="G4" s="16"/>
    </row>
    <row r="5" spans="2:7">
      <c r="B5" s="7" t="s">
        <v>82</v>
      </c>
      <c r="C5" s="8" t="s">
        <v>91</v>
      </c>
      <c r="D5" s="37">
        <v>2518000000</v>
      </c>
      <c r="E5" s="36" t="s">
        <v>89</v>
      </c>
      <c r="G5" s="10"/>
    </row>
    <row r="6" spans="2:7">
      <c r="B6" s="7" t="s">
        <v>83</v>
      </c>
      <c r="C6" s="8" t="s">
        <v>91</v>
      </c>
      <c r="D6" s="37">
        <v>913000000</v>
      </c>
      <c r="E6" s="36" t="s">
        <v>89</v>
      </c>
    </row>
    <row r="7" spans="2:7">
      <c r="B7" s="7" t="s">
        <v>87</v>
      </c>
      <c r="C7" s="8" t="s">
        <v>91</v>
      </c>
      <c r="D7" s="37">
        <v>1443000000</v>
      </c>
      <c r="E7" s="36" t="s">
        <v>89</v>
      </c>
    </row>
    <row r="8" spans="2:7">
      <c r="B8" s="7" t="s">
        <v>88</v>
      </c>
      <c r="C8" s="8" t="s">
        <v>91</v>
      </c>
      <c r="D8" s="37">
        <v>162000000</v>
      </c>
      <c r="E8" s="36" t="s">
        <v>89</v>
      </c>
    </row>
    <row r="9" spans="2:7">
      <c r="B9" s="7"/>
      <c r="C9" s="8"/>
      <c r="D9" s="37"/>
      <c r="E9" s="36"/>
    </row>
    <row r="11" spans="2:7" ht="23.25">
      <c r="B11" s="80" t="s">
        <v>90</v>
      </c>
    </row>
    <row r="12" spans="2:7">
      <c r="F12" s="24"/>
    </row>
    <row r="13" spans="2:7" ht="21">
      <c r="B13" s="81" t="s">
        <v>92</v>
      </c>
      <c r="F13" s="20"/>
    </row>
    <row r="14" spans="2:7" ht="21.75" thickBot="1">
      <c r="B14" s="81"/>
      <c r="F14" s="20"/>
    </row>
    <row r="15" spans="2:7" ht="17.25">
      <c r="B15" s="228" t="s">
        <v>375</v>
      </c>
      <c r="C15" s="229" t="s">
        <v>376</v>
      </c>
      <c r="D15" s="229" t="s">
        <v>4</v>
      </c>
      <c r="E15" s="230" t="s">
        <v>251</v>
      </c>
      <c r="F15" s="20"/>
    </row>
    <row r="16" spans="2:7" ht="57" customHeight="1">
      <c r="B16" s="224" t="s">
        <v>374</v>
      </c>
      <c r="C16" s="225">
        <v>8.1000000000000003E-2</v>
      </c>
      <c r="D16" s="290" t="s">
        <v>614</v>
      </c>
      <c r="E16" s="291" t="s">
        <v>615</v>
      </c>
    </row>
    <row r="17" spans="2:49" ht="47.1" customHeight="1">
      <c r="B17" s="224" t="s">
        <v>369</v>
      </c>
      <c r="C17" s="225">
        <v>6.9000000000000006E-2</v>
      </c>
      <c r="D17" s="290" t="s">
        <v>614</v>
      </c>
      <c r="E17" s="291" t="s">
        <v>616</v>
      </c>
    </row>
    <row r="18" spans="2:49" ht="60" customHeight="1" thickBot="1">
      <c r="B18" s="226" t="s">
        <v>370</v>
      </c>
      <c r="C18" s="227">
        <v>0.13</v>
      </c>
      <c r="D18" s="289" t="s">
        <v>2</v>
      </c>
      <c r="E18" s="292" t="s">
        <v>617</v>
      </c>
      <c r="F18" s="238"/>
    </row>
    <row r="19" spans="2:49" ht="17.25">
      <c r="B19" s="9"/>
    </row>
    <row r="21" spans="2:49" ht="36.950000000000003" customHeight="1">
      <c r="B21" t="s">
        <v>1</v>
      </c>
      <c r="C21" t="s">
        <v>0</v>
      </c>
      <c r="D21" s="4" t="s">
        <v>82</v>
      </c>
      <c r="E21" s="4" t="s">
        <v>374</v>
      </c>
      <c r="F21" s="4" t="s">
        <v>377</v>
      </c>
      <c r="G21" s="4" t="s">
        <v>371</v>
      </c>
      <c r="H21" s="18" t="s">
        <v>378</v>
      </c>
      <c r="I21" s="18" t="s">
        <v>379</v>
      </c>
      <c r="J21" s="18" t="s">
        <v>380</v>
      </c>
    </row>
    <row r="22" spans="2:49">
      <c r="B22" s="7" t="s">
        <v>82</v>
      </c>
      <c r="C22" s="8" t="s">
        <v>91</v>
      </c>
      <c r="D22" s="37">
        <v>2518000000</v>
      </c>
      <c r="E22" s="231">
        <f t="shared" ref="E22:E25" si="0">$C$16</f>
        <v>8.1000000000000003E-2</v>
      </c>
      <c r="F22" s="39">
        <f>$C$17</f>
        <v>6.9000000000000006E-2</v>
      </c>
      <c r="G22" s="39">
        <f t="shared" ref="G22:G25" si="1">$C$18</f>
        <v>0.13</v>
      </c>
      <c r="H22" s="36">
        <f>Table1644[[#This Row],[Total Healthcare Expenditures]]*Table1644[[#This Row],[Smoking-Attributable Fraction (SAF) for Georgia]]</f>
        <v>203958000</v>
      </c>
      <c r="I22" s="40">
        <f>Table1644[[#This Row],[Total Healthcare Expenditures]]*Table1644[[#This Row],[Smoking-Attributable Fraction (SAF) for Georgia: Lower Bound]]</f>
        <v>173742000</v>
      </c>
      <c r="J22" s="40">
        <f>Table1644[[#This Row],[Total Healthcare Expenditures]]*Table1644[[#This Row],[Smoking-Attributable Fraction (SAF) for Georgia: Upper Bound]]</f>
        <v>327340000</v>
      </c>
    </row>
    <row r="23" spans="2:49">
      <c r="B23" s="7" t="s">
        <v>83</v>
      </c>
      <c r="C23" s="8" t="s">
        <v>91</v>
      </c>
      <c r="D23" s="37">
        <v>913000000</v>
      </c>
      <c r="E23" s="231">
        <f t="shared" si="0"/>
        <v>8.1000000000000003E-2</v>
      </c>
      <c r="F23" s="39">
        <f t="shared" ref="F23:F25" si="2">$C$17</f>
        <v>6.9000000000000006E-2</v>
      </c>
      <c r="G23" s="39">
        <f t="shared" si="1"/>
        <v>0.13</v>
      </c>
      <c r="H23" s="36">
        <f>Table1644[[#This Row],[Total Healthcare Expenditures]]*Table1644[[#This Row],[Smoking-Attributable Fraction (SAF) for Georgia]]</f>
        <v>73953000</v>
      </c>
      <c r="I23" s="40">
        <f>Table1644[[#This Row],[Total Healthcare Expenditures]]*Table1644[[#This Row],[Smoking-Attributable Fraction (SAF) for Georgia: Lower Bound]]</f>
        <v>62997000.000000007</v>
      </c>
      <c r="J23" s="40">
        <f>Table1644[[#This Row],[Total Healthcare Expenditures]]*Table1644[[#This Row],[Smoking-Attributable Fraction (SAF) for Georgia: Upper Bound]]</f>
        <v>118690000</v>
      </c>
    </row>
    <row r="24" spans="2:49">
      <c r="B24" s="7" t="s">
        <v>87</v>
      </c>
      <c r="C24" s="8" t="s">
        <v>91</v>
      </c>
      <c r="D24" s="37">
        <v>1443000000</v>
      </c>
      <c r="E24" s="231">
        <f t="shared" si="0"/>
        <v>8.1000000000000003E-2</v>
      </c>
      <c r="F24" s="39">
        <f t="shared" si="2"/>
        <v>6.9000000000000006E-2</v>
      </c>
      <c r="G24" s="39">
        <f t="shared" si="1"/>
        <v>0.13</v>
      </c>
      <c r="H24" s="36">
        <f>Table1644[[#This Row],[Total Healthcare Expenditures]]*Table1644[[#This Row],[Smoking-Attributable Fraction (SAF) for Georgia]]</f>
        <v>116883000</v>
      </c>
      <c r="I24" s="40">
        <f>Table1644[[#This Row],[Total Healthcare Expenditures]]*Table1644[[#This Row],[Smoking-Attributable Fraction (SAF) for Georgia: Lower Bound]]</f>
        <v>99567000.000000015</v>
      </c>
      <c r="J24" s="40">
        <f>Table1644[[#This Row],[Total Healthcare Expenditures]]*Table1644[[#This Row],[Smoking-Attributable Fraction (SAF) for Georgia: Upper Bound]]</f>
        <v>187590000</v>
      </c>
    </row>
    <row r="25" spans="2:49">
      <c r="B25" s="7" t="s">
        <v>88</v>
      </c>
      <c r="C25" s="8" t="s">
        <v>91</v>
      </c>
      <c r="D25" s="37">
        <v>162000000</v>
      </c>
      <c r="E25" s="231">
        <f t="shared" si="0"/>
        <v>8.1000000000000003E-2</v>
      </c>
      <c r="F25" s="39">
        <f t="shared" si="2"/>
        <v>6.9000000000000006E-2</v>
      </c>
      <c r="G25" s="39">
        <f t="shared" si="1"/>
        <v>0.13</v>
      </c>
      <c r="H25" s="36">
        <f>Table1644[[#This Row],[Total Healthcare Expenditures]]*Table1644[[#This Row],[Smoking-Attributable Fraction (SAF) for Georgia]]</f>
        <v>13122000</v>
      </c>
      <c r="I25" s="40">
        <f>Table1644[[#This Row],[Total Healthcare Expenditures]]*Table1644[[#This Row],[Smoking-Attributable Fraction (SAF) for Georgia: Lower Bound]]</f>
        <v>11178000.000000002</v>
      </c>
      <c r="J25" s="40">
        <f>Table1644[[#This Row],[Total Healthcare Expenditures]]*Table1644[[#This Row],[Smoking-Attributable Fraction (SAF) for Georgia: Upper Bound]]</f>
        <v>21060000</v>
      </c>
    </row>
    <row r="26" spans="2:49" ht="17.25">
      <c r="B26" s="9"/>
    </row>
    <row r="27" spans="2:49" ht="17.25">
      <c r="B27" s="9"/>
    </row>
    <row r="28" spans="2:49" ht="17.25">
      <c r="B28" s="9"/>
    </row>
    <row r="29" spans="2:49" ht="21">
      <c r="B29" s="81" t="s">
        <v>93</v>
      </c>
    </row>
    <row r="30" spans="2:49" ht="17.25">
      <c r="B30" s="41"/>
    </row>
    <row r="31" spans="2:49" ht="90.95" customHeight="1">
      <c r="B31" s="71"/>
      <c r="C31" s="167"/>
      <c r="D31" s="100"/>
      <c r="E31" s="100"/>
      <c r="F31" s="100"/>
      <c r="G31" s="69"/>
      <c r="I31" s="100"/>
      <c r="J31" s="167"/>
      <c r="K31" s="100"/>
      <c r="O31" s="100"/>
      <c r="P31" s="100"/>
      <c r="Q31" s="100"/>
      <c r="S31" s="233"/>
      <c r="T31" s="233"/>
      <c r="U31" s="233"/>
      <c r="V31" s="68" t="s">
        <v>110</v>
      </c>
      <c r="W31" s="364" t="s">
        <v>113</v>
      </c>
      <c r="X31" s="364"/>
      <c r="Y31" s="364"/>
      <c r="Z31" s="365" t="s">
        <v>112</v>
      </c>
      <c r="AA31" s="365"/>
      <c r="AB31" s="365"/>
      <c r="AC31" s="365"/>
      <c r="AD31" s="365"/>
      <c r="AE31" s="365"/>
      <c r="AF31" s="365"/>
      <c r="AG31" s="365"/>
      <c r="AH31" s="365"/>
      <c r="AI31" s="365"/>
      <c r="AJ31" s="365"/>
      <c r="AK31" s="365"/>
      <c r="AL31" s="366" t="s">
        <v>114</v>
      </c>
      <c r="AM31" s="366"/>
      <c r="AN31" s="366"/>
      <c r="AO31" s="366"/>
      <c r="AP31" s="366"/>
      <c r="AQ31" s="366"/>
      <c r="AR31" s="366"/>
      <c r="AS31" s="366"/>
      <c r="AT31" s="366"/>
      <c r="AU31" s="366"/>
      <c r="AV31" s="366"/>
      <c r="AW31" s="366"/>
    </row>
    <row r="32" spans="2:49" ht="17.25">
      <c r="B32" s="9"/>
    </row>
    <row r="33" spans="2:49" ht="110.25">
      <c r="B33" s="33" t="s">
        <v>81</v>
      </c>
      <c r="C33" s="57" t="s">
        <v>104</v>
      </c>
      <c r="D33" s="57" t="s">
        <v>103</v>
      </c>
      <c r="E33" s="57" t="s">
        <v>283</v>
      </c>
      <c r="F33" s="57" t="s">
        <v>105</v>
      </c>
      <c r="G33" s="33" t="s">
        <v>381</v>
      </c>
      <c r="H33" s="33" t="s">
        <v>373</v>
      </c>
      <c r="I33" s="33" t="s">
        <v>372</v>
      </c>
      <c r="J33" s="57" t="s">
        <v>94</v>
      </c>
      <c r="K33" s="57" t="s">
        <v>382</v>
      </c>
      <c r="L33" s="57" t="s">
        <v>383</v>
      </c>
      <c r="M33" s="57" t="s">
        <v>95</v>
      </c>
      <c r="N33" s="57" t="s">
        <v>384</v>
      </c>
      <c r="O33" s="57" t="s">
        <v>385</v>
      </c>
      <c r="P33" s="57" t="s">
        <v>96</v>
      </c>
      <c r="Q33" s="57" t="s">
        <v>386</v>
      </c>
      <c r="R33" s="57" t="s">
        <v>387</v>
      </c>
      <c r="S33" s="57" t="s">
        <v>97</v>
      </c>
      <c r="T33" s="57" t="s">
        <v>388</v>
      </c>
      <c r="U33" s="57" t="s">
        <v>389</v>
      </c>
      <c r="V33" s="63" t="s">
        <v>84</v>
      </c>
      <c r="W33" s="58" t="s">
        <v>98</v>
      </c>
      <c r="X33" s="58" t="s">
        <v>390</v>
      </c>
      <c r="Y33" s="58" t="s">
        <v>391</v>
      </c>
      <c r="Z33" s="33" t="s">
        <v>99</v>
      </c>
      <c r="AA33" s="33" t="s">
        <v>392</v>
      </c>
      <c r="AB33" s="33" t="s">
        <v>393</v>
      </c>
      <c r="AC33" s="33" t="s">
        <v>100</v>
      </c>
      <c r="AD33" s="33" t="s">
        <v>394</v>
      </c>
      <c r="AE33" s="33" t="s">
        <v>395</v>
      </c>
      <c r="AF33" s="33" t="s">
        <v>101</v>
      </c>
      <c r="AG33" s="33" t="s">
        <v>396</v>
      </c>
      <c r="AH33" s="33" t="s">
        <v>397</v>
      </c>
      <c r="AI33" s="33" t="s">
        <v>102</v>
      </c>
      <c r="AJ33" s="33" t="s">
        <v>398</v>
      </c>
      <c r="AK33" s="33" t="s">
        <v>399</v>
      </c>
      <c r="AL33" s="77" t="s">
        <v>106</v>
      </c>
      <c r="AM33" s="77" t="s">
        <v>400</v>
      </c>
      <c r="AN33" s="77" t="s">
        <v>401</v>
      </c>
      <c r="AO33" s="77" t="s">
        <v>107</v>
      </c>
      <c r="AP33" s="77" t="s">
        <v>402</v>
      </c>
      <c r="AQ33" s="77" t="s">
        <v>403</v>
      </c>
      <c r="AR33" s="77" t="s">
        <v>108</v>
      </c>
      <c r="AS33" s="77" t="s">
        <v>404</v>
      </c>
      <c r="AT33" s="77" t="s">
        <v>405</v>
      </c>
      <c r="AU33" s="77" t="s">
        <v>109</v>
      </c>
      <c r="AV33" s="77" t="s">
        <v>406</v>
      </c>
      <c r="AW33" s="77" t="s">
        <v>407</v>
      </c>
    </row>
    <row r="34" spans="2:49">
      <c r="B34" s="44">
        <v>0</v>
      </c>
      <c r="C34" s="45">
        <f t="shared" ref="C34:C49" si="3">$D$22</f>
        <v>2518000000</v>
      </c>
      <c r="D34" s="45">
        <f t="shared" ref="D34:D49" si="4">$D$23</f>
        <v>913000000</v>
      </c>
      <c r="E34" s="45">
        <f t="shared" ref="E34:E49" si="5">$D$24</f>
        <v>1443000000</v>
      </c>
      <c r="F34" s="45">
        <f t="shared" ref="F34:F49" si="6">$D$25</f>
        <v>162000000</v>
      </c>
      <c r="G34" s="46">
        <f t="shared" ref="G34:G49" si="7">$C$16</f>
        <v>8.1000000000000003E-2</v>
      </c>
      <c r="H34" s="46">
        <f>$C$17</f>
        <v>6.9000000000000006E-2</v>
      </c>
      <c r="I34" s="46">
        <f t="shared" ref="I34:I49" si="8">$C$18</f>
        <v>0.13</v>
      </c>
      <c r="J34" s="42">
        <f>Table1536434546[[#This Row],[Total Healthcare Expenditures
(All Categories):
Base Scenario]]*Table1536434546[[#This Row],[Smoking-Attributable Fraction (SAF) of Healthcare Expenditures
Base Scenario]]</f>
        <v>203958000</v>
      </c>
      <c r="K34" s="42">
        <f>Table1536434546[[#This Row],[Total Healthcare Expenditures
(All Categories):
Base Scenario]]*Table1536434546[[#This Row],[Smoking-Attributable Fraction (SAF) of Healthcare Expenditures: Lower Bound
Base Scenario]]</f>
        <v>173742000</v>
      </c>
      <c r="L34" s="42">
        <f>Table1536434546[[#This Row],[Total Healthcare Expenditures
(All Categories):
Base Scenario]]*Table1536434546[[#This Row],[Smoking-Attributable Fraction (SAF) of Healthcare Expenditures: Upper Bound
Base Scenario]]</f>
        <v>327340000</v>
      </c>
      <c r="M34" s="42">
        <f>Table1536434546[[#This Row],[Total Government Healthcare Expenditures
(including national insurance):
Base Scenario]]*Table1536434546[[#This Row],[Smoking-Attributable Fraction (SAF) of Healthcare Expenditures
Base Scenario]]</f>
        <v>73953000</v>
      </c>
      <c r="N34" s="42">
        <f>Table1536434546[[#This Row],[Total Government Healthcare Expenditures
(including national insurance):
Base Scenario]]*Table1536434546[[#This Row],[Smoking-Attributable Fraction (SAF) of Healthcare Expenditures: Lower Bound
Base Scenario]]</f>
        <v>62997000.000000007</v>
      </c>
      <c r="O34" s="42">
        <f>Table1536434546[[#This Row],[Total Government Healthcare Expenditures
(including national insurance):
Base Scenario]]*Table1536434546[[#This Row],[Smoking-Attributable Fraction (SAF) of Healthcare Expenditures: Upper Bound
Base Scenario]]</f>
        <v>118690000</v>
      </c>
      <c r="P34" s="42">
        <f>Table1536434546[[#This Row],[Total Private (Out-of-Pocket) Healthcare Expenditures:
Base Scenario]]*Table1536434546[[#This Row],[Smoking-Attributable Fraction (SAF) of Healthcare Expenditures
Base Scenario]]</f>
        <v>116883000</v>
      </c>
      <c r="Q34" s="42">
        <f>Table1536434546[[#This Row],[Total Private (Out-of-Pocket) Healthcare Expenditures:
Base Scenario]]*Table1536434546[[#This Row],[Smoking-Attributable Fraction (SAF) of Healthcare Expenditures: Lower Bound
Base Scenario]]</f>
        <v>99567000.000000015</v>
      </c>
      <c r="R34" s="42">
        <f>Table1536434546[[#This Row],[Total Private (Out-of-Pocket) Healthcare Expenditures:
Base Scenario]]*Table1536434546[[#This Row],[Smoking-Attributable Fraction (SAF) of Healthcare Expenditures: Upper Bound
Base Scenario]]</f>
        <v>187590000</v>
      </c>
      <c r="S34" s="42">
        <f>Table1536434546[[#This Row],[Total Other Health Expenditures:
Base Scenario]]*Table1536434546[[#This Row],[Smoking-Attributable Fraction (SAF) of Healthcare Expenditures
Base Scenario]]</f>
        <v>13122000</v>
      </c>
      <c r="T34" s="42">
        <f>Table1536434546[[#This Row],[Total Other Health Expenditures:
Base Scenario]]*Table1536434546[[#This Row],[Smoking-Attributable Fraction (SAF) of Healthcare Expenditures: Lower Bound
Base Scenario]]</f>
        <v>11178000.000000002</v>
      </c>
      <c r="U34" s="42">
        <f>Table1536434546[[#This Row],[Total Other Health Expenditures:
Base Scenario]]*Table1536434546[[#This Row],[Smoking-Attributable Fraction (SAF) of Healthcare Expenditures: Upper Bound
Base Scenario]]</f>
        <v>21060000</v>
      </c>
      <c r="V34" s="79"/>
      <c r="W34" s="59">
        <f>$C$16</f>
        <v>8.1000000000000003E-2</v>
      </c>
      <c r="X34" s="59">
        <f t="shared" ref="X34" si="9">$C$17</f>
        <v>6.9000000000000006E-2</v>
      </c>
      <c r="Y34" s="59">
        <f t="shared" ref="Y34" si="10">$C$18</f>
        <v>0.13</v>
      </c>
      <c r="Z34" s="64">
        <f>Table1536434546[[#This Row],[Total Healthcare Expenditures
(All Categories):
Base Scenario]]*Table1536434546[[#This Row],[Smoking-Attributable Fraction (SAF) of Healthcare Expenditures:
Adjusted for Intervention Impacts]]</f>
        <v>203958000</v>
      </c>
      <c r="AA34" s="64">
        <f>Table1536434546[[#This Row],[Total Healthcare Expenditures
(All Categories):
Base Scenario]]*Table1536434546[[#This Row],[Smoking-Attributable Fraction (SAF) of Healthcare Expenditures: Lower Bound
Adjusted for Intervention Impacts]]</f>
        <v>173742000</v>
      </c>
      <c r="AB34" s="64">
        <f>Table1536434546[[#This Row],[Total Healthcare Expenditures
(All Categories):
Base Scenario]]*Table1536434546[[#This Row],[Smoking-Attributable Fraction (SAF) of Healthcare Expenditures: Upper Bound
Adjusted for Intervention Impacts]]</f>
        <v>327340000</v>
      </c>
      <c r="AC34" s="64">
        <f>Table1536434546[[#This Row],[Total Government Healthcare Expenditures
(including national insurance):
Base Scenario]]*Table1536434546[[#This Row],[Smoking-Attributable Fraction (SAF) of Healthcare Expenditures:
Adjusted for Intervention Impacts]]</f>
        <v>73953000</v>
      </c>
      <c r="AD34" s="64">
        <f>Table1536434546[[#This Row],[Total Government Healthcare Expenditures
(including national insurance):
Base Scenario]]*Table1536434546[[#This Row],[Smoking-Attributable Fraction (SAF) of Healthcare Expenditures: Lower Bound
Adjusted for Intervention Impacts]]</f>
        <v>62997000.000000007</v>
      </c>
      <c r="AE34" s="64">
        <f>Table1536434546[[#This Row],[Total Government Healthcare Expenditures
(including national insurance):
Base Scenario]]*Table1536434546[[#This Row],[Smoking-Attributable Fraction (SAF) of Healthcare Expenditures: Upper Bound
Adjusted for Intervention Impacts]]</f>
        <v>118690000</v>
      </c>
      <c r="AF34" s="64">
        <f>Table1536434546[[#This Row],[Total Private (Out-of-Pocket) Healthcare Expenditures:
Base Scenario]]*Table1536434546[[#This Row],[Smoking-Attributable Fraction (SAF) of Healthcare Expenditures:
Adjusted for Intervention Impacts]]</f>
        <v>116883000</v>
      </c>
      <c r="AG34" s="64">
        <f>Table1536434546[[#This Row],[Total Private (Out-of-Pocket) Healthcare Expenditures:
Base Scenario]]*Table1536434546[[#This Row],[Smoking-Attributable Fraction (SAF) of Healthcare Expenditures: Lower Bound
Adjusted for Intervention Impacts]]</f>
        <v>99567000.000000015</v>
      </c>
      <c r="AH34" s="64">
        <f>Table1536434546[[#This Row],[Total Private (Out-of-Pocket) Healthcare Expenditures:
Base Scenario]]*Table1536434546[[#This Row],[Smoking-Attributable Fraction (SAF) of Healthcare Expenditures: Upper Bound
Adjusted for Intervention Impacts]]</f>
        <v>187590000</v>
      </c>
      <c r="AI34" s="65">
        <f>Table1536434546[[#This Row],[Total Other Health Expenditures:
Base Scenario]]*Table1536434546[[#This Row],[Smoking-Attributable Fraction (SAF) of Healthcare Expenditures:
Adjusted for Intervention Impacts]]</f>
        <v>13122000</v>
      </c>
      <c r="AJ34" s="65">
        <f>Table1536434546[[#This Row],[Total Other Health Expenditures:
Base Scenario]]*Table1536434546[[#This Row],[Smoking-Attributable Fraction (SAF) of Healthcare Expenditures: Lower Bound
Adjusted for Intervention Impacts]]</f>
        <v>11178000.000000002</v>
      </c>
      <c r="AK34" s="65">
        <f>Table1536434546[[#This Row],[Total Other Health Expenditures:
Base Scenario]]*Table1536434546[[#This Row],[Smoking-Attributable Fraction (SAF) of Healthcare Expenditures: Upper Bound
Adjusted for Intervention Impacts]]</f>
        <v>21060000</v>
      </c>
      <c r="AL34" s="76">
        <f>Table1536434546[[#This Row],[Smoking-Attributable Total Healthcare Expenditures:
Base Scenario]]-Table1536434546[[#This Row],[Smoking-Attributable Total Healthcare Expenditures:
Intervention Scenario]]</f>
        <v>0</v>
      </c>
      <c r="AM34" s="76">
        <f>Table1536434546[[#This Row],[Smoking-Attributable Total Healthcare Expenditures: Lower Bound
Base Scenario]]-Table1536434546[[#This Row],[Smoking-Attributable Total Healthcare Expenditures: Lower Bound
Intervention Scenario]]</f>
        <v>0</v>
      </c>
      <c r="AN34" s="76">
        <f>Table1536434546[[#This Row],[Smoking-Attributable Total Healthcare Expenditures: Upper Bound
Base Scenario]]-Table1536434546[[#This Row],[Smoking-Attributable Total Healthcare Expenditures: Upper Bound
Intervention Scenario]]</f>
        <v>0</v>
      </c>
      <c r="AO34" s="76">
        <f>Table1536434546[[#This Row],[Smoking-Attributable Government Healthcare Expenditures
(including national insurance):
Base Scenario]]-Table1536434546[[#This Row],[Smoking-Attributable Government Healthcare Expenditures
(including national insurance):
Intervention Scenario]]</f>
        <v>0</v>
      </c>
      <c r="AP34"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0</v>
      </c>
      <c r="AQ34"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0</v>
      </c>
      <c r="AR34" s="76">
        <f>Table1536434546[[#This Row],[Smoking-Attributable Private Healthcare Expenditures:
Base Scenario]]-Table1536434546[[#This Row],[Smoking-Attributable Private Healthcare Expenditures:
Intervention Scenario]]</f>
        <v>0</v>
      </c>
      <c r="AS34" s="76">
        <f>Table1536434546[[#This Row],[Smoking-Attributable Private Healthcare Expenditures: Lower Bound
Base Scenario]]-Table1536434546[[#This Row],[Smoking-Attributable Private Healthcare Expenditures: Lower Bound
Intervention Scenario]]</f>
        <v>0</v>
      </c>
      <c r="AT34" s="76">
        <f>Table1536434546[[#This Row],[Smoking-Attributable Private Healthcare Expenditures: Upper Bound
Base Scenario]]-Table1536434546[[#This Row],[Smoking-Attributable Private Healthcare Expenditures: Upper Bound
Intervention Scenario]]</f>
        <v>0</v>
      </c>
      <c r="AU34" s="76">
        <f>Table1536434546[[#This Row],[Smoking-Attributable Other Health Expenditures:
Base Scenario]]-Table1536434546[[#This Row],[Smoking-Attributable Other Health Expenditures:
Intervention Scenario]]</f>
        <v>0</v>
      </c>
      <c r="AV34" s="234">
        <f>Table1536434546[[#This Row],[Smoking-Attributable Other Health Expenditures: Lower Bound
Base Scenario]]-Table1536434546[[#This Row],[Smoking-Attributable Other Health Expenditures: Lower Bound
Intervention Scenario]]</f>
        <v>0</v>
      </c>
      <c r="AW34" s="234">
        <f>Table1536434546[[#This Row],[Smoking-Attributable Other Health Expenditures: Upper Bound
Base Scenario]]-Table1536434546[[#This Row],[Smoking-Attributable Other Health Expenditures: Upper Bound
Intervention Scenario]]</f>
        <v>0</v>
      </c>
    </row>
    <row r="35" spans="2:49">
      <c r="B35" s="47">
        <v>1</v>
      </c>
      <c r="C35" s="48">
        <f t="shared" si="3"/>
        <v>2518000000</v>
      </c>
      <c r="D35" s="48">
        <f t="shared" si="4"/>
        <v>913000000</v>
      </c>
      <c r="E35" s="48">
        <f t="shared" si="5"/>
        <v>1443000000</v>
      </c>
      <c r="F35" s="48">
        <f t="shared" si="6"/>
        <v>162000000</v>
      </c>
      <c r="G35" s="232">
        <f t="shared" si="7"/>
        <v>8.1000000000000003E-2</v>
      </c>
      <c r="H35" s="46">
        <f t="shared" ref="H35:H49" si="11">$C$17</f>
        <v>6.9000000000000006E-2</v>
      </c>
      <c r="I35" s="46">
        <f t="shared" si="8"/>
        <v>0.13</v>
      </c>
      <c r="J35" s="43">
        <f>Table1536434546[[#This Row],[Total Healthcare Expenditures
(All Categories):
Base Scenario]]*Table1536434546[[#This Row],[Smoking-Attributable Fraction (SAF) of Healthcare Expenditures
Base Scenario]]</f>
        <v>203958000</v>
      </c>
      <c r="K35" s="43">
        <f>Table1536434546[[#This Row],[Total Healthcare Expenditures
(All Categories):
Base Scenario]]*Table1536434546[[#This Row],[Smoking-Attributable Fraction (SAF) of Healthcare Expenditures: Lower Bound
Base Scenario]]</f>
        <v>173742000</v>
      </c>
      <c r="L35" s="43">
        <f>Table1536434546[[#This Row],[Total Healthcare Expenditures
(All Categories):
Base Scenario]]*Table1536434546[[#This Row],[Smoking-Attributable Fraction (SAF) of Healthcare Expenditures: Upper Bound
Base Scenario]]</f>
        <v>327340000</v>
      </c>
      <c r="M35" s="43">
        <f>Table1536434546[[#This Row],[Total Government Healthcare Expenditures
(including national insurance):
Base Scenario]]*Table1536434546[[#This Row],[Smoking-Attributable Fraction (SAF) of Healthcare Expenditures
Base Scenario]]</f>
        <v>73953000</v>
      </c>
      <c r="N35" s="43">
        <f>Table1536434546[[#This Row],[Total Government Healthcare Expenditures
(including national insurance):
Base Scenario]]*Table1536434546[[#This Row],[Smoking-Attributable Fraction (SAF) of Healthcare Expenditures: Lower Bound
Base Scenario]]</f>
        <v>62997000.000000007</v>
      </c>
      <c r="O35" s="43">
        <f>Table1536434546[[#This Row],[Total Government Healthcare Expenditures
(including national insurance):
Base Scenario]]*Table1536434546[[#This Row],[Smoking-Attributable Fraction (SAF) of Healthcare Expenditures: Upper Bound
Base Scenario]]</f>
        <v>118690000</v>
      </c>
      <c r="P35" s="43">
        <f>Table1536434546[[#This Row],[Total Private (Out-of-Pocket) Healthcare Expenditures:
Base Scenario]]*Table1536434546[[#This Row],[Smoking-Attributable Fraction (SAF) of Healthcare Expenditures
Base Scenario]]</f>
        <v>116883000</v>
      </c>
      <c r="Q35" s="43">
        <f>Table1536434546[[#This Row],[Total Private (Out-of-Pocket) Healthcare Expenditures:
Base Scenario]]*Table1536434546[[#This Row],[Smoking-Attributable Fraction (SAF) of Healthcare Expenditures: Lower Bound
Base Scenario]]</f>
        <v>99567000.000000015</v>
      </c>
      <c r="R35" s="43">
        <f>Table1536434546[[#This Row],[Total Private (Out-of-Pocket) Healthcare Expenditures:
Base Scenario]]*Table1536434546[[#This Row],[Smoking-Attributable Fraction (SAF) of Healthcare Expenditures: Upper Bound
Base Scenario]]</f>
        <v>187590000</v>
      </c>
      <c r="S35" s="43">
        <f>Table1536434546[[#This Row],[Total Other Health Expenditures:
Base Scenario]]*Table1536434546[[#This Row],[Smoking-Attributable Fraction (SAF) of Healthcare Expenditures
Base Scenario]]</f>
        <v>13122000</v>
      </c>
      <c r="T35" s="43">
        <f>Table1536434546[[#This Row],[Total Other Health Expenditures:
Base Scenario]]*Table1536434546[[#This Row],[Smoking-Attributable Fraction (SAF) of Healthcare Expenditures: Lower Bound
Base Scenario]]</f>
        <v>11178000.000000002</v>
      </c>
      <c r="U35" s="43">
        <f>Table1536434546[[#This Row],[Total Other Health Expenditures:
Base Scenario]]*Table1536434546[[#This Row],[Smoking-Attributable Fraction (SAF) of Healthcare Expenditures: Upper Bound
Base Scenario]]</f>
        <v>21060000</v>
      </c>
      <c r="V35" s="61">
        <v>-6.5972442588726504E-2</v>
      </c>
      <c r="W35" s="60">
        <f>W34*(1+Table1536434546[[#This Row],[Relative Change in Smoking Prevalence:
All Interventions Combined]])</f>
        <v>7.5656232150313155E-2</v>
      </c>
      <c r="X35" s="60">
        <f>X34*(1+Table1536434546[[#This Row],[Relative Change in Smoking Prevalence:
All Interventions Combined]])</f>
        <v>6.4447901461377882E-2</v>
      </c>
      <c r="Y35" s="60">
        <f>Y34*(1+Table1536434546[[#This Row],[Relative Change in Smoking Prevalence:
All Interventions Combined]])</f>
        <v>0.12142358246346556</v>
      </c>
      <c r="Z35" s="66">
        <f>Table1536434546[[#This Row],[Total Healthcare Expenditures
(All Categories):
Base Scenario]]*Table1536434546[[#This Row],[Smoking-Attributable Fraction (SAF) of Healthcare Expenditures:
Adjusted for Intervention Impacts]]</f>
        <v>190502392.55448851</v>
      </c>
      <c r="AA35" s="64">
        <f>Table1536434546[[#This Row],[Total Healthcare Expenditures
(All Categories):
Base Scenario]]*Table1536434546[[#This Row],[Smoking-Attributable Fraction (SAF) of Healthcare Expenditures: Lower Bound
Adjusted for Intervention Impacts]]</f>
        <v>162279815.87974951</v>
      </c>
      <c r="AB35" s="66">
        <f>Table1536434546[[#This Row],[Total Healthcare Expenditures
(All Categories):
Base Scenario]]*Table1536434546[[#This Row],[Smoking-Attributable Fraction (SAF) of Healthcare Expenditures: Upper Bound
Adjusted for Intervention Impacts]]</f>
        <v>305744580.64300627</v>
      </c>
      <c r="AC35" s="66">
        <f>Table1536434546[[#This Row],[Total Government Healthcare Expenditures
(including national insurance):
Base Scenario]]*Table1536434546[[#This Row],[Smoking-Attributable Fraction (SAF) of Healthcare Expenditures:
Adjusted for Intervention Impacts]]</f>
        <v>69074139.953235909</v>
      </c>
      <c r="AD35" s="66">
        <f>Table1536434546[[#This Row],[Total Government Healthcare Expenditures
(including national insurance):
Base Scenario]]*Table1536434546[[#This Row],[Smoking-Attributable Fraction (SAF) of Healthcare Expenditures: Lower Bound
Adjusted for Intervention Impacts]]</f>
        <v>58840934.034238003</v>
      </c>
      <c r="AE35" s="66">
        <f>Table1536434546[[#This Row],[Total Government Healthcare Expenditures
(including national insurance):
Base Scenario]]*Table1536434546[[#This Row],[Smoking-Attributable Fraction (SAF) of Healthcare Expenditures: Upper Bound
Adjusted for Intervention Impacts]]</f>
        <v>110859730.78914405</v>
      </c>
      <c r="AF35" s="66">
        <f>Table1536434546[[#This Row],[Total Private (Out-of-Pocket) Healthcare Expenditures:
Base Scenario]]*Table1536434546[[#This Row],[Smoking-Attributable Fraction (SAF) of Healthcare Expenditures:
Adjusted for Intervention Impacts]]</f>
        <v>109171942.99290188</v>
      </c>
      <c r="AG35" s="66">
        <f>Table1536434546[[#This Row],[Total Private (Out-of-Pocket) Healthcare Expenditures:
Base Scenario]]*Table1536434546[[#This Row],[Smoking-Attributable Fraction (SAF) of Healthcare Expenditures: Lower Bound
Adjusted for Intervention Impacts]]</f>
        <v>92998321.808768287</v>
      </c>
      <c r="AH35" s="66">
        <f>Table1536434546[[#This Row],[Total Private (Out-of-Pocket) Healthcare Expenditures:
Base Scenario]]*Table1536434546[[#This Row],[Smoking-Attributable Fraction (SAF) of Healthcare Expenditures: Upper Bound
Adjusted for Intervention Impacts]]</f>
        <v>175214229.49478081</v>
      </c>
      <c r="AI35" s="65">
        <f>Table1536434546[[#This Row],[Total Other Health Expenditures:
Base Scenario]]*Table1536434546[[#This Row],[Smoking-Attributable Fraction (SAF) of Healthcare Expenditures:
Adjusted for Intervention Impacts]]</f>
        <v>12256309.608350731</v>
      </c>
      <c r="AJ35" s="65">
        <f>Table1536434546[[#This Row],[Total Other Health Expenditures:
Base Scenario]]*Table1536434546[[#This Row],[Smoking-Attributable Fraction (SAF) of Healthcare Expenditures: Lower Bound
Adjusted for Intervention Impacts]]</f>
        <v>10440560.036743216</v>
      </c>
      <c r="AK35" s="65">
        <f>Table1536434546[[#This Row],[Total Other Health Expenditures:
Base Scenario]]*Table1536434546[[#This Row],[Smoking-Attributable Fraction (SAF) of Healthcare Expenditures: Upper Bound
Adjusted for Intervention Impacts]]</f>
        <v>19670620.359081421</v>
      </c>
      <c r="AL35" s="76">
        <f>Table1536434546[[#This Row],[Smoking-Attributable Total Healthcare Expenditures:
Base Scenario]]-Table1536434546[[#This Row],[Smoking-Attributable Total Healthcare Expenditures:
Intervention Scenario]]</f>
        <v>13455607.44551149</v>
      </c>
      <c r="AM35" s="76">
        <f>Table1536434546[[#This Row],[Smoking-Attributable Total Healthcare Expenditures: Lower Bound
Base Scenario]]-Table1536434546[[#This Row],[Smoking-Attributable Total Healthcare Expenditures: Lower Bound
Intervention Scenario]]</f>
        <v>11462184.120250493</v>
      </c>
      <c r="AN35" s="76">
        <f>Table1536434546[[#This Row],[Smoking-Attributable Total Healthcare Expenditures: Upper Bound
Base Scenario]]-Table1536434546[[#This Row],[Smoking-Attributable Total Healthcare Expenditures: Upper Bound
Intervention Scenario]]</f>
        <v>21595419.356993735</v>
      </c>
      <c r="AO35" s="76">
        <f>Table1536434546[[#This Row],[Smoking-Attributable Government Healthcare Expenditures
(including national insurance):
Base Scenario]]-Table1536434546[[#This Row],[Smoking-Attributable Government Healthcare Expenditures
(including national insurance):
Intervention Scenario]]</f>
        <v>4878860.0467640907</v>
      </c>
      <c r="AP35"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4156065.9657620043</v>
      </c>
      <c r="AQ35"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7830269.2108559459</v>
      </c>
      <c r="AR35" s="76">
        <f>Table1536434546[[#This Row],[Smoking-Attributable Private Healthcare Expenditures:
Base Scenario]]-Table1536434546[[#This Row],[Smoking-Attributable Private Healthcare Expenditures:
Intervention Scenario]]</f>
        <v>7711057.0070981234</v>
      </c>
      <c r="AS35" s="76">
        <f>Table1536434546[[#This Row],[Smoking-Attributable Private Healthcare Expenditures: Lower Bound
Base Scenario]]-Table1536434546[[#This Row],[Smoking-Attributable Private Healthcare Expenditures: Lower Bound
Intervention Scenario]]</f>
        <v>6568678.1912317276</v>
      </c>
      <c r="AT35" s="76">
        <f>Table1536434546[[#This Row],[Smoking-Attributable Private Healthcare Expenditures: Upper Bound
Base Scenario]]-Table1536434546[[#This Row],[Smoking-Attributable Private Healthcare Expenditures: Upper Bound
Intervention Scenario]]</f>
        <v>12375770.505219191</v>
      </c>
      <c r="AU35" s="76">
        <f>Table1536434546[[#This Row],[Smoking-Attributable Other Health Expenditures:
Base Scenario]]-Table1536434546[[#This Row],[Smoking-Attributable Other Health Expenditures:
Intervention Scenario]]</f>
        <v>865690.39164926857</v>
      </c>
      <c r="AV35" s="235">
        <f>Table1536434546[[#This Row],[Smoking-Attributable Other Health Expenditures: Lower Bound
Base Scenario]]-Table1536434546[[#This Row],[Smoking-Attributable Other Health Expenditures: Lower Bound
Intervention Scenario]]</f>
        <v>737439.96325678565</v>
      </c>
      <c r="AW35" s="235">
        <f>Table1536434546[[#This Row],[Smoking-Attributable Other Health Expenditures: Upper Bound
Base Scenario]]-Table1536434546[[#This Row],[Smoking-Attributable Other Health Expenditures: Upper Bound
Intervention Scenario]]</f>
        <v>1389379.640918579</v>
      </c>
    </row>
    <row r="36" spans="2:49">
      <c r="B36" s="47">
        <v>2</v>
      </c>
      <c r="C36" s="48">
        <f t="shared" si="3"/>
        <v>2518000000</v>
      </c>
      <c r="D36" s="48">
        <f t="shared" si="4"/>
        <v>913000000</v>
      </c>
      <c r="E36" s="48">
        <f t="shared" si="5"/>
        <v>1443000000</v>
      </c>
      <c r="F36" s="48">
        <f t="shared" si="6"/>
        <v>162000000</v>
      </c>
      <c r="G36" s="232">
        <f t="shared" si="7"/>
        <v>8.1000000000000003E-2</v>
      </c>
      <c r="H36" s="46">
        <f t="shared" si="11"/>
        <v>6.9000000000000006E-2</v>
      </c>
      <c r="I36" s="46">
        <f t="shared" si="8"/>
        <v>0.13</v>
      </c>
      <c r="J36" s="43">
        <f>Table1536434546[[#This Row],[Total Healthcare Expenditures
(All Categories):
Base Scenario]]*Table1536434546[[#This Row],[Smoking-Attributable Fraction (SAF) of Healthcare Expenditures
Base Scenario]]</f>
        <v>203958000</v>
      </c>
      <c r="K36" s="43">
        <f>Table1536434546[[#This Row],[Total Healthcare Expenditures
(All Categories):
Base Scenario]]*Table1536434546[[#This Row],[Smoking-Attributable Fraction (SAF) of Healthcare Expenditures: Lower Bound
Base Scenario]]</f>
        <v>173742000</v>
      </c>
      <c r="L36" s="43">
        <f>Table1536434546[[#This Row],[Total Healthcare Expenditures
(All Categories):
Base Scenario]]*Table1536434546[[#This Row],[Smoking-Attributable Fraction (SAF) of Healthcare Expenditures: Upper Bound
Base Scenario]]</f>
        <v>327340000</v>
      </c>
      <c r="M36" s="43">
        <f>Table1536434546[[#This Row],[Total Government Healthcare Expenditures
(including national insurance):
Base Scenario]]*Table1536434546[[#This Row],[Smoking-Attributable Fraction (SAF) of Healthcare Expenditures
Base Scenario]]</f>
        <v>73953000</v>
      </c>
      <c r="N36" s="43">
        <f>Table1536434546[[#This Row],[Total Government Healthcare Expenditures
(including national insurance):
Base Scenario]]*Table1536434546[[#This Row],[Smoking-Attributable Fraction (SAF) of Healthcare Expenditures: Lower Bound
Base Scenario]]</f>
        <v>62997000.000000007</v>
      </c>
      <c r="O36" s="43">
        <f>Table1536434546[[#This Row],[Total Government Healthcare Expenditures
(including national insurance):
Base Scenario]]*Table1536434546[[#This Row],[Smoking-Attributable Fraction (SAF) of Healthcare Expenditures: Upper Bound
Base Scenario]]</f>
        <v>118690000</v>
      </c>
      <c r="P36" s="43">
        <f>Table1536434546[[#This Row],[Total Private (Out-of-Pocket) Healthcare Expenditures:
Base Scenario]]*Table1536434546[[#This Row],[Smoking-Attributable Fraction (SAF) of Healthcare Expenditures
Base Scenario]]</f>
        <v>116883000</v>
      </c>
      <c r="Q36" s="43">
        <f>Table1536434546[[#This Row],[Total Private (Out-of-Pocket) Healthcare Expenditures:
Base Scenario]]*Table1536434546[[#This Row],[Smoking-Attributable Fraction (SAF) of Healthcare Expenditures: Lower Bound
Base Scenario]]</f>
        <v>99567000.000000015</v>
      </c>
      <c r="R36" s="43">
        <f>Table1536434546[[#This Row],[Total Private (Out-of-Pocket) Healthcare Expenditures:
Base Scenario]]*Table1536434546[[#This Row],[Smoking-Attributable Fraction (SAF) of Healthcare Expenditures: Upper Bound
Base Scenario]]</f>
        <v>187590000</v>
      </c>
      <c r="S36" s="43">
        <f>Table1536434546[[#This Row],[Total Other Health Expenditures:
Base Scenario]]*Table1536434546[[#This Row],[Smoking-Attributable Fraction (SAF) of Healthcare Expenditures
Base Scenario]]</f>
        <v>13122000</v>
      </c>
      <c r="T36" s="43">
        <f>Table1536434546[[#This Row],[Total Other Health Expenditures:
Base Scenario]]*Table1536434546[[#This Row],[Smoking-Attributable Fraction (SAF) of Healthcare Expenditures: Lower Bound
Base Scenario]]</f>
        <v>11178000.000000002</v>
      </c>
      <c r="U36" s="43">
        <f>Table1536434546[[#This Row],[Total Other Health Expenditures:
Base Scenario]]*Table1536434546[[#This Row],[Smoking-Attributable Fraction (SAF) of Healthcare Expenditures: Upper Bound
Base Scenario]]</f>
        <v>21060000</v>
      </c>
      <c r="V36" s="61">
        <v>-6.5972442588726504E-2</v>
      </c>
      <c r="W36" s="60">
        <f>W35*(1+Table1536434546[[#This Row],[Relative Change in Smoking Prevalence:
All Interventions Combined]])</f>
        <v>7.0665005718297258E-2</v>
      </c>
      <c r="X36" s="60">
        <f>X35*(1+Table1536434546[[#This Row],[Relative Change in Smoking Prevalence:
All Interventions Combined]])</f>
        <v>6.0196115982253232E-2</v>
      </c>
      <c r="Y36" s="60">
        <f>Y35*(1+Table1536434546[[#This Row],[Relative Change in Smoking Prevalence:
All Interventions Combined]])</f>
        <v>0.11341297214047709</v>
      </c>
      <c r="Z36" s="66">
        <f>Table1536434546[[#This Row],[Total Healthcare Expenditures
(All Categories):
Base Scenario]]*Table1536434546[[#This Row],[Smoking-Attributable Fraction (SAF) of Healthcare Expenditures:
Adjusted for Intervention Impacts]]</f>
        <v>177934484.39867249</v>
      </c>
      <c r="AA36" s="64">
        <f>Table1536434546[[#This Row],[Total Healthcare Expenditures
(All Categories):
Base Scenario]]*Table1536434546[[#This Row],[Smoking-Attributable Fraction (SAF) of Healthcare Expenditures: Lower Bound
Adjusted for Intervention Impacts]]</f>
        <v>151573820.04331362</v>
      </c>
      <c r="AB36" s="66">
        <f>Table1536434546[[#This Row],[Total Healthcare Expenditures
(All Categories):
Base Scenario]]*Table1536434546[[#This Row],[Smoking-Attributable Fraction (SAF) of Healthcare Expenditures: Upper Bound
Adjusted for Intervention Impacts]]</f>
        <v>285573863.84972131</v>
      </c>
      <c r="AC36" s="66">
        <f>Table1536434546[[#This Row],[Total Government Healthcare Expenditures
(including national insurance):
Base Scenario]]*Table1536434546[[#This Row],[Smoking-Attributable Fraction (SAF) of Healthcare Expenditures:
Adjusted for Intervention Impacts]]</f>
        <v>64517150.220805399</v>
      </c>
      <c r="AD36" s="66">
        <f>Table1536434546[[#This Row],[Total Government Healthcare Expenditures
(including national insurance):
Base Scenario]]*Table1536434546[[#This Row],[Smoking-Attributable Fraction (SAF) of Healthcare Expenditures: Lower Bound
Adjusted for Intervention Impacts]]</f>
        <v>54959053.8917972</v>
      </c>
      <c r="AE36" s="66">
        <f>Table1536434546[[#This Row],[Total Government Healthcare Expenditures
(including national insurance):
Base Scenario]]*Table1536434546[[#This Row],[Smoking-Attributable Fraction (SAF) of Healthcare Expenditures: Upper Bound
Adjusted for Intervention Impacts]]</f>
        <v>103546043.56425558</v>
      </c>
      <c r="AF36" s="66">
        <f>Table1536434546[[#This Row],[Total Private (Out-of-Pocket) Healthcare Expenditures:
Base Scenario]]*Table1536434546[[#This Row],[Smoking-Attributable Fraction (SAF) of Healthcare Expenditures:
Adjusted for Intervention Impacts]]</f>
        <v>101969603.25150295</v>
      </c>
      <c r="AG36" s="66">
        <f>Table1536434546[[#This Row],[Total Private (Out-of-Pocket) Healthcare Expenditures:
Base Scenario]]*Table1536434546[[#This Row],[Smoking-Attributable Fraction (SAF) of Healthcare Expenditures: Lower Bound
Adjusted for Intervention Impacts]]</f>
        <v>86862995.362391412</v>
      </c>
      <c r="AH36" s="66">
        <f>Table1536434546[[#This Row],[Total Private (Out-of-Pocket) Healthcare Expenditures:
Base Scenario]]*Table1536434546[[#This Row],[Smoking-Attributable Fraction (SAF) of Healthcare Expenditures: Upper Bound
Adjusted for Intervention Impacts]]</f>
        <v>163654918.79870844</v>
      </c>
      <c r="AI36" s="65">
        <f>Table1536434546[[#This Row],[Total Other Health Expenditures:
Base Scenario]]*Table1536434546[[#This Row],[Smoking-Attributable Fraction (SAF) of Healthcare Expenditures:
Adjusted for Intervention Impacts]]</f>
        <v>11447730.926364155</v>
      </c>
      <c r="AJ36" s="65">
        <f>Table1536434546[[#This Row],[Total Other Health Expenditures:
Base Scenario]]*Table1536434546[[#This Row],[Smoking-Attributable Fraction (SAF) of Healthcare Expenditures: Lower Bound
Adjusted for Intervention Impacts]]</f>
        <v>9751770.7891250234</v>
      </c>
      <c r="AK36" s="65">
        <f>Table1536434546[[#This Row],[Total Other Health Expenditures:
Base Scenario]]*Table1536434546[[#This Row],[Smoking-Attributable Fraction (SAF) of Healthcare Expenditures: Upper Bound
Adjusted for Intervention Impacts]]</f>
        <v>18372901.48675729</v>
      </c>
      <c r="AL36" s="76">
        <f>Table1536434546[[#This Row],[Smoking-Attributable Total Healthcare Expenditures:
Base Scenario]]-Table1536434546[[#This Row],[Smoking-Attributable Total Healthcare Expenditures:
Intervention Scenario]]</f>
        <v>26023515.601327509</v>
      </c>
      <c r="AM36" s="76">
        <f>Table1536434546[[#This Row],[Smoking-Attributable Total Healthcare Expenditures: Lower Bound
Base Scenario]]-Table1536434546[[#This Row],[Smoking-Attributable Total Healthcare Expenditures: Lower Bound
Intervention Scenario]]</f>
        <v>22168179.956686378</v>
      </c>
      <c r="AN36" s="76">
        <f>Table1536434546[[#This Row],[Smoking-Attributable Total Healthcare Expenditures: Upper Bound
Base Scenario]]-Table1536434546[[#This Row],[Smoking-Attributable Total Healthcare Expenditures: Upper Bound
Intervention Scenario]]</f>
        <v>41766136.150278687</v>
      </c>
      <c r="AO36" s="76">
        <f>Table1536434546[[#This Row],[Smoking-Attributable Government Healthcare Expenditures
(including national insurance):
Base Scenario]]-Table1536434546[[#This Row],[Smoking-Attributable Government Healthcare Expenditures
(including national insurance):
Intervention Scenario]]</f>
        <v>9435849.7791946009</v>
      </c>
      <c r="AP36"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8037946.1082028076</v>
      </c>
      <c r="AQ36"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15143956.43574442</v>
      </c>
      <c r="AR36" s="76">
        <f>Table1536434546[[#This Row],[Smoking-Attributable Private Healthcare Expenditures:
Base Scenario]]-Table1536434546[[#This Row],[Smoking-Attributable Private Healthcare Expenditures:
Intervention Scenario]]</f>
        <v>14913396.748497054</v>
      </c>
      <c r="AS36" s="76">
        <f>Table1536434546[[#This Row],[Smoking-Attributable Private Healthcare Expenditures: Lower Bound
Base Scenario]]-Table1536434546[[#This Row],[Smoking-Attributable Private Healthcare Expenditures: Lower Bound
Intervention Scenario]]</f>
        <v>12704004.637608603</v>
      </c>
      <c r="AT36" s="76">
        <f>Table1536434546[[#This Row],[Smoking-Attributable Private Healthcare Expenditures: Upper Bound
Base Scenario]]-Table1536434546[[#This Row],[Smoking-Attributable Private Healthcare Expenditures: Upper Bound
Intervention Scenario]]</f>
        <v>23935081.201291561</v>
      </c>
      <c r="AU36" s="76">
        <f>Table1536434546[[#This Row],[Smoking-Attributable Other Health Expenditures:
Base Scenario]]-Table1536434546[[#This Row],[Smoking-Attributable Other Health Expenditures:
Intervention Scenario]]</f>
        <v>1674269.0736358445</v>
      </c>
      <c r="AV36" s="235">
        <f>Table1536434546[[#This Row],[Smoking-Attributable Other Health Expenditures: Lower Bound
Base Scenario]]-Table1536434546[[#This Row],[Smoking-Attributable Other Health Expenditures: Lower Bound
Intervention Scenario]]</f>
        <v>1426229.2108749785</v>
      </c>
      <c r="AW36" s="235">
        <f>Table1536434546[[#This Row],[Smoking-Attributable Other Health Expenditures: Upper Bound
Base Scenario]]-Table1536434546[[#This Row],[Smoking-Attributable Other Health Expenditures: Upper Bound
Intervention Scenario]]</f>
        <v>2687098.5132427104</v>
      </c>
    </row>
    <row r="37" spans="2:49">
      <c r="B37" s="47">
        <v>3</v>
      </c>
      <c r="C37" s="48">
        <f t="shared" si="3"/>
        <v>2518000000</v>
      </c>
      <c r="D37" s="48">
        <f t="shared" si="4"/>
        <v>913000000</v>
      </c>
      <c r="E37" s="48">
        <f t="shared" si="5"/>
        <v>1443000000</v>
      </c>
      <c r="F37" s="48">
        <f t="shared" si="6"/>
        <v>162000000</v>
      </c>
      <c r="G37" s="232">
        <f t="shared" si="7"/>
        <v>8.1000000000000003E-2</v>
      </c>
      <c r="H37" s="46">
        <f t="shared" si="11"/>
        <v>6.9000000000000006E-2</v>
      </c>
      <c r="I37" s="46">
        <f t="shared" si="8"/>
        <v>0.13</v>
      </c>
      <c r="J37" s="43">
        <f>Table1536434546[[#This Row],[Total Healthcare Expenditures
(All Categories):
Base Scenario]]*Table1536434546[[#This Row],[Smoking-Attributable Fraction (SAF) of Healthcare Expenditures
Base Scenario]]</f>
        <v>203958000</v>
      </c>
      <c r="K37" s="43">
        <f>Table1536434546[[#This Row],[Total Healthcare Expenditures
(All Categories):
Base Scenario]]*Table1536434546[[#This Row],[Smoking-Attributable Fraction (SAF) of Healthcare Expenditures: Lower Bound
Base Scenario]]</f>
        <v>173742000</v>
      </c>
      <c r="L37" s="43">
        <f>Table1536434546[[#This Row],[Total Healthcare Expenditures
(All Categories):
Base Scenario]]*Table1536434546[[#This Row],[Smoking-Attributable Fraction (SAF) of Healthcare Expenditures: Upper Bound
Base Scenario]]</f>
        <v>327340000</v>
      </c>
      <c r="M37" s="43">
        <f>Table1536434546[[#This Row],[Total Government Healthcare Expenditures
(including national insurance):
Base Scenario]]*Table1536434546[[#This Row],[Smoking-Attributable Fraction (SAF) of Healthcare Expenditures
Base Scenario]]</f>
        <v>73953000</v>
      </c>
      <c r="N37" s="43">
        <f>Table1536434546[[#This Row],[Total Government Healthcare Expenditures
(including national insurance):
Base Scenario]]*Table1536434546[[#This Row],[Smoking-Attributable Fraction (SAF) of Healthcare Expenditures: Lower Bound
Base Scenario]]</f>
        <v>62997000.000000007</v>
      </c>
      <c r="O37" s="43">
        <f>Table1536434546[[#This Row],[Total Government Healthcare Expenditures
(including national insurance):
Base Scenario]]*Table1536434546[[#This Row],[Smoking-Attributable Fraction (SAF) of Healthcare Expenditures: Upper Bound
Base Scenario]]</f>
        <v>118690000</v>
      </c>
      <c r="P37" s="43">
        <f>Table1536434546[[#This Row],[Total Private (Out-of-Pocket) Healthcare Expenditures:
Base Scenario]]*Table1536434546[[#This Row],[Smoking-Attributable Fraction (SAF) of Healthcare Expenditures
Base Scenario]]</f>
        <v>116883000</v>
      </c>
      <c r="Q37" s="43">
        <f>Table1536434546[[#This Row],[Total Private (Out-of-Pocket) Healthcare Expenditures:
Base Scenario]]*Table1536434546[[#This Row],[Smoking-Attributable Fraction (SAF) of Healthcare Expenditures: Lower Bound
Base Scenario]]</f>
        <v>99567000.000000015</v>
      </c>
      <c r="R37" s="43">
        <f>Table1536434546[[#This Row],[Total Private (Out-of-Pocket) Healthcare Expenditures:
Base Scenario]]*Table1536434546[[#This Row],[Smoking-Attributable Fraction (SAF) of Healthcare Expenditures: Upper Bound
Base Scenario]]</f>
        <v>187590000</v>
      </c>
      <c r="S37" s="43">
        <f>Table1536434546[[#This Row],[Total Other Health Expenditures:
Base Scenario]]*Table1536434546[[#This Row],[Smoking-Attributable Fraction (SAF) of Healthcare Expenditures
Base Scenario]]</f>
        <v>13122000</v>
      </c>
      <c r="T37" s="43">
        <f>Table1536434546[[#This Row],[Total Other Health Expenditures:
Base Scenario]]*Table1536434546[[#This Row],[Smoking-Attributable Fraction (SAF) of Healthcare Expenditures: Lower Bound
Base Scenario]]</f>
        <v>11178000.000000002</v>
      </c>
      <c r="U37" s="43">
        <f>Table1536434546[[#This Row],[Total Other Health Expenditures:
Base Scenario]]*Table1536434546[[#This Row],[Smoking-Attributable Fraction (SAF) of Healthcare Expenditures: Upper Bound
Base Scenario]]</f>
        <v>21060000</v>
      </c>
      <c r="V37" s="61">
        <v>-6.5972442588726504E-2</v>
      </c>
      <c r="W37" s="60">
        <f>W36*(1+Table1536434546[[#This Row],[Relative Change in Smoking Prevalence:
All Interventions Combined]])</f>
        <v>6.6003062685514868E-2</v>
      </c>
      <c r="X37" s="60">
        <f>X36*(1+Table1536434546[[#This Row],[Relative Change in Smoking Prevalence:
All Interventions Combined]])</f>
        <v>5.6224831176549708E-2</v>
      </c>
      <c r="Y37" s="60">
        <f>Y36*(1+Table1536434546[[#This Row],[Relative Change in Smoking Prevalence:
All Interventions Combined]])</f>
        <v>0.10593084134712263</v>
      </c>
      <c r="Z37" s="66">
        <f>Table1536434546[[#This Row],[Total Healthcare Expenditures
(All Categories):
Base Scenario]]*Table1536434546[[#This Row],[Smoking-Attributable Fraction (SAF) of Healthcare Expenditures:
Adjusted for Intervention Impacts]]</f>
        <v>166195711.84212643</v>
      </c>
      <c r="AA37" s="64">
        <f>Table1536434546[[#This Row],[Total Healthcare Expenditures
(All Categories):
Base Scenario]]*Table1536434546[[#This Row],[Smoking-Attributable Fraction (SAF) of Healthcare Expenditures: Lower Bound
Adjusted for Intervention Impacts]]</f>
        <v>141574124.90255216</v>
      </c>
      <c r="AB37" s="66">
        <f>Table1536434546[[#This Row],[Total Healthcare Expenditures
(All Categories):
Base Scenario]]*Table1536434546[[#This Row],[Smoking-Attributable Fraction (SAF) of Healthcare Expenditures: Upper Bound
Adjusted for Intervention Impacts]]</f>
        <v>266733858.5120548</v>
      </c>
      <c r="AC37" s="66">
        <f>Table1536434546[[#This Row],[Total Government Healthcare Expenditures
(including national insurance):
Base Scenario]]*Table1536434546[[#This Row],[Smoking-Attributable Fraction (SAF) of Healthcare Expenditures:
Adjusted for Intervention Impacts]]</f>
        <v>60260796.231875077</v>
      </c>
      <c r="AD37" s="66">
        <f>Table1536434546[[#This Row],[Total Government Healthcare Expenditures
(including national insurance):
Base Scenario]]*Table1536434546[[#This Row],[Smoking-Attributable Fraction (SAF) of Healthcare Expenditures: Lower Bound
Adjusted for Intervention Impacts]]</f>
        <v>51333270.864189886</v>
      </c>
      <c r="AE37" s="66">
        <f>Table1536434546[[#This Row],[Total Government Healthcare Expenditures
(including national insurance):
Base Scenario]]*Table1536434546[[#This Row],[Smoking-Attributable Fraction (SAF) of Healthcare Expenditures: Upper Bound
Adjusted for Intervention Impacts]]</f>
        <v>96714858.149922967</v>
      </c>
      <c r="AF37" s="66">
        <f>Table1536434546[[#This Row],[Total Private (Out-of-Pocket) Healthcare Expenditures:
Base Scenario]]*Table1536434546[[#This Row],[Smoking-Attributable Fraction (SAF) of Healthcare Expenditures:
Adjusted for Intervention Impacts]]</f>
        <v>95242419.45519796</v>
      </c>
      <c r="AG37" s="66">
        <f>Table1536434546[[#This Row],[Total Private (Out-of-Pocket) Healthcare Expenditures:
Base Scenario]]*Table1536434546[[#This Row],[Smoking-Attributable Fraction (SAF) of Healthcare Expenditures: Lower Bound
Adjusted for Intervention Impacts]]</f>
        <v>81132431.387761235</v>
      </c>
      <c r="AH37" s="66">
        <f>Table1536434546[[#This Row],[Total Private (Out-of-Pocket) Healthcare Expenditures:
Base Scenario]]*Table1536434546[[#This Row],[Smoking-Attributable Fraction (SAF) of Healthcare Expenditures: Upper Bound
Adjusted for Intervention Impacts]]</f>
        <v>152858204.06389797</v>
      </c>
      <c r="AI37" s="65">
        <f>Table1536434546[[#This Row],[Total Other Health Expenditures:
Base Scenario]]*Table1536434546[[#This Row],[Smoking-Attributable Fraction (SAF) of Healthcare Expenditures:
Adjusted for Intervention Impacts]]</f>
        <v>10692496.155053409</v>
      </c>
      <c r="AJ37" s="65">
        <f>Table1536434546[[#This Row],[Total Other Health Expenditures:
Base Scenario]]*Table1536434546[[#This Row],[Smoking-Attributable Fraction (SAF) of Healthcare Expenditures: Lower Bound
Adjusted for Intervention Impacts]]</f>
        <v>9108422.6506010536</v>
      </c>
      <c r="AK37" s="65">
        <f>Table1536434546[[#This Row],[Total Other Health Expenditures:
Base Scenario]]*Table1536434546[[#This Row],[Smoking-Attributable Fraction (SAF) of Healthcare Expenditures: Upper Bound
Adjusted for Intervention Impacts]]</f>
        <v>17160796.298233867</v>
      </c>
      <c r="AL37" s="76">
        <f>Table1536434546[[#This Row],[Smoking-Attributable Total Healthcare Expenditures:
Base Scenario]]-Table1536434546[[#This Row],[Smoking-Attributable Total Healthcare Expenditures:
Intervention Scenario]]</f>
        <v>37762288.157873571</v>
      </c>
      <c r="AM37" s="76">
        <f>Table1536434546[[#This Row],[Smoking-Attributable Total Healthcare Expenditures: Lower Bound
Base Scenario]]-Table1536434546[[#This Row],[Smoking-Attributable Total Healthcare Expenditures: Lower Bound
Intervention Scenario]]</f>
        <v>32167875.097447842</v>
      </c>
      <c r="AN37" s="76">
        <f>Table1536434546[[#This Row],[Smoking-Attributable Total Healthcare Expenditures: Upper Bound
Base Scenario]]-Table1536434546[[#This Row],[Smoking-Attributable Total Healthcare Expenditures: Upper Bound
Intervention Scenario]]</f>
        <v>60606141.487945199</v>
      </c>
      <c r="AO37" s="76">
        <f>Table1536434546[[#This Row],[Smoking-Attributable Government Healthcare Expenditures
(including national insurance):
Base Scenario]]-Table1536434546[[#This Row],[Smoking-Attributable Government Healthcare Expenditures
(including national insurance):
Intervention Scenario]]</f>
        <v>13692203.768124923</v>
      </c>
      <c r="AP37"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11663729.135810122</v>
      </c>
      <c r="AQ37"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21975141.850077033</v>
      </c>
      <c r="AR37" s="76">
        <f>Table1536434546[[#This Row],[Smoking-Attributable Private Healthcare Expenditures:
Base Scenario]]-Table1536434546[[#This Row],[Smoking-Attributable Private Healthcare Expenditures:
Intervention Scenario]]</f>
        <v>21640580.54480204</v>
      </c>
      <c r="AS37" s="76">
        <f>Table1536434546[[#This Row],[Smoking-Attributable Private Healthcare Expenditures: Lower Bound
Base Scenario]]-Table1536434546[[#This Row],[Smoking-Attributable Private Healthcare Expenditures: Lower Bound
Intervention Scenario]]</f>
        <v>18434568.61223878</v>
      </c>
      <c r="AT37" s="76">
        <f>Table1536434546[[#This Row],[Smoking-Attributable Private Healthcare Expenditures: Upper Bound
Base Scenario]]-Table1536434546[[#This Row],[Smoking-Attributable Private Healthcare Expenditures: Upper Bound
Intervention Scenario]]</f>
        <v>34731795.936102033</v>
      </c>
      <c r="AU37" s="76">
        <f>Table1536434546[[#This Row],[Smoking-Attributable Other Health Expenditures:
Base Scenario]]-Table1536434546[[#This Row],[Smoking-Attributable Other Health Expenditures:
Intervention Scenario]]</f>
        <v>2429503.8449465912</v>
      </c>
      <c r="AV37" s="235">
        <f>Table1536434546[[#This Row],[Smoking-Attributable Other Health Expenditures: Lower Bound
Base Scenario]]-Table1536434546[[#This Row],[Smoking-Attributable Other Health Expenditures: Lower Bound
Intervention Scenario]]</f>
        <v>2069577.3493989483</v>
      </c>
      <c r="AW37" s="235">
        <f>Table1536434546[[#This Row],[Smoking-Attributable Other Health Expenditures: Upper Bound
Base Scenario]]-Table1536434546[[#This Row],[Smoking-Attributable Other Health Expenditures: Upper Bound
Intervention Scenario]]</f>
        <v>3899203.7017661333</v>
      </c>
    </row>
    <row r="38" spans="2:49">
      <c r="B38" s="47">
        <v>4</v>
      </c>
      <c r="C38" s="48">
        <f t="shared" si="3"/>
        <v>2518000000</v>
      </c>
      <c r="D38" s="48">
        <f t="shared" si="4"/>
        <v>913000000</v>
      </c>
      <c r="E38" s="48">
        <f t="shared" si="5"/>
        <v>1443000000</v>
      </c>
      <c r="F38" s="48">
        <f t="shared" si="6"/>
        <v>162000000</v>
      </c>
      <c r="G38" s="232">
        <f t="shared" si="7"/>
        <v>8.1000000000000003E-2</v>
      </c>
      <c r="H38" s="46">
        <f t="shared" si="11"/>
        <v>6.9000000000000006E-2</v>
      </c>
      <c r="I38" s="46">
        <f t="shared" si="8"/>
        <v>0.13</v>
      </c>
      <c r="J38" s="43">
        <f>Table1536434546[[#This Row],[Total Healthcare Expenditures
(All Categories):
Base Scenario]]*Table1536434546[[#This Row],[Smoking-Attributable Fraction (SAF) of Healthcare Expenditures
Base Scenario]]</f>
        <v>203958000</v>
      </c>
      <c r="K38" s="43">
        <f>Table1536434546[[#This Row],[Total Healthcare Expenditures
(All Categories):
Base Scenario]]*Table1536434546[[#This Row],[Smoking-Attributable Fraction (SAF) of Healthcare Expenditures: Lower Bound
Base Scenario]]</f>
        <v>173742000</v>
      </c>
      <c r="L38" s="43">
        <f>Table1536434546[[#This Row],[Total Healthcare Expenditures
(All Categories):
Base Scenario]]*Table1536434546[[#This Row],[Smoking-Attributable Fraction (SAF) of Healthcare Expenditures: Upper Bound
Base Scenario]]</f>
        <v>327340000</v>
      </c>
      <c r="M38" s="43">
        <f>Table1536434546[[#This Row],[Total Government Healthcare Expenditures
(including national insurance):
Base Scenario]]*Table1536434546[[#This Row],[Smoking-Attributable Fraction (SAF) of Healthcare Expenditures
Base Scenario]]</f>
        <v>73953000</v>
      </c>
      <c r="N38" s="43">
        <f>Table1536434546[[#This Row],[Total Government Healthcare Expenditures
(including national insurance):
Base Scenario]]*Table1536434546[[#This Row],[Smoking-Attributable Fraction (SAF) of Healthcare Expenditures: Lower Bound
Base Scenario]]</f>
        <v>62997000.000000007</v>
      </c>
      <c r="O38" s="43">
        <f>Table1536434546[[#This Row],[Total Government Healthcare Expenditures
(including national insurance):
Base Scenario]]*Table1536434546[[#This Row],[Smoking-Attributable Fraction (SAF) of Healthcare Expenditures: Upper Bound
Base Scenario]]</f>
        <v>118690000</v>
      </c>
      <c r="P38" s="43">
        <f>Table1536434546[[#This Row],[Total Private (Out-of-Pocket) Healthcare Expenditures:
Base Scenario]]*Table1536434546[[#This Row],[Smoking-Attributable Fraction (SAF) of Healthcare Expenditures
Base Scenario]]</f>
        <v>116883000</v>
      </c>
      <c r="Q38" s="43">
        <f>Table1536434546[[#This Row],[Total Private (Out-of-Pocket) Healthcare Expenditures:
Base Scenario]]*Table1536434546[[#This Row],[Smoking-Attributable Fraction (SAF) of Healthcare Expenditures: Lower Bound
Base Scenario]]</f>
        <v>99567000.000000015</v>
      </c>
      <c r="R38" s="43">
        <f>Table1536434546[[#This Row],[Total Private (Out-of-Pocket) Healthcare Expenditures:
Base Scenario]]*Table1536434546[[#This Row],[Smoking-Attributable Fraction (SAF) of Healthcare Expenditures: Upper Bound
Base Scenario]]</f>
        <v>187590000</v>
      </c>
      <c r="S38" s="43">
        <f>Table1536434546[[#This Row],[Total Other Health Expenditures:
Base Scenario]]*Table1536434546[[#This Row],[Smoking-Attributable Fraction (SAF) of Healthcare Expenditures
Base Scenario]]</f>
        <v>13122000</v>
      </c>
      <c r="T38" s="43">
        <f>Table1536434546[[#This Row],[Total Other Health Expenditures:
Base Scenario]]*Table1536434546[[#This Row],[Smoking-Attributable Fraction (SAF) of Healthcare Expenditures: Lower Bound
Base Scenario]]</f>
        <v>11178000.000000002</v>
      </c>
      <c r="U38" s="43">
        <f>Table1536434546[[#This Row],[Total Other Health Expenditures:
Base Scenario]]*Table1536434546[[#This Row],[Smoking-Attributable Fraction (SAF) of Healthcare Expenditures: Upper Bound
Base Scenario]]</f>
        <v>21060000</v>
      </c>
      <c r="V38" s="61">
        <v>-6.5972442588726504E-2</v>
      </c>
      <c r="W38" s="60">
        <f>W37*(1+Table1536434546[[#This Row],[Relative Change in Smoking Prevalence:
All Interventions Combined]])</f>
        <v>6.1648679421814623E-2</v>
      </c>
      <c r="X38" s="60">
        <f>X37*(1+Table1536434546[[#This Row],[Relative Change in Smoking Prevalence:
All Interventions Combined]])</f>
        <v>5.2515541729693943E-2</v>
      </c>
      <c r="Y38" s="60">
        <f>Y37*(1+Table1536434546[[#This Row],[Relative Change in Smoking Prevalence:
All Interventions Combined]])</f>
        <v>9.894232499797409E-2</v>
      </c>
      <c r="Z38" s="66">
        <f>Table1536434546[[#This Row],[Total Healthcare Expenditures
(All Categories):
Base Scenario]]*Table1536434546[[#This Row],[Smoking-Attributable Fraction (SAF) of Healthcare Expenditures:
Adjusted for Intervention Impacts]]</f>
        <v>155231374.78412923</v>
      </c>
      <c r="AA38" s="64">
        <f>Table1536434546[[#This Row],[Total Healthcare Expenditures
(All Categories):
Base Scenario]]*Table1536434546[[#This Row],[Smoking-Attributable Fraction (SAF) of Healthcare Expenditures: Lower Bound
Adjusted for Intervention Impacts]]</f>
        <v>132234134.07536934</v>
      </c>
      <c r="AB38" s="66">
        <f>Table1536434546[[#This Row],[Total Healthcare Expenditures
(All Categories):
Base Scenario]]*Table1536434546[[#This Row],[Smoking-Attributable Fraction (SAF) of Healthcare Expenditures: Upper Bound
Adjusted for Intervention Impacts]]</f>
        <v>249136774.34489876</v>
      </c>
      <c r="AC38" s="66">
        <f>Table1536434546[[#This Row],[Total Government Healthcare Expenditures
(including national insurance):
Base Scenario]]*Table1536434546[[#This Row],[Smoking-Attributable Fraction (SAF) of Healthcare Expenditures:
Adjusted for Intervention Impacts]]</f>
        <v>56285244.31211675</v>
      </c>
      <c r="AD38" s="66">
        <f>Table1536434546[[#This Row],[Total Government Healthcare Expenditures
(including national insurance):
Base Scenario]]*Table1536434546[[#This Row],[Smoking-Attributable Fraction (SAF) of Healthcare Expenditures: Lower Bound
Adjusted for Intervention Impacts]]</f>
        <v>47946689.599210568</v>
      </c>
      <c r="AE38" s="66">
        <f>Table1536434546[[#This Row],[Total Government Healthcare Expenditures
(including national insurance):
Base Scenario]]*Table1536434546[[#This Row],[Smoking-Attributable Fraction (SAF) of Healthcare Expenditures: Upper Bound
Adjusted for Intervention Impacts]]</f>
        <v>90334342.723150343</v>
      </c>
      <c r="AF38" s="66">
        <f>Table1536434546[[#This Row],[Total Private (Out-of-Pocket) Healthcare Expenditures:
Base Scenario]]*Table1536434546[[#This Row],[Smoking-Attributable Fraction (SAF) of Healthcare Expenditures:
Adjusted for Intervention Impacts]]</f>
        <v>88959044.405678496</v>
      </c>
      <c r="AG38" s="66">
        <f>Table1536434546[[#This Row],[Total Private (Out-of-Pocket) Healthcare Expenditures:
Base Scenario]]*Table1536434546[[#This Row],[Smoking-Attributable Fraction (SAF) of Healthcare Expenditures: Lower Bound
Adjusted for Intervention Impacts]]</f>
        <v>75779926.715948358</v>
      </c>
      <c r="AH38" s="66">
        <f>Table1536434546[[#This Row],[Total Private (Out-of-Pocket) Healthcare Expenditures:
Base Scenario]]*Table1536434546[[#This Row],[Smoking-Attributable Fraction (SAF) of Healthcare Expenditures: Upper Bound
Adjusted for Intervention Impacts]]</f>
        <v>142773774.97207662</v>
      </c>
      <c r="AI38" s="65">
        <f>Table1536434546[[#This Row],[Total Other Health Expenditures:
Base Scenario]]*Table1536434546[[#This Row],[Smoking-Attributable Fraction (SAF) of Healthcare Expenditures:
Adjusted for Intervention Impacts]]</f>
        <v>9987086.0663339682</v>
      </c>
      <c r="AJ38" s="65">
        <f>Table1536434546[[#This Row],[Total Other Health Expenditures:
Base Scenario]]*Table1536434546[[#This Row],[Smoking-Attributable Fraction (SAF) of Healthcare Expenditures: Lower Bound
Adjusted for Intervention Impacts]]</f>
        <v>8507517.7602104191</v>
      </c>
      <c r="AK38" s="65">
        <f>Table1536434546[[#This Row],[Total Other Health Expenditures:
Base Scenario]]*Table1536434546[[#This Row],[Smoking-Attributable Fraction (SAF) of Healthcare Expenditures: Upper Bound
Adjusted for Intervention Impacts]]</f>
        <v>16028656.649671802</v>
      </c>
      <c r="AL38" s="76">
        <f>Table1536434546[[#This Row],[Smoking-Attributable Total Healthcare Expenditures:
Base Scenario]]-Table1536434546[[#This Row],[Smoking-Attributable Total Healthcare Expenditures:
Intervention Scenario]]</f>
        <v>48726625.215870768</v>
      </c>
      <c r="AM38" s="76">
        <f>Table1536434546[[#This Row],[Smoking-Attributable Total Healthcare Expenditures: Lower Bound
Base Scenario]]-Table1536434546[[#This Row],[Smoking-Attributable Total Healthcare Expenditures: Lower Bound
Intervention Scenario]]</f>
        <v>41507865.924630657</v>
      </c>
      <c r="AN38" s="76">
        <f>Table1536434546[[#This Row],[Smoking-Attributable Total Healthcare Expenditures: Upper Bound
Base Scenario]]-Table1536434546[[#This Row],[Smoking-Attributable Total Healthcare Expenditures: Upper Bound
Intervention Scenario]]</f>
        <v>78203225.65510124</v>
      </c>
      <c r="AO38" s="76">
        <f>Table1536434546[[#This Row],[Smoking-Attributable Government Healthcare Expenditures
(including national insurance):
Base Scenario]]-Table1536434546[[#This Row],[Smoking-Attributable Government Healthcare Expenditures
(including national insurance):
Intervention Scenario]]</f>
        <v>17667755.68788325</v>
      </c>
      <c r="AP38"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15050310.40078944</v>
      </c>
      <c r="AQ38"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28355657.276849657</v>
      </c>
      <c r="AR38" s="76">
        <f>Table1536434546[[#This Row],[Smoking-Attributable Private Healthcare Expenditures:
Base Scenario]]-Table1536434546[[#This Row],[Smoking-Attributable Private Healthcare Expenditures:
Intervention Scenario]]</f>
        <v>27923955.594321504</v>
      </c>
      <c r="AS38" s="76">
        <f>Table1536434546[[#This Row],[Smoking-Attributable Private Healthcare Expenditures: Lower Bound
Base Scenario]]-Table1536434546[[#This Row],[Smoking-Attributable Private Healthcare Expenditures: Lower Bound
Intervention Scenario]]</f>
        <v>23787073.284051657</v>
      </c>
      <c r="AT38" s="76">
        <f>Table1536434546[[#This Row],[Smoking-Attributable Private Healthcare Expenditures: Upper Bound
Base Scenario]]-Table1536434546[[#This Row],[Smoking-Attributable Private Healthcare Expenditures: Upper Bound
Intervention Scenario]]</f>
        <v>44816225.027923375</v>
      </c>
      <c r="AU38" s="76">
        <f>Table1536434546[[#This Row],[Smoking-Attributable Other Health Expenditures:
Base Scenario]]-Table1536434546[[#This Row],[Smoking-Attributable Other Health Expenditures:
Intervention Scenario]]</f>
        <v>3134913.9336660318</v>
      </c>
      <c r="AV38" s="235">
        <f>Table1536434546[[#This Row],[Smoking-Attributable Other Health Expenditures: Lower Bound
Base Scenario]]-Table1536434546[[#This Row],[Smoking-Attributable Other Health Expenditures: Lower Bound
Intervention Scenario]]</f>
        <v>2670482.2397895828</v>
      </c>
      <c r="AW38" s="235">
        <f>Table1536434546[[#This Row],[Smoking-Attributable Other Health Expenditures: Upper Bound
Base Scenario]]-Table1536434546[[#This Row],[Smoking-Attributable Other Health Expenditures: Upper Bound
Intervention Scenario]]</f>
        <v>5031343.3503281977</v>
      </c>
    </row>
    <row r="39" spans="2:49">
      <c r="B39" s="47">
        <v>5</v>
      </c>
      <c r="C39" s="48">
        <f t="shared" si="3"/>
        <v>2518000000</v>
      </c>
      <c r="D39" s="48">
        <f t="shared" si="4"/>
        <v>913000000</v>
      </c>
      <c r="E39" s="48">
        <f t="shared" si="5"/>
        <v>1443000000</v>
      </c>
      <c r="F39" s="48">
        <f t="shared" si="6"/>
        <v>162000000</v>
      </c>
      <c r="G39" s="232">
        <f t="shared" si="7"/>
        <v>8.1000000000000003E-2</v>
      </c>
      <c r="H39" s="46">
        <f t="shared" si="11"/>
        <v>6.9000000000000006E-2</v>
      </c>
      <c r="I39" s="46">
        <f t="shared" si="8"/>
        <v>0.13</v>
      </c>
      <c r="J39" s="43">
        <f>Table1536434546[[#This Row],[Total Healthcare Expenditures
(All Categories):
Base Scenario]]*Table1536434546[[#This Row],[Smoking-Attributable Fraction (SAF) of Healthcare Expenditures
Base Scenario]]</f>
        <v>203958000</v>
      </c>
      <c r="K39" s="43">
        <f>Table1536434546[[#This Row],[Total Healthcare Expenditures
(All Categories):
Base Scenario]]*Table1536434546[[#This Row],[Smoking-Attributable Fraction (SAF) of Healthcare Expenditures: Lower Bound
Base Scenario]]</f>
        <v>173742000</v>
      </c>
      <c r="L39" s="43">
        <f>Table1536434546[[#This Row],[Total Healthcare Expenditures
(All Categories):
Base Scenario]]*Table1536434546[[#This Row],[Smoking-Attributable Fraction (SAF) of Healthcare Expenditures: Upper Bound
Base Scenario]]</f>
        <v>327340000</v>
      </c>
      <c r="M39" s="43">
        <f>Table1536434546[[#This Row],[Total Government Healthcare Expenditures
(including national insurance):
Base Scenario]]*Table1536434546[[#This Row],[Smoking-Attributable Fraction (SAF) of Healthcare Expenditures
Base Scenario]]</f>
        <v>73953000</v>
      </c>
      <c r="N39" s="43">
        <f>Table1536434546[[#This Row],[Total Government Healthcare Expenditures
(including national insurance):
Base Scenario]]*Table1536434546[[#This Row],[Smoking-Attributable Fraction (SAF) of Healthcare Expenditures: Lower Bound
Base Scenario]]</f>
        <v>62997000.000000007</v>
      </c>
      <c r="O39" s="43">
        <f>Table1536434546[[#This Row],[Total Government Healthcare Expenditures
(including national insurance):
Base Scenario]]*Table1536434546[[#This Row],[Smoking-Attributable Fraction (SAF) of Healthcare Expenditures: Upper Bound
Base Scenario]]</f>
        <v>118690000</v>
      </c>
      <c r="P39" s="43">
        <f>Table1536434546[[#This Row],[Total Private (Out-of-Pocket) Healthcare Expenditures:
Base Scenario]]*Table1536434546[[#This Row],[Smoking-Attributable Fraction (SAF) of Healthcare Expenditures
Base Scenario]]</f>
        <v>116883000</v>
      </c>
      <c r="Q39" s="43">
        <f>Table1536434546[[#This Row],[Total Private (Out-of-Pocket) Healthcare Expenditures:
Base Scenario]]*Table1536434546[[#This Row],[Smoking-Attributable Fraction (SAF) of Healthcare Expenditures: Lower Bound
Base Scenario]]</f>
        <v>99567000.000000015</v>
      </c>
      <c r="R39" s="43">
        <f>Table1536434546[[#This Row],[Total Private (Out-of-Pocket) Healthcare Expenditures:
Base Scenario]]*Table1536434546[[#This Row],[Smoking-Attributable Fraction (SAF) of Healthcare Expenditures: Upper Bound
Base Scenario]]</f>
        <v>187590000</v>
      </c>
      <c r="S39" s="43">
        <f>Table1536434546[[#This Row],[Total Other Health Expenditures:
Base Scenario]]*Table1536434546[[#This Row],[Smoking-Attributable Fraction (SAF) of Healthcare Expenditures
Base Scenario]]</f>
        <v>13122000</v>
      </c>
      <c r="T39" s="43">
        <f>Table1536434546[[#This Row],[Total Other Health Expenditures:
Base Scenario]]*Table1536434546[[#This Row],[Smoking-Attributable Fraction (SAF) of Healthcare Expenditures: Lower Bound
Base Scenario]]</f>
        <v>11178000.000000002</v>
      </c>
      <c r="U39" s="43">
        <f>Table1536434546[[#This Row],[Total Other Health Expenditures:
Base Scenario]]*Table1536434546[[#This Row],[Smoking-Attributable Fraction (SAF) of Healthcare Expenditures: Upper Bound
Base Scenario]]</f>
        <v>21060000</v>
      </c>
      <c r="V39" s="61">
        <v>-6.5972442588726504E-2</v>
      </c>
      <c r="W39" s="60">
        <f>W38*(1+Table1536434546[[#This Row],[Relative Change in Smoking Prevalence:
All Interventions Combined]])</f>
        <v>5.7581565457988156E-2</v>
      </c>
      <c r="X39" s="60">
        <f>X38*(1+Table1536434546[[#This Row],[Relative Change in Smoking Prevalence:
All Interventions Combined]])</f>
        <v>4.9050963167915837E-2</v>
      </c>
      <c r="Y39" s="60">
        <f>Y38*(1+Table1536434546[[#This Row],[Relative Change in Smoking Prevalence:
All Interventions Combined]])</f>
        <v>9.2414858142450124E-2</v>
      </c>
      <c r="Z39" s="66">
        <f>Table1536434546[[#This Row],[Total Healthcare Expenditures
(All Categories):
Base Scenario]]*Table1536434546[[#This Row],[Smoking-Attributable Fraction (SAF) of Healthcare Expenditures:
Adjusted for Intervention Impacts]]</f>
        <v>144990381.82321417</v>
      </c>
      <c r="AA39" s="64">
        <f>Table1536434546[[#This Row],[Total Healthcare Expenditures
(All Categories):
Base Scenario]]*Table1536434546[[#This Row],[Smoking-Attributable Fraction (SAF) of Healthcare Expenditures: Lower Bound
Adjusted for Intervention Impacts]]</f>
        <v>123510325.25681208</v>
      </c>
      <c r="AB39" s="66">
        <f>Table1536434546[[#This Row],[Total Healthcare Expenditures
(All Categories):
Base Scenario]]*Table1536434546[[#This Row],[Smoking-Attributable Fraction (SAF) of Healthcare Expenditures: Upper Bound
Adjusted for Intervention Impacts]]</f>
        <v>232700612.8026894</v>
      </c>
      <c r="AC39" s="66">
        <f>Table1536434546[[#This Row],[Total Government Healthcare Expenditures
(including national insurance):
Base Scenario]]*Table1536434546[[#This Row],[Smoking-Attributable Fraction (SAF) of Healthcare Expenditures:
Adjusted for Intervention Impacts]]</f>
        <v>52571969.263143189</v>
      </c>
      <c r="AD39" s="66">
        <f>Table1536434546[[#This Row],[Total Government Healthcare Expenditures
(including national insurance):
Base Scenario]]*Table1536434546[[#This Row],[Smoking-Attributable Fraction (SAF) of Healthcare Expenditures: Lower Bound
Adjusted for Intervention Impacts]]</f>
        <v>44783529.372307159</v>
      </c>
      <c r="AE39" s="66">
        <f>Table1536434546[[#This Row],[Total Government Healthcare Expenditures
(including national insurance):
Base Scenario]]*Table1536434546[[#This Row],[Smoking-Attributable Fraction (SAF) of Healthcare Expenditures: Upper Bound
Adjusted for Intervention Impacts]]</f>
        <v>84374765.484056965</v>
      </c>
      <c r="AF39" s="66">
        <f>Table1536434546[[#This Row],[Total Private (Out-of-Pocket) Healthcare Expenditures:
Base Scenario]]*Table1536434546[[#This Row],[Smoking-Attributable Fraction (SAF) of Healthcare Expenditures:
Adjusted for Intervention Impacts]]</f>
        <v>83090198.955876902</v>
      </c>
      <c r="AG39" s="66">
        <f>Table1536434546[[#This Row],[Total Private (Out-of-Pocket) Healthcare Expenditures:
Base Scenario]]*Table1536434546[[#This Row],[Smoking-Attributable Fraction (SAF) of Healthcare Expenditures: Lower Bound
Adjusted for Intervention Impacts]]</f>
        <v>70780539.851302549</v>
      </c>
      <c r="AH39" s="66">
        <f>Table1536434546[[#This Row],[Total Private (Out-of-Pocket) Healthcare Expenditures:
Base Scenario]]*Table1536434546[[#This Row],[Smoking-Attributable Fraction (SAF) of Healthcare Expenditures: Upper Bound
Adjusted for Intervention Impacts]]</f>
        <v>133354640.29955553</v>
      </c>
      <c r="AI39" s="65">
        <f>Table1536434546[[#This Row],[Total Other Health Expenditures:
Base Scenario]]*Table1536434546[[#This Row],[Smoking-Attributable Fraction (SAF) of Healthcare Expenditures:
Adjusted for Intervention Impacts]]</f>
        <v>9328213.6041940805</v>
      </c>
      <c r="AJ39" s="65">
        <f>Table1536434546[[#This Row],[Total Other Health Expenditures:
Base Scenario]]*Table1536434546[[#This Row],[Smoking-Attributable Fraction (SAF) of Healthcare Expenditures: Lower Bound
Adjusted for Intervention Impacts]]</f>
        <v>7946256.033202366</v>
      </c>
      <c r="AK39" s="65">
        <f>Table1536434546[[#This Row],[Total Other Health Expenditures:
Base Scenario]]*Table1536434546[[#This Row],[Smoking-Attributable Fraction (SAF) of Healthcare Expenditures: Upper Bound
Adjusted for Intervention Impacts]]</f>
        <v>14971207.019076919</v>
      </c>
      <c r="AL39" s="76">
        <f>Table1536434546[[#This Row],[Smoking-Attributable Total Healthcare Expenditures:
Base Scenario]]-Table1536434546[[#This Row],[Smoking-Attributable Total Healthcare Expenditures:
Intervention Scenario]]</f>
        <v>58967618.176785827</v>
      </c>
      <c r="AM39" s="76">
        <f>Table1536434546[[#This Row],[Smoking-Attributable Total Healthcare Expenditures: Lower Bound
Base Scenario]]-Table1536434546[[#This Row],[Smoking-Attributable Total Healthcare Expenditures: Lower Bound
Intervention Scenario]]</f>
        <v>50231674.743187919</v>
      </c>
      <c r="AN39" s="76">
        <f>Table1536434546[[#This Row],[Smoking-Attributable Total Healthcare Expenditures: Upper Bound
Base Scenario]]-Table1536434546[[#This Row],[Smoking-Attributable Total Healthcare Expenditures: Upper Bound
Intervention Scenario]]</f>
        <v>94639387.197310597</v>
      </c>
      <c r="AO39" s="76">
        <f>Table1536434546[[#This Row],[Smoking-Attributable Government Healthcare Expenditures
(including national insurance):
Base Scenario]]-Table1536434546[[#This Row],[Smoking-Attributable Government Healthcare Expenditures
(including national insurance):
Intervention Scenario]]</f>
        <v>21381030.736856811</v>
      </c>
      <c r="AP39"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18213470.627692848</v>
      </c>
      <c r="AQ39"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34315234.515943035</v>
      </c>
      <c r="AR39" s="76">
        <f>Table1536434546[[#This Row],[Smoking-Attributable Private Healthcare Expenditures:
Base Scenario]]-Table1536434546[[#This Row],[Smoking-Attributable Private Healthcare Expenditures:
Intervention Scenario]]</f>
        <v>33792801.044123098</v>
      </c>
      <c r="AS39" s="76">
        <f>Table1536434546[[#This Row],[Smoking-Attributable Private Healthcare Expenditures: Lower Bound
Base Scenario]]-Table1536434546[[#This Row],[Smoking-Attributable Private Healthcare Expenditures: Lower Bound
Intervention Scenario]]</f>
        <v>28786460.148697466</v>
      </c>
      <c r="AT39" s="76">
        <f>Table1536434546[[#This Row],[Smoking-Attributable Private Healthcare Expenditures: Upper Bound
Base Scenario]]-Table1536434546[[#This Row],[Smoking-Attributable Private Healthcare Expenditures: Upper Bound
Intervention Scenario]]</f>
        <v>54235359.700444475</v>
      </c>
      <c r="AU39" s="76">
        <f>Table1536434546[[#This Row],[Smoking-Attributable Other Health Expenditures:
Base Scenario]]-Table1536434546[[#This Row],[Smoking-Attributable Other Health Expenditures:
Intervention Scenario]]</f>
        <v>3793786.3958059195</v>
      </c>
      <c r="AV39" s="235">
        <f>Table1536434546[[#This Row],[Smoking-Attributable Other Health Expenditures: Lower Bound
Base Scenario]]-Table1536434546[[#This Row],[Smoking-Attributable Other Health Expenditures: Lower Bound
Intervention Scenario]]</f>
        <v>3231743.9667976359</v>
      </c>
      <c r="AW39" s="235">
        <f>Table1536434546[[#This Row],[Smoking-Attributable Other Health Expenditures: Upper Bound
Base Scenario]]-Table1536434546[[#This Row],[Smoking-Attributable Other Health Expenditures: Upper Bound
Intervention Scenario]]</f>
        <v>6088792.9809230808</v>
      </c>
    </row>
    <row r="40" spans="2:49">
      <c r="B40" s="47">
        <v>6</v>
      </c>
      <c r="C40" s="48">
        <f t="shared" si="3"/>
        <v>2518000000</v>
      </c>
      <c r="D40" s="48">
        <f t="shared" si="4"/>
        <v>913000000</v>
      </c>
      <c r="E40" s="48">
        <f t="shared" si="5"/>
        <v>1443000000</v>
      </c>
      <c r="F40" s="48">
        <f t="shared" si="6"/>
        <v>162000000</v>
      </c>
      <c r="G40" s="232">
        <f t="shared" si="7"/>
        <v>8.1000000000000003E-2</v>
      </c>
      <c r="H40" s="46">
        <f t="shared" si="11"/>
        <v>6.9000000000000006E-2</v>
      </c>
      <c r="I40" s="46">
        <f t="shared" si="8"/>
        <v>0.13</v>
      </c>
      <c r="J40" s="43">
        <f>Table1536434546[[#This Row],[Total Healthcare Expenditures
(All Categories):
Base Scenario]]*Table1536434546[[#This Row],[Smoking-Attributable Fraction (SAF) of Healthcare Expenditures
Base Scenario]]</f>
        <v>203958000</v>
      </c>
      <c r="K40" s="43">
        <f>Table1536434546[[#This Row],[Total Healthcare Expenditures
(All Categories):
Base Scenario]]*Table1536434546[[#This Row],[Smoking-Attributable Fraction (SAF) of Healthcare Expenditures: Lower Bound
Base Scenario]]</f>
        <v>173742000</v>
      </c>
      <c r="L40" s="43">
        <f>Table1536434546[[#This Row],[Total Healthcare Expenditures
(All Categories):
Base Scenario]]*Table1536434546[[#This Row],[Smoking-Attributable Fraction (SAF) of Healthcare Expenditures: Upper Bound
Base Scenario]]</f>
        <v>327340000</v>
      </c>
      <c r="M40" s="43">
        <f>Table1536434546[[#This Row],[Total Government Healthcare Expenditures
(including national insurance):
Base Scenario]]*Table1536434546[[#This Row],[Smoking-Attributable Fraction (SAF) of Healthcare Expenditures
Base Scenario]]</f>
        <v>73953000</v>
      </c>
      <c r="N40" s="43">
        <f>Table1536434546[[#This Row],[Total Government Healthcare Expenditures
(including national insurance):
Base Scenario]]*Table1536434546[[#This Row],[Smoking-Attributable Fraction (SAF) of Healthcare Expenditures: Lower Bound
Base Scenario]]</f>
        <v>62997000.000000007</v>
      </c>
      <c r="O40" s="43">
        <f>Table1536434546[[#This Row],[Total Government Healthcare Expenditures
(including national insurance):
Base Scenario]]*Table1536434546[[#This Row],[Smoking-Attributable Fraction (SAF) of Healthcare Expenditures: Upper Bound
Base Scenario]]</f>
        <v>118690000</v>
      </c>
      <c r="P40" s="43">
        <f>Table1536434546[[#This Row],[Total Private (Out-of-Pocket) Healthcare Expenditures:
Base Scenario]]*Table1536434546[[#This Row],[Smoking-Attributable Fraction (SAF) of Healthcare Expenditures
Base Scenario]]</f>
        <v>116883000</v>
      </c>
      <c r="Q40" s="43">
        <f>Table1536434546[[#This Row],[Total Private (Out-of-Pocket) Healthcare Expenditures:
Base Scenario]]*Table1536434546[[#This Row],[Smoking-Attributable Fraction (SAF) of Healthcare Expenditures: Lower Bound
Base Scenario]]</f>
        <v>99567000.000000015</v>
      </c>
      <c r="R40" s="43">
        <f>Table1536434546[[#This Row],[Total Private (Out-of-Pocket) Healthcare Expenditures:
Base Scenario]]*Table1536434546[[#This Row],[Smoking-Attributable Fraction (SAF) of Healthcare Expenditures: Upper Bound
Base Scenario]]</f>
        <v>187590000</v>
      </c>
      <c r="S40" s="43">
        <f>Table1536434546[[#This Row],[Total Other Health Expenditures:
Base Scenario]]*Table1536434546[[#This Row],[Smoking-Attributable Fraction (SAF) of Healthcare Expenditures
Base Scenario]]</f>
        <v>13122000</v>
      </c>
      <c r="T40" s="43">
        <f>Table1536434546[[#This Row],[Total Other Health Expenditures:
Base Scenario]]*Table1536434546[[#This Row],[Smoking-Attributable Fraction (SAF) of Healthcare Expenditures: Lower Bound
Base Scenario]]</f>
        <v>11178000.000000002</v>
      </c>
      <c r="U40" s="43">
        <f>Table1536434546[[#This Row],[Total Other Health Expenditures:
Base Scenario]]*Table1536434546[[#This Row],[Smoking-Attributable Fraction (SAF) of Healthcare Expenditures: Upper Bound
Base Scenario]]</f>
        <v>21060000</v>
      </c>
      <c r="V40" s="62">
        <v>-1.2411482254697298E-2</v>
      </c>
      <c r="W40" s="60">
        <f>W39*(1+Table1536434546[[#This Row],[Relative Change in Smoking Prevalence:
All Interventions Combined]])</f>
        <v>5.6866892880108641E-2</v>
      </c>
      <c r="X40" s="60">
        <f>X39*(1+Table1536434546[[#This Row],[Relative Change in Smoking Prevalence:
All Interventions Combined]])</f>
        <v>4.8442168008981434E-2</v>
      </c>
      <c r="Y40" s="60">
        <f>Y39*(1+Table1536434546[[#This Row],[Relative Change in Smoking Prevalence:
All Interventions Combined]])</f>
        <v>9.1267852770544736E-2</v>
      </c>
      <c r="Z40" s="66">
        <f>Table1536434546[[#This Row],[Total Healthcare Expenditures
(All Categories):
Base Scenario]]*Table1536434546[[#This Row],[Smoking-Attributable Fraction (SAF) of Healthcare Expenditures:
Adjusted for Intervention Impacts]]</f>
        <v>143190836.27211356</v>
      </c>
      <c r="AA40" s="64">
        <f>Table1536434546[[#This Row],[Total Healthcare Expenditures
(All Categories):
Base Scenario]]*Table1536434546[[#This Row],[Smoking-Attributable Fraction (SAF) of Healthcare Expenditures: Lower Bound
Adjusted for Intervention Impacts]]</f>
        <v>121977379.04661526</v>
      </c>
      <c r="AB40" s="66">
        <f>Table1536434546[[#This Row],[Total Healthcare Expenditures
(All Categories):
Base Scenario]]*Table1536434546[[#This Row],[Smoking-Attributable Fraction (SAF) of Healthcare Expenditures: Upper Bound
Adjusted for Intervention Impacts]]</f>
        <v>229812453.27623165</v>
      </c>
      <c r="AC40" s="66">
        <f>Table1536434546[[#This Row],[Total Government Healthcare Expenditures
(including national insurance):
Base Scenario]]*Table1536434546[[#This Row],[Smoking-Attributable Fraction (SAF) of Healthcare Expenditures:
Adjusted for Intervention Impacts]]</f>
        <v>51919473.199539192</v>
      </c>
      <c r="AD40" s="66">
        <f>Table1536434546[[#This Row],[Total Government Healthcare Expenditures
(including national insurance):
Base Scenario]]*Table1536434546[[#This Row],[Smoking-Attributable Fraction (SAF) of Healthcare Expenditures: Lower Bound
Adjusted for Intervention Impacts]]</f>
        <v>44227699.392200053</v>
      </c>
      <c r="AE40" s="66">
        <f>Table1536434546[[#This Row],[Total Government Healthcare Expenditures
(including national insurance):
Base Scenario]]*Table1536434546[[#This Row],[Smoking-Attributable Fraction (SAF) of Healthcare Expenditures: Upper Bound
Adjusted for Intervention Impacts]]</f>
        <v>83327549.579507351</v>
      </c>
      <c r="AF40" s="66">
        <f>Table1536434546[[#This Row],[Total Private (Out-of-Pocket) Healthcare Expenditures:
Base Scenario]]*Table1536434546[[#This Row],[Smoking-Attributable Fraction (SAF) of Healthcare Expenditures:
Adjusted for Intervention Impacts]]</f>
        <v>82058926.425996765</v>
      </c>
      <c r="AG40" s="66">
        <f>Table1536434546[[#This Row],[Total Private (Out-of-Pocket) Healthcare Expenditures:
Base Scenario]]*Table1536434546[[#This Row],[Smoking-Attributable Fraction (SAF) of Healthcare Expenditures: Lower Bound
Adjusted for Intervention Impacts]]</f>
        <v>69902048.436960205</v>
      </c>
      <c r="AH40" s="66">
        <f>Table1536434546[[#This Row],[Total Private (Out-of-Pocket) Healthcare Expenditures:
Base Scenario]]*Table1536434546[[#This Row],[Smoking-Attributable Fraction (SAF) of Healthcare Expenditures: Upper Bound
Adjusted for Intervention Impacts]]</f>
        <v>131699511.54789606</v>
      </c>
      <c r="AI40" s="65">
        <f>Table1536434546[[#This Row],[Total Other Health Expenditures:
Base Scenario]]*Table1536434546[[#This Row],[Smoking-Attributable Fraction (SAF) of Healthcare Expenditures:
Adjusted for Intervention Impacts]]</f>
        <v>9212436.6465776004</v>
      </c>
      <c r="AJ40" s="65">
        <f>Table1536434546[[#This Row],[Total Other Health Expenditures:
Base Scenario]]*Table1536434546[[#This Row],[Smoking-Attributable Fraction (SAF) of Healthcare Expenditures: Lower Bound
Adjusted for Intervention Impacts]]</f>
        <v>7847631.2174549922</v>
      </c>
      <c r="AK40" s="65">
        <f>Table1536434546[[#This Row],[Total Other Health Expenditures:
Base Scenario]]*Table1536434546[[#This Row],[Smoking-Attributable Fraction (SAF) of Healthcare Expenditures: Upper Bound
Adjusted for Intervention Impacts]]</f>
        <v>14785392.148828248</v>
      </c>
      <c r="AL40" s="76">
        <f>Table1536434546[[#This Row],[Smoking-Attributable Total Healthcare Expenditures:
Base Scenario]]-Table1536434546[[#This Row],[Smoking-Attributable Total Healthcare Expenditures:
Intervention Scenario]]</f>
        <v>60767163.727886438</v>
      </c>
      <c r="AM40" s="76">
        <f>Table1536434546[[#This Row],[Smoking-Attributable Total Healthcare Expenditures: Lower Bound
Base Scenario]]-Table1536434546[[#This Row],[Smoking-Attributable Total Healthcare Expenditures: Lower Bound
Intervention Scenario]]</f>
        <v>51764620.953384742</v>
      </c>
      <c r="AN40" s="76">
        <f>Table1536434546[[#This Row],[Smoking-Attributable Total Healthcare Expenditures: Upper Bound
Base Scenario]]-Table1536434546[[#This Row],[Smoking-Attributable Total Healthcare Expenditures: Upper Bound
Intervention Scenario]]</f>
        <v>97527546.723768353</v>
      </c>
      <c r="AO40" s="76">
        <f>Table1536434546[[#This Row],[Smoking-Attributable Government Healthcare Expenditures
(including national insurance):
Base Scenario]]-Table1536434546[[#This Row],[Smoking-Attributable Government Healthcare Expenditures
(including national insurance):
Intervention Scenario]]</f>
        <v>22033526.800460808</v>
      </c>
      <c r="AP40"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18769300.607799955</v>
      </c>
      <c r="AQ40"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35362450.420492649</v>
      </c>
      <c r="AR40" s="76">
        <f>Table1536434546[[#This Row],[Smoking-Attributable Private Healthcare Expenditures:
Base Scenario]]-Table1536434546[[#This Row],[Smoking-Attributable Private Healthcare Expenditures:
Intervention Scenario]]</f>
        <v>34824073.574003235</v>
      </c>
      <c r="AS40" s="76">
        <f>Table1536434546[[#This Row],[Smoking-Attributable Private Healthcare Expenditures: Lower Bound
Base Scenario]]-Table1536434546[[#This Row],[Smoking-Attributable Private Healthcare Expenditures: Lower Bound
Intervention Scenario]]</f>
        <v>29664951.563039809</v>
      </c>
      <c r="AT40" s="76">
        <f>Table1536434546[[#This Row],[Smoking-Attributable Private Healthcare Expenditures: Upper Bound
Base Scenario]]-Table1536434546[[#This Row],[Smoking-Attributable Private Healthcare Expenditures: Upper Bound
Intervention Scenario]]</f>
        <v>55890488.452103943</v>
      </c>
      <c r="AU40" s="76">
        <f>Table1536434546[[#This Row],[Smoking-Attributable Other Health Expenditures:
Base Scenario]]-Table1536434546[[#This Row],[Smoking-Attributable Other Health Expenditures:
Intervention Scenario]]</f>
        <v>3909563.3534223996</v>
      </c>
      <c r="AV40" s="235">
        <f>Table1536434546[[#This Row],[Smoking-Attributable Other Health Expenditures: Lower Bound
Base Scenario]]-Table1536434546[[#This Row],[Smoking-Attributable Other Health Expenditures: Lower Bound
Intervention Scenario]]</f>
        <v>3330368.7825450096</v>
      </c>
      <c r="AW40" s="235">
        <f>Table1536434546[[#This Row],[Smoking-Attributable Other Health Expenditures: Upper Bound
Base Scenario]]-Table1536434546[[#This Row],[Smoking-Attributable Other Health Expenditures: Upper Bound
Intervention Scenario]]</f>
        <v>6274607.8511717524</v>
      </c>
    </row>
    <row r="41" spans="2:49">
      <c r="B41" s="47">
        <v>7</v>
      </c>
      <c r="C41" s="48">
        <f t="shared" si="3"/>
        <v>2518000000</v>
      </c>
      <c r="D41" s="48">
        <f t="shared" si="4"/>
        <v>913000000</v>
      </c>
      <c r="E41" s="48">
        <f t="shared" si="5"/>
        <v>1443000000</v>
      </c>
      <c r="F41" s="48">
        <f t="shared" si="6"/>
        <v>162000000</v>
      </c>
      <c r="G41" s="232">
        <f t="shared" si="7"/>
        <v>8.1000000000000003E-2</v>
      </c>
      <c r="H41" s="46">
        <f t="shared" si="11"/>
        <v>6.9000000000000006E-2</v>
      </c>
      <c r="I41" s="46">
        <f t="shared" si="8"/>
        <v>0.13</v>
      </c>
      <c r="J41" s="43">
        <f>Table1536434546[[#This Row],[Total Healthcare Expenditures
(All Categories):
Base Scenario]]*Table1536434546[[#This Row],[Smoking-Attributable Fraction (SAF) of Healthcare Expenditures
Base Scenario]]</f>
        <v>203958000</v>
      </c>
      <c r="K41" s="43">
        <f>Table1536434546[[#This Row],[Total Healthcare Expenditures
(All Categories):
Base Scenario]]*Table1536434546[[#This Row],[Smoking-Attributable Fraction (SAF) of Healthcare Expenditures: Lower Bound
Base Scenario]]</f>
        <v>173742000</v>
      </c>
      <c r="L41" s="43">
        <f>Table1536434546[[#This Row],[Total Healthcare Expenditures
(All Categories):
Base Scenario]]*Table1536434546[[#This Row],[Smoking-Attributable Fraction (SAF) of Healthcare Expenditures: Upper Bound
Base Scenario]]</f>
        <v>327340000</v>
      </c>
      <c r="M41" s="43">
        <f>Table1536434546[[#This Row],[Total Government Healthcare Expenditures
(including national insurance):
Base Scenario]]*Table1536434546[[#This Row],[Smoking-Attributable Fraction (SAF) of Healthcare Expenditures
Base Scenario]]</f>
        <v>73953000</v>
      </c>
      <c r="N41" s="43">
        <f>Table1536434546[[#This Row],[Total Government Healthcare Expenditures
(including national insurance):
Base Scenario]]*Table1536434546[[#This Row],[Smoking-Attributable Fraction (SAF) of Healthcare Expenditures: Lower Bound
Base Scenario]]</f>
        <v>62997000.000000007</v>
      </c>
      <c r="O41" s="43">
        <f>Table1536434546[[#This Row],[Total Government Healthcare Expenditures
(including national insurance):
Base Scenario]]*Table1536434546[[#This Row],[Smoking-Attributable Fraction (SAF) of Healthcare Expenditures: Upper Bound
Base Scenario]]</f>
        <v>118690000</v>
      </c>
      <c r="P41" s="43">
        <f>Table1536434546[[#This Row],[Total Private (Out-of-Pocket) Healthcare Expenditures:
Base Scenario]]*Table1536434546[[#This Row],[Smoking-Attributable Fraction (SAF) of Healthcare Expenditures
Base Scenario]]</f>
        <v>116883000</v>
      </c>
      <c r="Q41" s="43">
        <f>Table1536434546[[#This Row],[Total Private (Out-of-Pocket) Healthcare Expenditures:
Base Scenario]]*Table1536434546[[#This Row],[Smoking-Attributable Fraction (SAF) of Healthcare Expenditures: Lower Bound
Base Scenario]]</f>
        <v>99567000.000000015</v>
      </c>
      <c r="R41" s="43">
        <f>Table1536434546[[#This Row],[Total Private (Out-of-Pocket) Healthcare Expenditures:
Base Scenario]]*Table1536434546[[#This Row],[Smoking-Attributable Fraction (SAF) of Healthcare Expenditures: Upper Bound
Base Scenario]]</f>
        <v>187590000</v>
      </c>
      <c r="S41" s="43">
        <f>Table1536434546[[#This Row],[Total Other Health Expenditures:
Base Scenario]]*Table1536434546[[#This Row],[Smoking-Attributable Fraction (SAF) of Healthcare Expenditures
Base Scenario]]</f>
        <v>13122000</v>
      </c>
      <c r="T41" s="43">
        <f>Table1536434546[[#This Row],[Total Other Health Expenditures:
Base Scenario]]*Table1536434546[[#This Row],[Smoking-Attributable Fraction (SAF) of Healthcare Expenditures: Lower Bound
Base Scenario]]</f>
        <v>11178000.000000002</v>
      </c>
      <c r="U41" s="43">
        <f>Table1536434546[[#This Row],[Total Other Health Expenditures:
Base Scenario]]*Table1536434546[[#This Row],[Smoking-Attributable Fraction (SAF) of Healthcare Expenditures: Upper Bound
Base Scenario]]</f>
        <v>21060000</v>
      </c>
      <c r="V41" s="62">
        <v>-1.2411482254697298E-2</v>
      </c>
      <c r="W41" s="60">
        <f>W40*(1+Table1536434546[[#This Row],[Relative Change in Smoking Prevalence:
All Interventions Combined]])</f>
        <v>5.6161090448247394E-2</v>
      </c>
      <c r="X41" s="60">
        <f>X40*(1+Table1536434546[[#This Row],[Relative Change in Smoking Prevalence:
All Interventions Combined]])</f>
        <v>4.7840928900358896E-2</v>
      </c>
      <c r="Y41" s="60">
        <f>Y40*(1+Table1536434546[[#This Row],[Relative Change in Smoking Prevalence:
All Interventions Combined]])</f>
        <v>9.0135083435458785E-2</v>
      </c>
      <c r="Z41" s="66">
        <f>Table1536434546[[#This Row],[Total Healthcare Expenditures
(All Categories):
Base Scenario]]*Table1536434546[[#This Row],[Smoking-Attributable Fraction (SAF) of Healthcare Expenditures:
Adjusted for Intervention Impacts]]</f>
        <v>141413625.74868694</v>
      </c>
      <c r="AA41" s="64">
        <f>Table1536434546[[#This Row],[Total Healthcare Expenditures
(All Categories):
Base Scenario]]*Table1536434546[[#This Row],[Smoking-Attributable Fraction (SAF) of Healthcare Expenditures: Lower Bound
Adjusted for Intervention Impacts]]</f>
        <v>120463458.9711037</v>
      </c>
      <c r="AB41" s="66">
        <f>Table1536434546[[#This Row],[Total Healthcare Expenditures
(All Categories):
Base Scenario]]*Table1536434546[[#This Row],[Smoking-Attributable Fraction (SAF) of Healthcare Expenditures: Upper Bound
Adjusted for Intervention Impacts]]</f>
        <v>226960140.09048522</v>
      </c>
      <c r="AC41" s="66">
        <f>Table1536434546[[#This Row],[Total Government Healthcare Expenditures
(including national insurance):
Base Scenario]]*Table1536434546[[#This Row],[Smoking-Attributable Fraction (SAF) of Healthcare Expenditures:
Adjusted for Intervention Impacts]]</f>
        <v>51275075.579249874</v>
      </c>
      <c r="AD41" s="66">
        <f>Table1536434546[[#This Row],[Total Government Healthcare Expenditures
(including national insurance):
Base Scenario]]*Table1536434546[[#This Row],[Smoking-Attributable Fraction (SAF) of Healthcare Expenditures: Lower Bound
Adjusted for Intervention Impacts]]</f>
        <v>43678768.086027674</v>
      </c>
      <c r="AE41" s="66">
        <f>Table1536434546[[#This Row],[Total Government Healthcare Expenditures
(including national insurance):
Base Scenario]]*Table1536434546[[#This Row],[Smoking-Attributable Fraction (SAF) of Healthcare Expenditures: Upper Bound
Adjusted for Intervention Impacts]]</f>
        <v>82293331.176573873</v>
      </c>
      <c r="AF41" s="66">
        <f>Table1536434546[[#This Row],[Total Private (Out-of-Pocket) Healthcare Expenditures:
Base Scenario]]*Table1536434546[[#This Row],[Smoking-Attributable Fraction (SAF) of Healthcare Expenditures:
Adjusted for Intervention Impacts]]</f>
        <v>81040453.516820997</v>
      </c>
      <c r="AG41" s="66">
        <f>Table1536434546[[#This Row],[Total Private (Out-of-Pocket) Healthcare Expenditures:
Base Scenario]]*Table1536434546[[#This Row],[Smoking-Attributable Fraction (SAF) of Healthcare Expenditures: Lower Bound
Adjusted for Intervention Impacts]]</f>
        <v>69034460.403217882</v>
      </c>
      <c r="AH41" s="66">
        <f>Table1536434546[[#This Row],[Total Private (Out-of-Pocket) Healthcare Expenditures:
Base Scenario]]*Table1536434546[[#This Row],[Smoking-Attributable Fraction (SAF) of Healthcare Expenditures: Upper Bound
Adjusted for Intervention Impacts]]</f>
        <v>130064925.39736703</v>
      </c>
      <c r="AI41" s="65">
        <f>Table1536434546[[#This Row],[Total Other Health Expenditures:
Base Scenario]]*Table1536434546[[#This Row],[Smoking-Attributable Fraction (SAF) of Healthcare Expenditures:
Adjusted for Intervention Impacts]]</f>
        <v>9098096.652616078</v>
      </c>
      <c r="AJ41" s="65">
        <f>Table1536434546[[#This Row],[Total Other Health Expenditures:
Base Scenario]]*Table1536434546[[#This Row],[Smoking-Attributable Fraction (SAF) of Healthcare Expenditures: Lower Bound
Adjusted for Intervention Impacts]]</f>
        <v>7750230.4818581408</v>
      </c>
      <c r="AK41" s="65">
        <f>Table1536434546[[#This Row],[Total Other Health Expenditures:
Base Scenario]]*Table1536434546[[#This Row],[Smoking-Attributable Fraction (SAF) of Healthcare Expenditures: Upper Bound
Adjusted for Intervention Impacts]]</f>
        <v>14601883.516544323</v>
      </c>
      <c r="AL41" s="76">
        <f>Table1536434546[[#This Row],[Smoking-Attributable Total Healthcare Expenditures:
Base Scenario]]-Table1536434546[[#This Row],[Smoking-Attributable Total Healthcare Expenditures:
Intervention Scenario]]</f>
        <v>62544374.251313061</v>
      </c>
      <c r="AM41" s="76">
        <f>Table1536434546[[#This Row],[Smoking-Attributable Total Healthcare Expenditures: Lower Bound
Base Scenario]]-Table1536434546[[#This Row],[Smoking-Attributable Total Healthcare Expenditures: Lower Bound
Intervention Scenario]]</f>
        <v>53278541.028896302</v>
      </c>
      <c r="AN41" s="76">
        <f>Table1536434546[[#This Row],[Smoking-Attributable Total Healthcare Expenditures: Upper Bound
Base Scenario]]-Table1536434546[[#This Row],[Smoking-Attributable Total Healthcare Expenditures: Upper Bound
Intervention Scenario]]</f>
        <v>100379859.90951478</v>
      </c>
      <c r="AO41" s="76">
        <f>Table1536434546[[#This Row],[Smoking-Attributable Government Healthcare Expenditures
(including national insurance):
Base Scenario]]-Table1536434546[[#This Row],[Smoking-Attributable Government Healthcare Expenditures
(including national insurance):
Intervention Scenario]]</f>
        <v>22677924.420750126</v>
      </c>
      <c r="AP41"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19318231.913972333</v>
      </c>
      <c r="AQ41"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36396668.823426127</v>
      </c>
      <c r="AR41" s="76">
        <f>Table1536434546[[#This Row],[Smoking-Attributable Private Healthcare Expenditures:
Base Scenario]]-Table1536434546[[#This Row],[Smoking-Attributable Private Healthcare Expenditures:
Intervention Scenario]]</f>
        <v>35842546.483179003</v>
      </c>
      <c r="AS41" s="76">
        <f>Table1536434546[[#This Row],[Smoking-Attributable Private Healthcare Expenditures: Lower Bound
Base Scenario]]-Table1536434546[[#This Row],[Smoking-Attributable Private Healthcare Expenditures: Lower Bound
Intervention Scenario]]</f>
        <v>30532539.596782133</v>
      </c>
      <c r="AT41" s="76">
        <f>Table1536434546[[#This Row],[Smoking-Attributable Private Healthcare Expenditures: Upper Bound
Base Scenario]]-Table1536434546[[#This Row],[Smoking-Attributable Private Healthcare Expenditures: Upper Bound
Intervention Scenario]]</f>
        <v>57525074.60263297</v>
      </c>
      <c r="AU41" s="76">
        <f>Table1536434546[[#This Row],[Smoking-Attributable Other Health Expenditures:
Base Scenario]]-Table1536434546[[#This Row],[Smoking-Attributable Other Health Expenditures:
Intervention Scenario]]</f>
        <v>4023903.347383922</v>
      </c>
      <c r="AV41" s="235">
        <f>Table1536434546[[#This Row],[Smoking-Attributable Other Health Expenditures: Lower Bound
Base Scenario]]-Table1536434546[[#This Row],[Smoking-Attributable Other Health Expenditures: Lower Bound
Intervention Scenario]]</f>
        <v>3427769.5181418611</v>
      </c>
      <c r="AW41" s="235">
        <f>Table1536434546[[#This Row],[Smoking-Attributable Other Health Expenditures: Upper Bound
Base Scenario]]-Table1536434546[[#This Row],[Smoking-Attributable Other Health Expenditures: Upper Bound
Intervention Scenario]]</f>
        <v>6458116.4834556766</v>
      </c>
    </row>
    <row r="42" spans="2:49">
      <c r="B42" s="47">
        <v>8</v>
      </c>
      <c r="C42" s="48">
        <f t="shared" si="3"/>
        <v>2518000000</v>
      </c>
      <c r="D42" s="48">
        <f t="shared" si="4"/>
        <v>913000000</v>
      </c>
      <c r="E42" s="48">
        <f t="shared" si="5"/>
        <v>1443000000</v>
      </c>
      <c r="F42" s="48">
        <f t="shared" si="6"/>
        <v>162000000</v>
      </c>
      <c r="G42" s="232">
        <f t="shared" si="7"/>
        <v>8.1000000000000003E-2</v>
      </c>
      <c r="H42" s="46">
        <f t="shared" si="11"/>
        <v>6.9000000000000006E-2</v>
      </c>
      <c r="I42" s="46">
        <f t="shared" si="8"/>
        <v>0.13</v>
      </c>
      <c r="J42" s="43">
        <f>Table1536434546[[#This Row],[Total Healthcare Expenditures
(All Categories):
Base Scenario]]*Table1536434546[[#This Row],[Smoking-Attributable Fraction (SAF) of Healthcare Expenditures
Base Scenario]]</f>
        <v>203958000</v>
      </c>
      <c r="K42" s="43">
        <f>Table1536434546[[#This Row],[Total Healthcare Expenditures
(All Categories):
Base Scenario]]*Table1536434546[[#This Row],[Smoking-Attributable Fraction (SAF) of Healthcare Expenditures: Lower Bound
Base Scenario]]</f>
        <v>173742000</v>
      </c>
      <c r="L42" s="43">
        <f>Table1536434546[[#This Row],[Total Healthcare Expenditures
(All Categories):
Base Scenario]]*Table1536434546[[#This Row],[Smoking-Attributable Fraction (SAF) of Healthcare Expenditures: Upper Bound
Base Scenario]]</f>
        <v>327340000</v>
      </c>
      <c r="M42" s="43">
        <f>Table1536434546[[#This Row],[Total Government Healthcare Expenditures
(including national insurance):
Base Scenario]]*Table1536434546[[#This Row],[Smoking-Attributable Fraction (SAF) of Healthcare Expenditures
Base Scenario]]</f>
        <v>73953000</v>
      </c>
      <c r="N42" s="43">
        <f>Table1536434546[[#This Row],[Total Government Healthcare Expenditures
(including national insurance):
Base Scenario]]*Table1536434546[[#This Row],[Smoking-Attributable Fraction (SAF) of Healthcare Expenditures: Lower Bound
Base Scenario]]</f>
        <v>62997000.000000007</v>
      </c>
      <c r="O42" s="43">
        <f>Table1536434546[[#This Row],[Total Government Healthcare Expenditures
(including national insurance):
Base Scenario]]*Table1536434546[[#This Row],[Smoking-Attributable Fraction (SAF) of Healthcare Expenditures: Upper Bound
Base Scenario]]</f>
        <v>118690000</v>
      </c>
      <c r="P42" s="43">
        <f>Table1536434546[[#This Row],[Total Private (Out-of-Pocket) Healthcare Expenditures:
Base Scenario]]*Table1536434546[[#This Row],[Smoking-Attributable Fraction (SAF) of Healthcare Expenditures
Base Scenario]]</f>
        <v>116883000</v>
      </c>
      <c r="Q42" s="43">
        <f>Table1536434546[[#This Row],[Total Private (Out-of-Pocket) Healthcare Expenditures:
Base Scenario]]*Table1536434546[[#This Row],[Smoking-Attributable Fraction (SAF) of Healthcare Expenditures: Lower Bound
Base Scenario]]</f>
        <v>99567000.000000015</v>
      </c>
      <c r="R42" s="43">
        <f>Table1536434546[[#This Row],[Total Private (Out-of-Pocket) Healthcare Expenditures:
Base Scenario]]*Table1536434546[[#This Row],[Smoking-Attributable Fraction (SAF) of Healthcare Expenditures: Upper Bound
Base Scenario]]</f>
        <v>187590000</v>
      </c>
      <c r="S42" s="43">
        <f>Table1536434546[[#This Row],[Total Other Health Expenditures:
Base Scenario]]*Table1536434546[[#This Row],[Smoking-Attributable Fraction (SAF) of Healthcare Expenditures
Base Scenario]]</f>
        <v>13122000</v>
      </c>
      <c r="T42" s="43">
        <f>Table1536434546[[#This Row],[Total Other Health Expenditures:
Base Scenario]]*Table1536434546[[#This Row],[Smoking-Attributable Fraction (SAF) of Healthcare Expenditures: Lower Bound
Base Scenario]]</f>
        <v>11178000.000000002</v>
      </c>
      <c r="U42" s="43">
        <f>Table1536434546[[#This Row],[Total Other Health Expenditures:
Base Scenario]]*Table1536434546[[#This Row],[Smoking-Attributable Fraction (SAF) of Healthcare Expenditures: Upper Bound
Base Scenario]]</f>
        <v>21060000</v>
      </c>
      <c r="V42" s="62">
        <v>-1.2411482254697298E-2</v>
      </c>
      <c r="W42" s="60">
        <f>W41*(1+Table1536434546[[#This Row],[Relative Change in Smoking Prevalence:
All Interventions Combined]])</f>
        <v>5.5464048070744516E-2</v>
      </c>
      <c r="X42" s="60">
        <f>X41*(1+Table1536434546[[#This Row],[Relative Change in Smoking Prevalence:
All Interventions Combined]])</f>
        <v>4.7247152060263857E-2</v>
      </c>
      <c r="Y42" s="60">
        <f>Y41*(1+Table1536434546[[#This Row],[Relative Change in Smoking Prevalence:
All Interventions Combined]])</f>
        <v>8.9016373446873923E-2</v>
      </c>
      <c r="Z42" s="66">
        <f>Table1536434546[[#This Row],[Total Healthcare Expenditures
(All Categories):
Base Scenario]]*Table1536434546[[#This Row],[Smoking-Attributable Fraction (SAF) of Healthcare Expenditures:
Adjusted for Intervention Impacts]]</f>
        <v>139658473.0421347</v>
      </c>
      <c r="AA42" s="64">
        <f>Table1536434546[[#This Row],[Total Healthcare Expenditures
(All Categories):
Base Scenario]]*Table1536434546[[#This Row],[Smoking-Attributable Fraction (SAF) of Healthcare Expenditures: Lower Bound
Adjusted for Intervention Impacts]]</f>
        <v>118968328.8877444</v>
      </c>
      <c r="AB42" s="66">
        <f>Table1536434546[[#This Row],[Total Healthcare Expenditures
(All Categories):
Base Scenario]]*Table1536434546[[#This Row],[Smoking-Attributable Fraction (SAF) of Healthcare Expenditures: Upper Bound
Adjusted for Intervention Impacts]]</f>
        <v>224143228.33922854</v>
      </c>
      <c r="AC42" s="66">
        <f>Table1536434546[[#This Row],[Total Government Healthcare Expenditures
(including national insurance):
Base Scenario]]*Table1536434546[[#This Row],[Smoking-Attributable Fraction (SAF) of Healthcare Expenditures:
Adjusted for Intervention Impacts]]</f>
        <v>50638675.88858974</v>
      </c>
      <c r="AD42" s="66">
        <f>Table1536434546[[#This Row],[Total Government Healthcare Expenditures
(including national insurance):
Base Scenario]]*Table1536434546[[#This Row],[Smoking-Attributable Fraction (SAF) of Healthcare Expenditures: Lower Bound
Adjusted for Intervention Impacts]]</f>
        <v>43136649.831020899</v>
      </c>
      <c r="AE42" s="66">
        <f>Table1536434546[[#This Row],[Total Government Healthcare Expenditures
(including national insurance):
Base Scenario]]*Table1536434546[[#This Row],[Smoking-Attributable Fraction (SAF) of Healthcare Expenditures: Upper Bound
Adjusted for Intervention Impacts]]</f>
        <v>81271948.95699589</v>
      </c>
      <c r="AF42" s="66">
        <f>Table1536434546[[#This Row],[Total Private (Out-of-Pocket) Healthcare Expenditures:
Base Scenario]]*Table1536434546[[#This Row],[Smoking-Attributable Fraction (SAF) of Healthcare Expenditures:
Adjusted for Intervention Impacts]]</f>
        <v>80034621.366084337</v>
      </c>
      <c r="AG42" s="66">
        <f>Table1536434546[[#This Row],[Total Private (Out-of-Pocket) Healthcare Expenditures:
Base Scenario]]*Table1536434546[[#This Row],[Smoking-Attributable Fraction (SAF) of Healthcare Expenditures: Lower Bound
Adjusted for Intervention Impacts]]</f>
        <v>68177640.422960743</v>
      </c>
      <c r="AH42" s="66">
        <f>Table1536434546[[#This Row],[Total Private (Out-of-Pocket) Healthcare Expenditures:
Base Scenario]]*Table1536434546[[#This Row],[Smoking-Attributable Fraction (SAF) of Healthcare Expenditures: Upper Bound
Adjusted for Intervention Impacts]]</f>
        <v>128450626.88383907</v>
      </c>
      <c r="AI42" s="65">
        <f>Table1536434546[[#This Row],[Total Other Health Expenditures:
Base Scenario]]*Table1536434546[[#This Row],[Smoking-Attributable Fraction (SAF) of Healthcare Expenditures:
Adjusted for Intervention Impacts]]</f>
        <v>8985175.7874606121</v>
      </c>
      <c r="AJ42" s="65">
        <f>Table1536434546[[#This Row],[Total Other Health Expenditures:
Base Scenario]]*Table1536434546[[#This Row],[Smoking-Attributable Fraction (SAF) of Healthcare Expenditures: Lower Bound
Adjusted for Intervention Impacts]]</f>
        <v>7654038.6337627452</v>
      </c>
      <c r="AK42" s="65">
        <f>Table1536434546[[#This Row],[Total Other Health Expenditures:
Base Scenario]]*Table1536434546[[#This Row],[Smoking-Attributable Fraction (SAF) of Healthcare Expenditures: Upper Bound
Adjusted for Intervention Impacts]]</f>
        <v>14420652.498393575</v>
      </c>
      <c r="AL42" s="76">
        <f>Table1536434546[[#This Row],[Smoking-Attributable Total Healthcare Expenditures:
Base Scenario]]-Table1536434546[[#This Row],[Smoking-Attributable Total Healthcare Expenditures:
Intervention Scenario]]</f>
        <v>64299526.957865298</v>
      </c>
      <c r="AM42" s="76">
        <f>Table1536434546[[#This Row],[Smoking-Attributable Total Healthcare Expenditures: Lower Bound
Base Scenario]]-Table1536434546[[#This Row],[Smoking-Attributable Total Healthcare Expenditures: Lower Bound
Intervention Scenario]]</f>
        <v>54773671.112255603</v>
      </c>
      <c r="AN42" s="76">
        <f>Table1536434546[[#This Row],[Smoking-Attributable Total Healthcare Expenditures: Upper Bound
Base Scenario]]-Table1536434546[[#This Row],[Smoking-Attributable Total Healthcare Expenditures: Upper Bound
Intervention Scenario]]</f>
        <v>103196771.66077146</v>
      </c>
      <c r="AO42" s="76">
        <f>Table1536434546[[#This Row],[Smoking-Attributable Government Healthcare Expenditures
(including national insurance):
Base Scenario]]-Table1536434546[[#This Row],[Smoking-Attributable Government Healthcare Expenditures
(including national insurance):
Intervention Scenario]]</f>
        <v>23314324.11141026</v>
      </c>
      <c r="AP42"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19860350.168979108</v>
      </c>
      <c r="AQ42"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37418051.04300411</v>
      </c>
      <c r="AR42" s="76">
        <f>Table1536434546[[#This Row],[Smoking-Attributable Private Healthcare Expenditures:
Base Scenario]]-Table1536434546[[#This Row],[Smoking-Attributable Private Healthcare Expenditures:
Intervention Scenario]]</f>
        <v>36848378.633915663</v>
      </c>
      <c r="AS42" s="76">
        <f>Table1536434546[[#This Row],[Smoking-Attributable Private Healthcare Expenditures: Lower Bound
Base Scenario]]-Table1536434546[[#This Row],[Smoking-Attributable Private Healthcare Expenditures: Lower Bound
Intervention Scenario]]</f>
        <v>31389359.577039272</v>
      </c>
      <c r="AT42" s="76">
        <f>Table1536434546[[#This Row],[Smoking-Attributable Private Healthcare Expenditures: Upper Bound
Base Scenario]]-Table1536434546[[#This Row],[Smoking-Attributable Private Healthcare Expenditures: Upper Bound
Intervention Scenario]]</f>
        <v>59139373.116160929</v>
      </c>
      <c r="AU42" s="76">
        <f>Table1536434546[[#This Row],[Smoking-Attributable Other Health Expenditures:
Base Scenario]]-Table1536434546[[#This Row],[Smoking-Attributable Other Health Expenditures:
Intervention Scenario]]</f>
        <v>4136824.2125393879</v>
      </c>
      <c r="AV42" s="235">
        <f>Table1536434546[[#This Row],[Smoking-Attributable Other Health Expenditures: Lower Bound
Base Scenario]]-Table1536434546[[#This Row],[Smoking-Attributable Other Health Expenditures: Lower Bound
Intervention Scenario]]</f>
        <v>3523961.3662372567</v>
      </c>
      <c r="AW42" s="235">
        <f>Table1536434546[[#This Row],[Smoking-Attributable Other Health Expenditures: Upper Bound
Base Scenario]]-Table1536434546[[#This Row],[Smoking-Attributable Other Health Expenditures: Upper Bound
Intervention Scenario]]</f>
        <v>6639347.5016064253</v>
      </c>
    </row>
    <row r="43" spans="2:49">
      <c r="B43" s="47">
        <v>9</v>
      </c>
      <c r="C43" s="48">
        <f t="shared" si="3"/>
        <v>2518000000</v>
      </c>
      <c r="D43" s="48">
        <f t="shared" si="4"/>
        <v>913000000</v>
      </c>
      <c r="E43" s="48">
        <f t="shared" si="5"/>
        <v>1443000000</v>
      </c>
      <c r="F43" s="48">
        <f t="shared" si="6"/>
        <v>162000000</v>
      </c>
      <c r="G43" s="232">
        <f t="shared" si="7"/>
        <v>8.1000000000000003E-2</v>
      </c>
      <c r="H43" s="46">
        <f t="shared" si="11"/>
        <v>6.9000000000000006E-2</v>
      </c>
      <c r="I43" s="46">
        <f t="shared" si="8"/>
        <v>0.13</v>
      </c>
      <c r="J43" s="43">
        <f>Table1536434546[[#This Row],[Total Healthcare Expenditures
(All Categories):
Base Scenario]]*Table1536434546[[#This Row],[Smoking-Attributable Fraction (SAF) of Healthcare Expenditures
Base Scenario]]</f>
        <v>203958000</v>
      </c>
      <c r="K43" s="43">
        <f>Table1536434546[[#This Row],[Total Healthcare Expenditures
(All Categories):
Base Scenario]]*Table1536434546[[#This Row],[Smoking-Attributable Fraction (SAF) of Healthcare Expenditures: Lower Bound
Base Scenario]]</f>
        <v>173742000</v>
      </c>
      <c r="L43" s="43">
        <f>Table1536434546[[#This Row],[Total Healthcare Expenditures
(All Categories):
Base Scenario]]*Table1536434546[[#This Row],[Smoking-Attributable Fraction (SAF) of Healthcare Expenditures: Upper Bound
Base Scenario]]</f>
        <v>327340000</v>
      </c>
      <c r="M43" s="43">
        <f>Table1536434546[[#This Row],[Total Government Healthcare Expenditures
(including national insurance):
Base Scenario]]*Table1536434546[[#This Row],[Smoking-Attributable Fraction (SAF) of Healthcare Expenditures
Base Scenario]]</f>
        <v>73953000</v>
      </c>
      <c r="N43" s="43">
        <f>Table1536434546[[#This Row],[Total Government Healthcare Expenditures
(including national insurance):
Base Scenario]]*Table1536434546[[#This Row],[Smoking-Attributable Fraction (SAF) of Healthcare Expenditures: Lower Bound
Base Scenario]]</f>
        <v>62997000.000000007</v>
      </c>
      <c r="O43" s="43">
        <f>Table1536434546[[#This Row],[Total Government Healthcare Expenditures
(including national insurance):
Base Scenario]]*Table1536434546[[#This Row],[Smoking-Attributable Fraction (SAF) of Healthcare Expenditures: Upper Bound
Base Scenario]]</f>
        <v>118690000</v>
      </c>
      <c r="P43" s="43">
        <f>Table1536434546[[#This Row],[Total Private (Out-of-Pocket) Healthcare Expenditures:
Base Scenario]]*Table1536434546[[#This Row],[Smoking-Attributable Fraction (SAF) of Healthcare Expenditures
Base Scenario]]</f>
        <v>116883000</v>
      </c>
      <c r="Q43" s="43">
        <f>Table1536434546[[#This Row],[Total Private (Out-of-Pocket) Healthcare Expenditures:
Base Scenario]]*Table1536434546[[#This Row],[Smoking-Attributable Fraction (SAF) of Healthcare Expenditures: Lower Bound
Base Scenario]]</f>
        <v>99567000.000000015</v>
      </c>
      <c r="R43" s="43">
        <f>Table1536434546[[#This Row],[Total Private (Out-of-Pocket) Healthcare Expenditures:
Base Scenario]]*Table1536434546[[#This Row],[Smoking-Attributable Fraction (SAF) of Healthcare Expenditures: Upper Bound
Base Scenario]]</f>
        <v>187590000</v>
      </c>
      <c r="S43" s="43">
        <f>Table1536434546[[#This Row],[Total Other Health Expenditures:
Base Scenario]]*Table1536434546[[#This Row],[Smoking-Attributable Fraction (SAF) of Healthcare Expenditures
Base Scenario]]</f>
        <v>13122000</v>
      </c>
      <c r="T43" s="43">
        <f>Table1536434546[[#This Row],[Total Other Health Expenditures:
Base Scenario]]*Table1536434546[[#This Row],[Smoking-Attributable Fraction (SAF) of Healthcare Expenditures: Lower Bound
Base Scenario]]</f>
        <v>11178000.000000002</v>
      </c>
      <c r="U43" s="43">
        <f>Table1536434546[[#This Row],[Total Other Health Expenditures:
Base Scenario]]*Table1536434546[[#This Row],[Smoking-Attributable Fraction (SAF) of Healthcare Expenditures: Upper Bound
Base Scenario]]</f>
        <v>21060000</v>
      </c>
      <c r="V43" s="62">
        <v>-1.2411482254697298E-2</v>
      </c>
      <c r="W43" s="60">
        <f>W42*(1+Table1536434546[[#This Row],[Relative Change in Smoking Prevalence:
All Interventions Combined]])</f>
        <v>5.4775657022340787E-2</v>
      </c>
      <c r="X43" s="60">
        <f>X42*(1+Table1536434546[[#This Row],[Relative Change in Smoking Prevalence:
All Interventions Combined]])</f>
        <v>4.6660744870882905E-2</v>
      </c>
      <c r="Y43" s="60">
        <f>Y42*(1+Table1536434546[[#This Row],[Relative Change in Smoking Prevalence:
All Interventions Combined]])</f>
        <v>8.7911548307460535E-2</v>
      </c>
      <c r="Z43" s="66">
        <f>Table1536434546[[#This Row],[Total Healthcare Expenditures
(All Categories):
Base Scenario]]*Table1536434546[[#This Row],[Smoking-Attributable Fraction (SAF) of Healthcare Expenditures:
Adjusted for Intervention Impacts]]</f>
        <v>137925104.38225409</v>
      </c>
      <c r="AA43" s="64">
        <f>Table1536434546[[#This Row],[Total Healthcare Expenditures
(All Categories):
Base Scenario]]*Table1536434546[[#This Row],[Smoking-Attributable Fraction (SAF) of Healthcare Expenditures: Lower Bound
Adjusted for Intervention Impacts]]</f>
        <v>117491755.58488315</v>
      </c>
      <c r="AB43" s="66">
        <f>Table1536434546[[#This Row],[Total Healthcare Expenditures
(All Categories):
Base Scenario]]*Table1536434546[[#This Row],[Smoking-Attributable Fraction (SAF) of Healthcare Expenditures: Upper Bound
Adjusted for Intervention Impacts]]</f>
        <v>221361278.63818562</v>
      </c>
      <c r="AC43" s="66">
        <f>Table1536434546[[#This Row],[Total Government Healthcare Expenditures
(including national insurance):
Base Scenario]]*Table1536434546[[#This Row],[Smoking-Attributable Fraction (SAF) of Healthcare Expenditures:
Adjusted for Intervention Impacts]]</f>
        <v>50010174.86139714</v>
      </c>
      <c r="AD43" s="66">
        <f>Table1536434546[[#This Row],[Total Government Healthcare Expenditures
(including national insurance):
Base Scenario]]*Table1536434546[[#This Row],[Smoking-Attributable Fraction (SAF) of Healthcare Expenditures: Lower Bound
Adjusted for Intervention Impacts]]</f>
        <v>42601260.067116089</v>
      </c>
      <c r="AE43" s="66">
        <f>Table1536434546[[#This Row],[Total Government Healthcare Expenditures
(including national insurance):
Base Scenario]]*Table1536434546[[#This Row],[Smoking-Attributable Fraction (SAF) of Healthcare Expenditures: Upper Bound
Adjusted for Intervention Impacts]]</f>
        <v>80263243.604711473</v>
      </c>
      <c r="AF43" s="66">
        <f>Table1536434546[[#This Row],[Total Private (Out-of-Pocket) Healthcare Expenditures:
Base Scenario]]*Table1536434546[[#This Row],[Smoking-Attributable Fraction (SAF) of Healthcare Expenditures:
Adjusted for Intervention Impacts]]</f>
        <v>79041273.083237752</v>
      </c>
      <c r="AG43" s="66">
        <f>Table1536434546[[#This Row],[Total Private (Out-of-Pocket) Healthcare Expenditures:
Base Scenario]]*Table1536434546[[#This Row],[Smoking-Attributable Fraction (SAF) of Healthcare Expenditures: Lower Bound
Adjusted for Intervention Impacts]]</f>
        <v>67331454.848684028</v>
      </c>
      <c r="AH43" s="66">
        <f>Table1536434546[[#This Row],[Total Private (Out-of-Pocket) Healthcare Expenditures:
Base Scenario]]*Table1536434546[[#This Row],[Smoking-Attributable Fraction (SAF) of Healthcare Expenditures: Upper Bound
Adjusted for Intervention Impacts]]</f>
        <v>126856364.20766555</v>
      </c>
      <c r="AI43" s="65">
        <f>Table1536434546[[#This Row],[Total Other Health Expenditures:
Base Scenario]]*Table1536434546[[#This Row],[Smoking-Attributable Fraction (SAF) of Healthcare Expenditures:
Adjusted for Intervention Impacts]]</f>
        <v>8873656.4376192074</v>
      </c>
      <c r="AJ43" s="65">
        <f>Table1536434546[[#This Row],[Total Other Health Expenditures:
Base Scenario]]*Table1536434546[[#This Row],[Smoking-Attributable Fraction (SAF) of Healthcare Expenditures: Lower Bound
Adjusted for Intervention Impacts]]</f>
        <v>7559040.6690830309</v>
      </c>
      <c r="AK43" s="65">
        <f>Table1536434546[[#This Row],[Total Other Health Expenditures:
Base Scenario]]*Table1536434546[[#This Row],[Smoking-Attributable Fraction (SAF) of Healthcare Expenditures: Upper Bound
Adjusted for Intervention Impacts]]</f>
        <v>14241670.825808607</v>
      </c>
      <c r="AL43" s="76">
        <f>Table1536434546[[#This Row],[Smoking-Attributable Total Healthcare Expenditures:
Base Scenario]]-Table1536434546[[#This Row],[Smoking-Attributable Total Healthcare Expenditures:
Intervention Scenario]]</f>
        <v>66032895.617745906</v>
      </c>
      <c r="AM43" s="76">
        <f>Table1536434546[[#This Row],[Smoking-Attributable Total Healthcare Expenditures: Lower Bound
Base Scenario]]-Table1536434546[[#This Row],[Smoking-Attributable Total Healthcare Expenditures: Lower Bound
Intervention Scenario]]</f>
        <v>56250244.415116847</v>
      </c>
      <c r="AN43" s="76">
        <f>Table1536434546[[#This Row],[Smoking-Attributable Total Healthcare Expenditures: Upper Bound
Base Scenario]]-Table1536434546[[#This Row],[Smoking-Attributable Total Healthcare Expenditures: Upper Bound
Intervention Scenario]]</f>
        <v>105978721.36181438</v>
      </c>
      <c r="AO43" s="76">
        <f>Table1536434546[[#This Row],[Smoking-Attributable Government Healthcare Expenditures
(including national insurance):
Base Scenario]]-Table1536434546[[#This Row],[Smoking-Attributable Government Healthcare Expenditures
(including national insurance):
Intervention Scenario]]</f>
        <v>23942825.13860286</v>
      </c>
      <c r="AP43"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20395739.932883918</v>
      </c>
      <c r="AQ43"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38426756.395288527</v>
      </c>
      <c r="AR43" s="76">
        <f>Table1536434546[[#This Row],[Smoking-Attributable Private Healthcare Expenditures:
Base Scenario]]-Table1536434546[[#This Row],[Smoking-Attributable Private Healthcare Expenditures:
Intervention Scenario]]</f>
        <v>37841726.916762248</v>
      </c>
      <c r="AS43" s="76">
        <f>Table1536434546[[#This Row],[Smoking-Attributable Private Healthcare Expenditures: Lower Bound
Base Scenario]]-Table1536434546[[#This Row],[Smoking-Attributable Private Healthcare Expenditures: Lower Bound
Intervention Scenario]]</f>
        <v>32235545.151315987</v>
      </c>
      <c r="AT43" s="76">
        <f>Table1536434546[[#This Row],[Smoking-Attributable Private Healthcare Expenditures: Upper Bound
Base Scenario]]-Table1536434546[[#This Row],[Smoking-Attributable Private Healthcare Expenditures: Upper Bound
Intervention Scenario]]</f>
        <v>60733635.792334452</v>
      </c>
      <c r="AU43" s="76">
        <f>Table1536434546[[#This Row],[Smoking-Attributable Other Health Expenditures:
Base Scenario]]-Table1536434546[[#This Row],[Smoking-Attributable Other Health Expenditures:
Intervention Scenario]]</f>
        <v>4248343.5623807926</v>
      </c>
      <c r="AV43" s="235">
        <f>Table1536434546[[#This Row],[Smoking-Attributable Other Health Expenditures: Lower Bound
Base Scenario]]-Table1536434546[[#This Row],[Smoking-Attributable Other Health Expenditures: Lower Bound
Intervention Scenario]]</f>
        <v>3618959.330916971</v>
      </c>
      <c r="AW43" s="235">
        <f>Table1536434546[[#This Row],[Smoking-Attributable Other Health Expenditures: Upper Bound
Base Scenario]]-Table1536434546[[#This Row],[Smoking-Attributable Other Health Expenditures: Upper Bound
Intervention Scenario]]</f>
        <v>6818329.174191393</v>
      </c>
    </row>
    <row r="44" spans="2:49">
      <c r="B44" s="47">
        <v>10</v>
      </c>
      <c r="C44" s="48">
        <f t="shared" si="3"/>
        <v>2518000000</v>
      </c>
      <c r="D44" s="48">
        <f t="shared" si="4"/>
        <v>913000000</v>
      </c>
      <c r="E44" s="48">
        <f t="shared" si="5"/>
        <v>1443000000</v>
      </c>
      <c r="F44" s="48">
        <f t="shared" si="6"/>
        <v>162000000</v>
      </c>
      <c r="G44" s="232">
        <f t="shared" si="7"/>
        <v>8.1000000000000003E-2</v>
      </c>
      <c r="H44" s="46">
        <f t="shared" si="11"/>
        <v>6.9000000000000006E-2</v>
      </c>
      <c r="I44" s="46">
        <f t="shared" si="8"/>
        <v>0.13</v>
      </c>
      <c r="J44" s="43">
        <f>Table1536434546[[#This Row],[Total Healthcare Expenditures
(All Categories):
Base Scenario]]*Table1536434546[[#This Row],[Smoking-Attributable Fraction (SAF) of Healthcare Expenditures
Base Scenario]]</f>
        <v>203958000</v>
      </c>
      <c r="K44" s="43">
        <f>Table1536434546[[#This Row],[Total Healthcare Expenditures
(All Categories):
Base Scenario]]*Table1536434546[[#This Row],[Smoking-Attributable Fraction (SAF) of Healthcare Expenditures: Lower Bound
Base Scenario]]</f>
        <v>173742000</v>
      </c>
      <c r="L44" s="43">
        <f>Table1536434546[[#This Row],[Total Healthcare Expenditures
(All Categories):
Base Scenario]]*Table1536434546[[#This Row],[Smoking-Attributable Fraction (SAF) of Healthcare Expenditures: Upper Bound
Base Scenario]]</f>
        <v>327340000</v>
      </c>
      <c r="M44" s="43">
        <f>Table1536434546[[#This Row],[Total Government Healthcare Expenditures
(including national insurance):
Base Scenario]]*Table1536434546[[#This Row],[Smoking-Attributable Fraction (SAF) of Healthcare Expenditures
Base Scenario]]</f>
        <v>73953000</v>
      </c>
      <c r="N44" s="43">
        <f>Table1536434546[[#This Row],[Total Government Healthcare Expenditures
(including national insurance):
Base Scenario]]*Table1536434546[[#This Row],[Smoking-Attributable Fraction (SAF) of Healthcare Expenditures: Lower Bound
Base Scenario]]</f>
        <v>62997000.000000007</v>
      </c>
      <c r="O44" s="43">
        <f>Table1536434546[[#This Row],[Total Government Healthcare Expenditures
(including national insurance):
Base Scenario]]*Table1536434546[[#This Row],[Smoking-Attributable Fraction (SAF) of Healthcare Expenditures: Upper Bound
Base Scenario]]</f>
        <v>118690000</v>
      </c>
      <c r="P44" s="43">
        <f>Table1536434546[[#This Row],[Total Private (Out-of-Pocket) Healthcare Expenditures:
Base Scenario]]*Table1536434546[[#This Row],[Smoking-Attributable Fraction (SAF) of Healthcare Expenditures
Base Scenario]]</f>
        <v>116883000</v>
      </c>
      <c r="Q44" s="43">
        <f>Table1536434546[[#This Row],[Total Private (Out-of-Pocket) Healthcare Expenditures:
Base Scenario]]*Table1536434546[[#This Row],[Smoking-Attributable Fraction (SAF) of Healthcare Expenditures: Lower Bound
Base Scenario]]</f>
        <v>99567000.000000015</v>
      </c>
      <c r="R44" s="43">
        <f>Table1536434546[[#This Row],[Total Private (Out-of-Pocket) Healthcare Expenditures:
Base Scenario]]*Table1536434546[[#This Row],[Smoking-Attributable Fraction (SAF) of Healthcare Expenditures: Upper Bound
Base Scenario]]</f>
        <v>187590000</v>
      </c>
      <c r="S44" s="43">
        <f>Table1536434546[[#This Row],[Total Other Health Expenditures:
Base Scenario]]*Table1536434546[[#This Row],[Smoking-Attributable Fraction (SAF) of Healthcare Expenditures
Base Scenario]]</f>
        <v>13122000</v>
      </c>
      <c r="T44" s="43">
        <f>Table1536434546[[#This Row],[Total Other Health Expenditures:
Base Scenario]]*Table1536434546[[#This Row],[Smoking-Attributable Fraction (SAF) of Healthcare Expenditures: Lower Bound
Base Scenario]]</f>
        <v>11178000.000000002</v>
      </c>
      <c r="U44" s="43">
        <f>Table1536434546[[#This Row],[Total Other Health Expenditures:
Base Scenario]]*Table1536434546[[#This Row],[Smoking-Attributable Fraction (SAF) of Healthcare Expenditures: Upper Bound
Base Scenario]]</f>
        <v>21060000</v>
      </c>
      <c r="V44" s="62">
        <v>-1.2411482254697298E-2</v>
      </c>
      <c r="W44" s="60">
        <f>W43*(1+Table1536434546[[#This Row],[Relative Change in Smoking Prevalence:
All Interventions Combined]])</f>
        <v>5.4095809927218616E-2</v>
      </c>
      <c r="X44" s="60">
        <f>X43*(1+Table1536434546[[#This Row],[Relative Change in Smoking Prevalence:
All Interventions Combined]])</f>
        <v>4.6081615863926978E-2</v>
      </c>
      <c r="Y44" s="60">
        <f>Y43*(1+Table1536434546[[#This Row],[Relative Change in Smoking Prevalence:
All Interventions Combined]])</f>
        <v>8.6820435685659517E-2</v>
      </c>
      <c r="Z44" s="66">
        <f>Table1536434546[[#This Row],[Total Healthcare Expenditures
(All Categories):
Base Scenario]]*Table1536434546[[#This Row],[Smoking-Attributable Fraction (SAF) of Healthcare Expenditures:
Adjusted for Intervention Impacts]]</f>
        <v>136213249.39673647</v>
      </c>
      <c r="AA44" s="64">
        <f>Table1536434546[[#This Row],[Total Healthcare Expenditures
(All Categories):
Base Scenario]]*Table1536434546[[#This Row],[Smoking-Attributable Fraction (SAF) of Healthcare Expenditures: Lower Bound
Adjusted for Intervention Impacts]]</f>
        <v>116033508.74536812</v>
      </c>
      <c r="AB44" s="66">
        <f>Table1536434546[[#This Row],[Total Healthcare Expenditures
(All Categories):
Base Scenario]]*Table1536434546[[#This Row],[Smoking-Attributable Fraction (SAF) of Healthcare Expenditures: Upper Bound
Adjusted for Intervention Impacts]]</f>
        <v>218613857.05649066</v>
      </c>
      <c r="AC44" s="66">
        <f>Table1536434546[[#This Row],[Total Government Healthcare Expenditures
(including national insurance):
Base Scenario]]*Table1536434546[[#This Row],[Smoking-Attributable Fraction (SAF) of Healthcare Expenditures:
Adjusted for Intervention Impacts]]</f>
        <v>49389474.463550597</v>
      </c>
      <c r="AD44" s="66">
        <f>Table1536434546[[#This Row],[Total Government Healthcare Expenditures
(including national insurance):
Base Scenario]]*Table1536434546[[#This Row],[Smoking-Attributable Fraction (SAF) of Healthcare Expenditures: Lower Bound
Adjusted for Intervention Impacts]]</f>
        <v>42072515.283765331</v>
      </c>
      <c r="AE44" s="66">
        <f>Table1536434546[[#This Row],[Total Government Healthcare Expenditures
(including national insurance):
Base Scenario]]*Table1536434546[[#This Row],[Smoking-Attributable Fraction (SAF) of Healthcare Expenditures: Upper Bound
Adjusted for Intervention Impacts]]</f>
        <v>79267057.781007141</v>
      </c>
      <c r="AF44" s="66">
        <f>Table1536434546[[#This Row],[Total Private (Out-of-Pocket) Healthcare Expenditures:
Base Scenario]]*Table1536434546[[#This Row],[Smoking-Attributable Fraction (SAF) of Healthcare Expenditures:
Adjusted for Intervention Impacts]]</f>
        <v>78060253.724976465</v>
      </c>
      <c r="AG44" s="66">
        <f>Table1536434546[[#This Row],[Total Private (Out-of-Pocket) Healthcare Expenditures:
Base Scenario]]*Table1536434546[[#This Row],[Smoking-Attributable Fraction (SAF) of Healthcare Expenditures: Lower Bound
Adjusted for Intervention Impacts]]</f>
        <v>66495771.691646628</v>
      </c>
      <c r="AH44" s="66">
        <f>Table1536434546[[#This Row],[Total Private (Out-of-Pocket) Healthcare Expenditures:
Base Scenario]]*Table1536434546[[#This Row],[Smoking-Attributable Fraction (SAF) of Healthcare Expenditures: Upper Bound
Adjusted for Intervention Impacts]]</f>
        <v>125281888.69440669</v>
      </c>
      <c r="AI44" s="65">
        <f>Table1536434546[[#This Row],[Total Other Health Expenditures:
Base Scenario]]*Table1536434546[[#This Row],[Smoking-Attributable Fraction (SAF) of Healthcare Expenditures:
Adjusted for Intervention Impacts]]</f>
        <v>8763521.2082094159</v>
      </c>
      <c r="AJ44" s="65">
        <f>Table1536434546[[#This Row],[Total Other Health Expenditures:
Base Scenario]]*Table1536434546[[#This Row],[Smoking-Attributable Fraction (SAF) of Healthcare Expenditures: Lower Bound
Adjusted for Intervention Impacts]]</f>
        <v>7465221.7699561706</v>
      </c>
      <c r="AK44" s="65">
        <f>Table1536434546[[#This Row],[Total Other Health Expenditures:
Base Scenario]]*Table1536434546[[#This Row],[Smoking-Attributable Fraction (SAF) of Healthcare Expenditures: Upper Bound
Adjusted for Intervention Impacts]]</f>
        <v>14064910.581076842</v>
      </c>
      <c r="AL44" s="76">
        <f>Table1536434546[[#This Row],[Smoking-Attributable Total Healthcare Expenditures:
Base Scenario]]-Table1536434546[[#This Row],[Smoking-Attributable Total Healthcare Expenditures:
Intervention Scenario]]</f>
        <v>67744750.603263527</v>
      </c>
      <c r="AM44" s="76">
        <f>Table1536434546[[#This Row],[Smoking-Attributable Total Healthcare Expenditures: Lower Bound
Base Scenario]]-Table1536434546[[#This Row],[Smoking-Attributable Total Healthcare Expenditures: Lower Bound
Intervention Scenario]]</f>
        <v>57708491.254631877</v>
      </c>
      <c r="AN44" s="76">
        <f>Table1536434546[[#This Row],[Smoking-Attributable Total Healthcare Expenditures: Upper Bound
Base Scenario]]-Table1536434546[[#This Row],[Smoking-Attributable Total Healthcare Expenditures: Upper Bound
Intervention Scenario]]</f>
        <v>108726142.94350934</v>
      </c>
      <c r="AO44" s="76">
        <f>Table1536434546[[#This Row],[Smoking-Attributable Government Healthcare Expenditures
(including national insurance):
Base Scenario]]-Table1536434546[[#This Row],[Smoking-Attributable Government Healthcare Expenditures
(including national insurance):
Intervention Scenario]]</f>
        <v>24563525.536449403</v>
      </c>
      <c r="AP44"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20924484.716234677</v>
      </c>
      <c r="AQ44"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39422942.218992859</v>
      </c>
      <c r="AR44" s="76">
        <f>Table1536434546[[#This Row],[Smoking-Attributable Private Healthcare Expenditures:
Base Scenario]]-Table1536434546[[#This Row],[Smoking-Attributable Private Healthcare Expenditures:
Intervention Scenario]]</f>
        <v>38822746.275023535</v>
      </c>
      <c r="AS44" s="76">
        <f>Table1536434546[[#This Row],[Smoking-Attributable Private Healthcare Expenditures: Lower Bound
Base Scenario]]-Table1536434546[[#This Row],[Smoking-Attributable Private Healthcare Expenditures: Lower Bound
Intervention Scenario]]</f>
        <v>33071228.308353387</v>
      </c>
      <c r="AT44" s="76">
        <f>Table1536434546[[#This Row],[Smoking-Attributable Private Healthcare Expenditures: Upper Bound
Base Scenario]]-Table1536434546[[#This Row],[Smoking-Attributable Private Healthcare Expenditures: Upper Bound
Intervention Scenario]]</f>
        <v>62308111.305593312</v>
      </c>
      <c r="AU44" s="76">
        <f>Table1536434546[[#This Row],[Smoking-Attributable Other Health Expenditures:
Base Scenario]]-Table1536434546[[#This Row],[Smoking-Attributable Other Health Expenditures:
Intervention Scenario]]</f>
        <v>4358478.7917905841</v>
      </c>
      <c r="AV44" s="235">
        <f>Table1536434546[[#This Row],[Smoking-Attributable Other Health Expenditures: Lower Bound
Base Scenario]]-Table1536434546[[#This Row],[Smoking-Attributable Other Health Expenditures: Lower Bound
Intervention Scenario]]</f>
        <v>3712778.2300438313</v>
      </c>
      <c r="AW44" s="235">
        <f>Table1536434546[[#This Row],[Smoking-Attributable Other Health Expenditures: Upper Bound
Base Scenario]]-Table1536434546[[#This Row],[Smoking-Attributable Other Health Expenditures: Upper Bound
Intervention Scenario]]</f>
        <v>6995089.4189231582</v>
      </c>
    </row>
    <row r="45" spans="2:49">
      <c r="B45" s="47">
        <v>11</v>
      </c>
      <c r="C45" s="48">
        <f t="shared" si="3"/>
        <v>2518000000</v>
      </c>
      <c r="D45" s="48">
        <f t="shared" si="4"/>
        <v>913000000</v>
      </c>
      <c r="E45" s="48">
        <f t="shared" si="5"/>
        <v>1443000000</v>
      </c>
      <c r="F45" s="48">
        <f t="shared" si="6"/>
        <v>162000000</v>
      </c>
      <c r="G45" s="232">
        <f t="shared" si="7"/>
        <v>8.1000000000000003E-2</v>
      </c>
      <c r="H45" s="46">
        <f t="shared" si="11"/>
        <v>6.9000000000000006E-2</v>
      </c>
      <c r="I45" s="46">
        <f t="shared" si="8"/>
        <v>0.13</v>
      </c>
      <c r="J45" s="43">
        <f>Table1536434546[[#This Row],[Total Healthcare Expenditures
(All Categories):
Base Scenario]]*Table1536434546[[#This Row],[Smoking-Attributable Fraction (SAF) of Healthcare Expenditures
Base Scenario]]</f>
        <v>203958000</v>
      </c>
      <c r="K45" s="43">
        <f>Table1536434546[[#This Row],[Total Healthcare Expenditures
(All Categories):
Base Scenario]]*Table1536434546[[#This Row],[Smoking-Attributable Fraction (SAF) of Healthcare Expenditures: Lower Bound
Base Scenario]]</f>
        <v>173742000</v>
      </c>
      <c r="L45" s="43">
        <f>Table1536434546[[#This Row],[Total Healthcare Expenditures
(All Categories):
Base Scenario]]*Table1536434546[[#This Row],[Smoking-Attributable Fraction (SAF) of Healthcare Expenditures: Upper Bound
Base Scenario]]</f>
        <v>327340000</v>
      </c>
      <c r="M45" s="43">
        <f>Table1536434546[[#This Row],[Total Government Healthcare Expenditures
(including national insurance):
Base Scenario]]*Table1536434546[[#This Row],[Smoking-Attributable Fraction (SAF) of Healthcare Expenditures
Base Scenario]]</f>
        <v>73953000</v>
      </c>
      <c r="N45" s="43">
        <f>Table1536434546[[#This Row],[Total Government Healthcare Expenditures
(including national insurance):
Base Scenario]]*Table1536434546[[#This Row],[Smoking-Attributable Fraction (SAF) of Healthcare Expenditures: Lower Bound
Base Scenario]]</f>
        <v>62997000.000000007</v>
      </c>
      <c r="O45" s="43">
        <f>Table1536434546[[#This Row],[Total Government Healthcare Expenditures
(including national insurance):
Base Scenario]]*Table1536434546[[#This Row],[Smoking-Attributable Fraction (SAF) of Healthcare Expenditures: Upper Bound
Base Scenario]]</f>
        <v>118690000</v>
      </c>
      <c r="P45" s="43">
        <f>Table1536434546[[#This Row],[Total Private (Out-of-Pocket) Healthcare Expenditures:
Base Scenario]]*Table1536434546[[#This Row],[Smoking-Attributable Fraction (SAF) of Healthcare Expenditures
Base Scenario]]</f>
        <v>116883000</v>
      </c>
      <c r="Q45" s="43">
        <f>Table1536434546[[#This Row],[Total Private (Out-of-Pocket) Healthcare Expenditures:
Base Scenario]]*Table1536434546[[#This Row],[Smoking-Attributable Fraction (SAF) of Healthcare Expenditures: Lower Bound
Base Scenario]]</f>
        <v>99567000.000000015</v>
      </c>
      <c r="R45" s="43">
        <f>Table1536434546[[#This Row],[Total Private (Out-of-Pocket) Healthcare Expenditures:
Base Scenario]]*Table1536434546[[#This Row],[Smoking-Attributable Fraction (SAF) of Healthcare Expenditures: Upper Bound
Base Scenario]]</f>
        <v>187590000</v>
      </c>
      <c r="S45" s="43">
        <f>Table1536434546[[#This Row],[Total Other Health Expenditures:
Base Scenario]]*Table1536434546[[#This Row],[Smoking-Attributable Fraction (SAF) of Healthcare Expenditures
Base Scenario]]</f>
        <v>13122000</v>
      </c>
      <c r="T45" s="43">
        <f>Table1536434546[[#This Row],[Total Other Health Expenditures:
Base Scenario]]*Table1536434546[[#This Row],[Smoking-Attributable Fraction (SAF) of Healthcare Expenditures: Lower Bound
Base Scenario]]</f>
        <v>11178000.000000002</v>
      </c>
      <c r="U45" s="43">
        <f>Table1536434546[[#This Row],[Total Other Health Expenditures:
Base Scenario]]*Table1536434546[[#This Row],[Smoking-Attributable Fraction (SAF) of Healthcare Expenditures: Upper Bound
Base Scenario]]</f>
        <v>21060000</v>
      </c>
      <c r="V45" s="62">
        <v>-1.2411482254697298E-2</v>
      </c>
      <c r="W45" s="60">
        <f>W44*(1+Table1536434546[[#This Row],[Relative Change in Smoking Prevalence:
All Interventions Combined]])</f>
        <v>5.3424400742253464E-2</v>
      </c>
      <c r="X45" s="60">
        <f>X44*(1+Table1536434546[[#This Row],[Relative Change in Smoking Prevalence:
All Interventions Combined]])</f>
        <v>4.5509674706364071E-2</v>
      </c>
      <c r="Y45" s="60">
        <f>Y44*(1+Table1536434546[[#This Row],[Relative Change in Smoking Prevalence:
All Interventions Combined]])</f>
        <v>8.5742865388801867E-2</v>
      </c>
      <c r="Z45" s="66">
        <f>Table1536434546[[#This Row],[Total Healthcare Expenditures
(All Categories):
Base Scenario]]*Table1536434546[[#This Row],[Smoking-Attributable Fraction (SAF) of Healthcare Expenditures:
Adjusted for Intervention Impacts]]</f>
        <v>134522641.06899422</v>
      </c>
      <c r="AA45" s="64">
        <f>Table1536434546[[#This Row],[Total Healthcare Expenditures
(All Categories):
Base Scenario]]*Table1536434546[[#This Row],[Smoking-Attributable Fraction (SAF) of Healthcare Expenditures: Lower Bound
Adjusted for Intervention Impacts]]</f>
        <v>114593360.91062473</v>
      </c>
      <c r="AB45" s="66">
        <f>Table1536434546[[#This Row],[Total Healthcare Expenditures
(All Categories):
Base Scenario]]*Table1536434546[[#This Row],[Smoking-Attributable Fraction (SAF) of Healthcare Expenditures: Upper Bound
Adjusted for Intervention Impacts]]</f>
        <v>215900535.04900309</v>
      </c>
      <c r="AC45" s="66">
        <f>Table1536434546[[#This Row],[Total Government Healthcare Expenditures
(including national insurance):
Base Scenario]]*Table1536434546[[#This Row],[Smoking-Attributable Fraction (SAF) of Healthcare Expenditures:
Adjusted for Intervention Impacts]]</f>
        <v>48776477.877677411</v>
      </c>
      <c r="AD45" s="66">
        <f>Table1536434546[[#This Row],[Total Government Healthcare Expenditures
(including national insurance):
Base Scenario]]*Table1536434546[[#This Row],[Smoking-Attributable Fraction (SAF) of Healthcare Expenditures: Lower Bound
Adjusted for Intervention Impacts]]</f>
        <v>41550333.006910399</v>
      </c>
      <c r="AE45" s="66">
        <f>Table1536434546[[#This Row],[Total Government Healthcare Expenditures
(including national insurance):
Base Scenario]]*Table1536434546[[#This Row],[Smoking-Attributable Fraction (SAF) of Healthcare Expenditures: Upper Bound
Adjusted for Intervention Impacts]]</f>
        <v>78283236.099976107</v>
      </c>
      <c r="AF45" s="66">
        <f>Table1536434546[[#This Row],[Total Private (Out-of-Pocket) Healthcare Expenditures:
Base Scenario]]*Table1536434546[[#This Row],[Smoking-Attributable Fraction (SAF) of Healthcare Expenditures:
Adjusted for Intervention Impacts]]</f>
        <v>77091410.271071747</v>
      </c>
      <c r="AG45" s="66">
        <f>Table1536434546[[#This Row],[Total Private (Out-of-Pocket) Healthcare Expenditures:
Base Scenario]]*Table1536434546[[#This Row],[Smoking-Attributable Fraction (SAF) of Healthcare Expenditures: Lower Bound
Adjusted for Intervention Impacts]]</f>
        <v>65670460.601283357</v>
      </c>
      <c r="AH45" s="66">
        <f>Table1536434546[[#This Row],[Total Private (Out-of-Pocket) Healthcare Expenditures:
Base Scenario]]*Table1536434546[[#This Row],[Smoking-Attributable Fraction (SAF) of Healthcare Expenditures: Upper Bound
Adjusted for Intervention Impacts]]</f>
        <v>123726954.75604109</v>
      </c>
      <c r="AI45" s="65">
        <f>Table1536434546[[#This Row],[Total Other Health Expenditures:
Base Scenario]]*Table1536434546[[#This Row],[Smoking-Attributable Fraction (SAF) of Healthcare Expenditures:
Adjusted for Intervention Impacts]]</f>
        <v>8654752.9202450607</v>
      </c>
      <c r="AJ45" s="65">
        <f>Table1536434546[[#This Row],[Total Other Health Expenditures:
Base Scenario]]*Table1536434546[[#This Row],[Smoking-Attributable Fraction (SAF) of Healthcare Expenditures: Lower Bound
Adjusted for Intervention Impacts]]</f>
        <v>7372567.3024309799</v>
      </c>
      <c r="AK45" s="65">
        <f>Table1536434546[[#This Row],[Total Other Health Expenditures:
Base Scenario]]*Table1536434546[[#This Row],[Smoking-Attributable Fraction (SAF) of Healthcare Expenditures: Upper Bound
Adjusted for Intervention Impacts]]</f>
        <v>13890344.192985902</v>
      </c>
      <c r="AL45" s="76">
        <f>Table1536434546[[#This Row],[Smoking-Attributable Total Healthcare Expenditures:
Base Scenario]]-Table1536434546[[#This Row],[Smoking-Attributable Total Healthcare Expenditures:
Intervention Scenario]]</f>
        <v>69435358.931005776</v>
      </c>
      <c r="AM45" s="76">
        <f>Table1536434546[[#This Row],[Smoking-Attributable Total Healthcare Expenditures: Lower Bound
Base Scenario]]-Table1536434546[[#This Row],[Smoking-Attributable Total Healthcare Expenditures: Lower Bound
Intervention Scenario]]</f>
        <v>59148639.089375272</v>
      </c>
      <c r="AN45" s="76">
        <f>Table1536434546[[#This Row],[Smoking-Attributable Total Healthcare Expenditures: Upper Bound
Base Scenario]]-Table1536434546[[#This Row],[Smoking-Attributable Total Healthcare Expenditures: Upper Bound
Intervention Scenario]]</f>
        <v>111439464.95099691</v>
      </c>
      <c r="AO45" s="76">
        <f>Table1536434546[[#This Row],[Smoking-Attributable Government Healthcare Expenditures
(including national insurance):
Base Scenario]]-Table1536434546[[#This Row],[Smoking-Attributable Government Healthcare Expenditures
(including national insurance):
Intervention Scenario]]</f>
        <v>25176522.122322589</v>
      </c>
      <c r="AP45"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21446666.993089609</v>
      </c>
      <c r="AQ45"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40406763.900023893</v>
      </c>
      <c r="AR45" s="76">
        <f>Table1536434546[[#This Row],[Smoking-Attributable Private Healthcare Expenditures:
Base Scenario]]-Table1536434546[[#This Row],[Smoking-Attributable Private Healthcare Expenditures:
Intervention Scenario]]</f>
        <v>39791589.728928253</v>
      </c>
      <c r="AS45" s="76">
        <f>Table1536434546[[#This Row],[Smoking-Attributable Private Healthcare Expenditures: Lower Bound
Base Scenario]]-Table1536434546[[#This Row],[Smoking-Attributable Private Healthcare Expenditures: Lower Bound
Intervention Scenario]]</f>
        <v>33896539.398716658</v>
      </c>
      <c r="AT45" s="76">
        <f>Table1536434546[[#This Row],[Smoking-Attributable Private Healthcare Expenditures: Upper Bound
Base Scenario]]-Table1536434546[[#This Row],[Smoking-Attributable Private Healthcare Expenditures: Upper Bound
Intervention Scenario]]</f>
        <v>63863045.243958905</v>
      </c>
      <c r="AU45" s="76">
        <f>Table1536434546[[#This Row],[Smoking-Attributable Other Health Expenditures:
Base Scenario]]-Table1536434546[[#This Row],[Smoking-Attributable Other Health Expenditures:
Intervention Scenario]]</f>
        <v>4467247.0797549393</v>
      </c>
      <c r="AV45" s="235">
        <f>Table1536434546[[#This Row],[Smoking-Attributable Other Health Expenditures: Lower Bound
Base Scenario]]-Table1536434546[[#This Row],[Smoking-Attributable Other Health Expenditures: Lower Bound
Intervention Scenario]]</f>
        <v>3805432.697569022</v>
      </c>
      <c r="AW45" s="235">
        <f>Table1536434546[[#This Row],[Smoking-Attributable Other Health Expenditures: Upper Bound
Base Scenario]]-Table1536434546[[#This Row],[Smoking-Attributable Other Health Expenditures: Upper Bound
Intervention Scenario]]</f>
        <v>7169655.8070140984</v>
      </c>
    </row>
    <row r="46" spans="2:49">
      <c r="B46" s="47">
        <v>12</v>
      </c>
      <c r="C46" s="48">
        <f t="shared" si="3"/>
        <v>2518000000</v>
      </c>
      <c r="D46" s="48">
        <f t="shared" si="4"/>
        <v>913000000</v>
      </c>
      <c r="E46" s="48">
        <f t="shared" si="5"/>
        <v>1443000000</v>
      </c>
      <c r="F46" s="48">
        <f t="shared" si="6"/>
        <v>162000000</v>
      </c>
      <c r="G46" s="232">
        <f t="shared" si="7"/>
        <v>8.1000000000000003E-2</v>
      </c>
      <c r="H46" s="46">
        <f t="shared" si="11"/>
        <v>6.9000000000000006E-2</v>
      </c>
      <c r="I46" s="46">
        <f t="shared" si="8"/>
        <v>0.13</v>
      </c>
      <c r="J46" s="43">
        <f>Table1536434546[[#This Row],[Total Healthcare Expenditures
(All Categories):
Base Scenario]]*Table1536434546[[#This Row],[Smoking-Attributable Fraction (SAF) of Healthcare Expenditures
Base Scenario]]</f>
        <v>203958000</v>
      </c>
      <c r="K46" s="43">
        <f>Table1536434546[[#This Row],[Total Healthcare Expenditures
(All Categories):
Base Scenario]]*Table1536434546[[#This Row],[Smoking-Attributable Fraction (SAF) of Healthcare Expenditures: Lower Bound
Base Scenario]]</f>
        <v>173742000</v>
      </c>
      <c r="L46" s="43">
        <f>Table1536434546[[#This Row],[Total Healthcare Expenditures
(All Categories):
Base Scenario]]*Table1536434546[[#This Row],[Smoking-Attributable Fraction (SAF) of Healthcare Expenditures: Upper Bound
Base Scenario]]</f>
        <v>327340000</v>
      </c>
      <c r="M46" s="43">
        <f>Table1536434546[[#This Row],[Total Government Healthcare Expenditures
(including national insurance):
Base Scenario]]*Table1536434546[[#This Row],[Smoking-Attributable Fraction (SAF) of Healthcare Expenditures
Base Scenario]]</f>
        <v>73953000</v>
      </c>
      <c r="N46" s="43">
        <f>Table1536434546[[#This Row],[Total Government Healthcare Expenditures
(including national insurance):
Base Scenario]]*Table1536434546[[#This Row],[Smoking-Attributable Fraction (SAF) of Healthcare Expenditures: Lower Bound
Base Scenario]]</f>
        <v>62997000.000000007</v>
      </c>
      <c r="O46" s="43">
        <f>Table1536434546[[#This Row],[Total Government Healthcare Expenditures
(including national insurance):
Base Scenario]]*Table1536434546[[#This Row],[Smoking-Attributable Fraction (SAF) of Healthcare Expenditures: Upper Bound
Base Scenario]]</f>
        <v>118690000</v>
      </c>
      <c r="P46" s="43">
        <f>Table1536434546[[#This Row],[Total Private (Out-of-Pocket) Healthcare Expenditures:
Base Scenario]]*Table1536434546[[#This Row],[Smoking-Attributable Fraction (SAF) of Healthcare Expenditures
Base Scenario]]</f>
        <v>116883000</v>
      </c>
      <c r="Q46" s="43">
        <f>Table1536434546[[#This Row],[Total Private (Out-of-Pocket) Healthcare Expenditures:
Base Scenario]]*Table1536434546[[#This Row],[Smoking-Attributable Fraction (SAF) of Healthcare Expenditures: Lower Bound
Base Scenario]]</f>
        <v>99567000.000000015</v>
      </c>
      <c r="R46" s="43">
        <f>Table1536434546[[#This Row],[Total Private (Out-of-Pocket) Healthcare Expenditures:
Base Scenario]]*Table1536434546[[#This Row],[Smoking-Attributable Fraction (SAF) of Healthcare Expenditures: Upper Bound
Base Scenario]]</f>
        <v>187590000</v>
      </c>
      <c r="S46" s="43">
        <f>Table1536434546[[#This Row],[Total Other Health Expenditures:
Base Scenario]]*Table1536434546[[#This Row],[Smoking-Attributable Fraction (SAF) of Healthcare Expenditures
Base Scenario]]</f>
        <v>13122000</v>
      </c>
      <c r="T46" s="43">
        <f>Table1536434546[[#This Row],[Total Other Health Expenditures:
Base Scenario]]*Table1536434546[[#This Row],[Smoking-Attributable Fraction (SAF) of Healthcare Expenditures: Lower Bound
Base Scenario]]</f>
        <v>11178000.000000002</v>
      </c>
      <c r="U46" s="43">
        <f>Table1536434546[[#This Row],[Total Other Health Expenditures:
Base Scenario]]*Table1536434546[[#This Row],[Smoking-Attributable Fraction (SAF) of Healthcare Expenditures: Upper Bound
Base Scenario]]</f>
        <v>21060000</v>
      </c>
      <c r="V46" s="62">
        <v>-1.2411482254697298E-2</v>
      </c>
      <c r="W46" s="60">
        <f>W45*(1+Table1536434546[[#This Row],[Relative Change in Smoking Prevalence:
All Interventions Combined]])</f>
        <v>5.2761324740473146E-2</v>
      </c>
      <c r="X46" s="60">
        <f>X45*(1+Table1536434546[[#This Row],[Relative Change in Smoking Prevalence:
All Interventions Combined]])</f>
        <v>4.4944832186328984E-2</v>
      </c>
      <c r="Y46" s="60">
        <f>Y45*(1+Table1536434546[[#This Row],[Relative Change in Smoking Prevalence:
All Interventions Combined]])</f>
        <v>8.4678669336561846E-2</v>
      </c>
      <c r="Z46" s="66">
        <f>Table1536434546[[#This Row],[Total Healthcare Expenditures
(All Categories):
Base Scenario]]*Table1536434546[[#This Row],[Smoking-Attributable Fraction (SAF) of Healthcare Expenditures:
Adjusted for Intervention Impacts]]</f>
        <v>132853015.69651139</v>
      </c>
      <c r="AA46" s="64">
        <f>Table1536434546[[#This Row],[Total Healthcare Expenditures
(All Categories):
Base Scenario]]*Table1536434546[[#This Row],[Smoking-Attributable Fraction (SAF) of Healthcare Expenditures: Lower Bound
Adjusted for Intervention Impacts]]</f>
        <v>113171087.44517638</v>
      </c>
      <c r="AB46" s="66">
        <f>Table1536434546[[#This Row],[Total Healthcare Expenditures
(All Categories):
Base Scenario]]*Table1536434546[[#This Row],[Smoking-Attributable Fraction (SAF) of Healthcare Expenditures: Upper Bound
Adjusted for Intervention Impacts]]</f>
        <v>213220889.38946274</v>
      </c>
      <c r="AC46" s="66">
        <f>Table1536434546[[#This Row],[Total Government Healthcare Expenditures
(including national insurance):
Base Scenario]]*Table1536434546[[#This Row],[Smoking-Attributable Fraction (SAF) of Healthcare Expenditures:
Adjusted for Intervention Impacts]]</f>
        <v>48171089.488051981</v>
      </c>
      <c r="AD46" s="66">
        <f>Table1536434546[[#This Row],[Total Government Healthcare Expenditures
(including national insurance):
Base Scenario]]*Table1536434546[[#This Row],[Smoking-Attributable Fraction (SAF) of Healthcare Expenditures: Lower Bound
Adjusted for Intervention Impacts]]</f>
        <v>41034631.786118366</v>
      </c>
      <c r="AE46" s="66">
        <f>Table1536434546[[#This Row],[Total Government Healthcare Expenditures
(including national insurance):
Base Scenario]]*Table1536434546[[#This Row],[Smoking-Attributable Fraction (SAF) of Healthcare Expenditures: Upper Bound
Adjusted for Intervention Impacts]]</f>
        <v>77311625.104280964</v>
      </c>
      <c r="AF46" s="66">
        <f>Table1536434546[[#This Row],[Total Private (Out-of-Pocket) Healthcare Expenditures:
Base Scenario]]*Table1536434546[[#This Row],[Smoking-Attributable Fraction (SAF) of Healthcare Expenditures:
Adjusted for Intervention Impacts]]</f>
        <v>76134591.600502744</v>
      </c>
      <c r="AG46" s="66">
        <f>Table1536434546[[#This Row],[Total Private (Out-of-Pocket) Healthcare Expenditures:
Base Scenario]]*Table1536434546[[#This Row],[Smoking-Attributable Fraction (SAF) of Healthcare Expenditures: Lower Bound
Adjusted for Intervention Impacts]]</f>
        <v>64855392.844872721</v>
      </c>
      <c r="AH46" s="66">
        <f>Table1536434546[[#This Row],[Total Private (Out-of-Pocket) Healthcare Expenditures:
Base Scenario]]*Table1536434546[[#This Row],[Smoking-Attributable Fraction (SAF) of Healthcare Expenditures: Upper Bound
Adjusted for Intervention Impacts]]</f>
        <v>122191319.85265875</v>
      </c>
      <c r="AI46" s="65">
        <f>Table1536434546[[#This Row],[Total Other Health Expenditures:
Base Scenario]]*Table1536434546[[#This Row],[Smoking-Attributable Fraction (SAF) of Healthcare Expenditures:
Adjusted for Intervention Impacts]]</f>
        <v>8547334.6079566497</v>
      </c>
      <c r="AJ46" s="65">
        <f>Table1536434546[[#This Row],[Total Other Health Expenditures:
Base Scenario]]*Table1536434546[[#This Row],[Smoking-Attributable Fraction (SAF) of Healthcare Expenditures: Lower Bound
Adjusted for Intervention Impacts]]</f>
        <v>7281062.8141852953</v>
      </c>
      <c r="AK46" s="65">
        <f>Table1536434546[[#This Row],[Total Other Health Expenditures:
Base Scenario]]*Table1536434546[[#This Row],[Smoking-Attributable Fraction (SAF) of Healthcare Expenditures: Upper Bound
Adjusted for Intervention Impacts]]</f>
        <v>13717944.43252302</v>
      </c>
      <c r="AL46" s="76">
        <f>Table1536434546[[#This Row],[Smoking-Attributable Total Healthcare Expenditures:
Base Scenario]]-Table1536434546[[#This Row],[Smoking-Attributable Total Healthcare Expenditures:
Intervention Scenario]]</f>
        <v>71104984.303488612</v>
      </c>
      <c r="AM46" s="76">
        <f>Table1536434546[[#This Row],[Smoking-Attributable Total Healthcare Expenditures: Lower Bound
Base Scenario]]-Table1536434546[[#This Row],[Smoking-Attributable Total Healthcare Expenditures: Lower Bound
Intervention Scenario]]</f>
        <v>60570912.554823622</v>
      </c>
      <c r="AN46" s="76">
        <f>Table1536434546[[#This Row],[Smoking-Attributable Total Healthcare Expenditures: Upper Bound
Base Scenario]]-Table1536434546[[#This Row],[Smoking-Attributable Total Healthcare Expenditures: Upper Bound
Intervention Scenario]]</f>
        <v>114119110.61053726</v>
      </c>
      <c r="AO46" s="76">
        <f>Table1536434546[[#This Row],[Smoking-Attributable Government Healthcare Expenditures
(including national insurance):
Base Scenario]]-Table1536434546[[#This Row],[Smoking-Attributable Government Healthcare Expenditures
(including national insurance):
Intervention Scenario]]</f>
        <v>25781910.511948019</v>
      </c>
      <c r="AP46"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21962368.213881642</v>
      </c>
      <c r="AQ46"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41378374.895719036</v>
      </c>
      <c r="AR46" s="76">
        <f>Table1536434546[[#This Row],[Smoking-Attributable Private Healthcare Expenditures:
Base Scenario]]-Table1536434546[[#This Row],[Smoking-Attributable Private Healthcare Expenditures:
Intervention Scenario]]</f>
        <v>40748408.399497256</v>
      </c>
      <c r="AS46" s="76">
        <f>Table1536434546[[#This Row],[Smoking-Attributable Private Healthcare Expenditures: Lower Bound
Base Scenario]]-Table1536434546[[#This Row],[Smoking-Attributable Private Healthcare Expenditures: Lower Bound
Intervention Scenario]]</f>
        <v>34711607.155127294</v>
      </c>
      <c r="AT46" s="76">
        <f>Table1536434546[[#This Row],[Smoking-Attributable Private Healthcare Expenditures: Upper Bound
Base Scenario]]-Table1536434546[[#This Row],[Smoking-Attributable Private Healthcare Expenditures: Upper Bound
Intervention Scenario]]</f>
        <v>65398680.147341251</v>
      </c>
      <c r="AU46" s="76">
        <f>Table1536434546[[#This Row],[Smoking-Attributable Other Health Expenditures:
Base Scenario]]-Table1536434546[[#This Row],[Smoking-Attributable Other Health Expenditures:
Intervention Scenario]]</f>
        <v>4574665.3920433503</v>
      </c>
      <c r="AV46" s="235">
        <f>Table1536434546[[#This Row],[Smoking-Attributable Other Health Expenditures: Lower Bound
Base Scenario]]-Table1536434546[[#This Row],[Smoking-Attributable Other Health Expenditures: Lower Bound
Intervention Scenario]]</f>
        <v>3896937.1858147066</v>
      </c>
      <c r="AW46" s="235">
        <f>Table1536434546[[#This Row],[Smoking-Attributable Other Health Expenditures: Upper Bound
Base Scenario]]-Table1536434546[[#This Row],[Smoking-Attributable Other Health Expenditures: Upper Bound
Intervention Scenario]]</f>
        <v>7342055.5674769804</v>
      </c>
    </row>
    <row r="47" spans="2:49">
      <c r="B47" s="47">
        <v>13</v>
      </c>
      <c r="C47" s="48">
        <f t="shared" si="3"/>
        <v>2518000000</v>
      </c>
      <c r="D47" s="48">
        <f t="shared" si="4"/>
        <v>913000000</v>
      </c>
      <c r="E47" s="48">
        <f t="shared" si="5"/>
        <v>1443000000</v>
      </c>
      <c r="F47" s="48">
        <f t="shared" si="6"/>
        <v>162000000</v>
      </c>
      <c r="G47" s="232">
        <f t="shared" si="7"/>
        <v>8.1000000000000003E-2</v>
      </c>
      <c r="H47" s="46">
        <f t="shared" si="11"/>
        <v>6.9000000000000006E-2</v>
      </c>
      <c r="I47" s="46">
        <f t="shared" si="8"/>
        <v>0.13</v>
      </c>
      <c r="J47" s="43">
        <f>Table1536434546[[#This Row],[Total Healthcare Expenditures
(All Categories):
Base Scenario]]*Table1536434546[[#This Row],[Smoking-Attributable Fraction (SAF) of Healthcare Expenditures
Base Scenario]]</f>
        <v>203958000</v>
      </c>
      <c r="K47" s="43">
        <f>Table1536434546[[#This Row],[Total Healthcare Expenditures
(All Categories):
Base Scenario]]*Table1536434546[[#This Row],[Smoking-Attributable Fraction (SAF) of Healthcare Expenditures: Lower Bound
Base Scenario]]</f>
        <v>173742000</v>
      </c>
      <c r="L47" s="43">
        <f>Table1536434546[[#This Row],[Total Healthcare Expenditures
(All Categories):
Base Scenario]]*Table1536434546[[#This Row],[Smoking-Attributable Fraction (SAF) of Healthcare Expenditures: Upper Bound
Base Scenario]]</f>
        <v>327340000</v>
      </c>
      <c r="M47" s="43">
        <f>Table1536434546[[#This Row],[Total Government Healthcare Expenditures
(including national insurance):
Base Scenario]]*Table1536434546[[#This Row],[Smoking-Attributable Fraction (SAF) of Healthcare Expenditures
Base Scenario]]</f>
        <v>73953000</v>
      </c>
      <c r="N47" s="43">
        <f>Table1536434546[[#This Row],[Total Government Healthcare Expenditures
(including national insurance):
Base Scenario]]*Table1536434546[[#This Row],[Smoking-Attributable Fraction (SAF) of Healthcare Expenditures: Lower Bound
Base Scenario]]</f>
        <v>62997000.000000007</v>
      </c>
      <c r="O47" s="43">
        <f>Table1536434546[[#This Row],[Total Government Healthcare Expenditures
(including national insurance):
Base Scenario]]*Table1536434546[[#This Row],[Smoking-Attributable Fraction (SAF) of Healthcare Expenditures: Upper Bound
Base Scenario]]</f>
        <v>118690000</v>
      </c>
      <c r="P47" s="43">
        <f>Table1536434546[[#This Row],[Total Private (Out-of-Pocket) Healthcare Expenditures:
Base Scenario]]*Table1536434546[[#This Row],[Smoking-Attributable Fraction (SAF) of Healthcare Expenditures
Base Scenario]]</f>
        <v>116883000</v>
      </c>
      <c r="Q47" s="43">
        <f>Table1536434546[[#This Row],[Total Private (Out-of-Pocket) Healthcare Expenditures:
Base Scenario]]*Table1536434546[[#This Row],[Smoking-Attributable Fraction (SAF) of Healthcare Expenditures: Lower Bound
Base Scenario]]</f>
        <v>99567000.000000015</v>
      </c>
      <c r="R47" s="43">
        <f>Table1536434546[[#This Row],[Total Private (Out-of-Pocket) Healthcare Expenditures:
Base Scenario]]*Table1536434546[[#This Row],[Smoking-Attributable Fraction (SAF) of Healthcare Expenditures: Upper Bound
Base Scenario]]</f>
        <v>187590000</v>
      </c>
      <c r="S47" s="43">
        <f>Table1536434546[[#This Row],[Total Other Health Expenditures:
Base Scenario]]*Table1536434546[[#This Row],[Smoking-Attributable Fraction (SAF) of Healthcare Expenditures
Base Scenario]]</f>
        <v>13122000</v>
      </c>
      <c r="T47" s="43">
        <f>Table1536434546[[#This Row],[Total Other Health Expenditures:
Base Scenario]]*Table1536434546[[#This Row],[Smoking-Attributable Fraction (SAF) of Healthcare Expenditures: Lower Bound
Base Scenario]]</f>
        <v>11178000.000000002</v>
      </c>
      <c r="U47" s="43">
        <f>Table1536434546[[#This Row],[Total Other Health Expenditures:
Base Scenario]]*Table1536434546[[#This Row],[Smoking-Attributable Fraction (SAF) of Healthcare Expenditures: Upper Bound
Base Scenario]]</f>
        <v>21060000</v>
      </c>
      <c r="V47" s="62">
        <v>-1.2411482254697298E-2</v>
      </c>
      <c r="W47" s="60">
        <f>W46*(1+Table1536434546[[#This Row],[Relative Change in Smoking Prevalence:
All Interventions Combined]])</f>
        <v>5.2106478494722441E-2</v>
      </c>
      <c r="X47" s="60">
        <f>X46*(1+Table1536434546[[#This Row],[Relative Change in Smoking Prevalence:
All Interventions Combined]])</f>
        <v>4.4387000199208014E-2</v>
      </c>
      <c r="Y47" s="60">
        <f>Y46*(1+Table1536434546[[#This Row],[Relative Change in Smoking Prevalence:
All Interventions Combined]])</f>
        <v>8.362768153473972E-2</v>
      </c>
      <c r="Z47" s="66">
        <f>Table1536434546[[#This Row],[Total Healthcare Expenditures
(All Categories):
Base Scenario]]*Table1536434546[[#This Row],[Smoking-Attributable Fraction (SAF) of Healthcare Expenditures:
Adjusted for Intervention Impacts]]</f>
        <v>131204112.84971111</v>
      </c>
      <c r="AA47" s="64">
        <f>Table1536434546[[#This Row],[Total Healthcare Expenditures
(All Categories):
Base Scenario]]*Table1536434546[[#This Row],[Smoking-Attributable Fraction (SAF) of Healthcare Expenditures: Lower Bound
Adjusted for Intervention Impacts]]</f>
        <v>111766466.50160578</v>
      </c>
      <c r="AB47" s="66">
        <f>Table1536434546[[#This Row],[Total Healthcare Expenditures
(All Categories):
Base Scenario]]*Table1536434546[[#This Row],[Smoking-Attributable Fraction (SAF) of Healthcare Expenditures: Upper Bound
Adjusted for Intervention Impacts]]</f>
        <v>210574502.1044746</v>
      </c>
      <c r="AC47" s="66">
        <f>Table1536434546[[#This Row],[Total Government Healthcare Expenditures
(including national insurance):
Base Scenario]]*Table1536434546[[#This Row],[Smoking-Attributable Fraction (SAF) of Healthcare Expenditures:
Adjusted for Intervention Impacts]]</f>
        <v>47573214.865681589</v>
      </c>
      <c r="AD47" s="66">
        <f>Table1536434546[[#This Row],[Total Government Healthcare Expenditures
(including national insurance):
Base Scenario]]*Table1536434546[[#This Row],[Smoking-Attributable Fraction (SAF) of Healthcare Expenditures: Lower Bound
Adjusted for Intervention Impacts]]</f>
        <v>40525331.18187692</v>
      </c>
      <c r="AE47" s="66">
        <f>Table1536434546[[#This Row],[Total Government Healthcare Expenditures
(including national insurance):
Base Scenario]]*Table1536434546[[#This Row],[Smoking-Attributable Fraction (SAF) of Healthcare Expenditures: Upper Bound
Adjusted for Intervention Impacts]]</f>
        <v>76352073.24121736</v>
      </c>
      <c r="AF47" s="66">
        <f>Table1536434546[[#This Row],[Total Private (Out-of-Pocket) Healthcare Expenditures:
Base Scenario]]*Table1536434546[[#This Row],[Smoking-Attributable Fraction (SAF) of Healthcare Expenditures:
Adjusted for Intervention Impacts]]</f>
        <v>75189648.467884481</v>
      </c>
      <c r="AG47" s="66">
        <f>Table1536434546[[#This Row],[Total Private (Out-of-Pocket) Healthcare Expenditures:
Base Scenario]]*Table1536434546[[#This Row],[Smoking-Attributable Fraction (SAF) of Healthcare Expenditures: Lower Bound
Adjusted for Intervention Impacts]]</f>
        <v>64050441.287457161</v>
      </c>
      <c r="AH47" s="66">
        <f>Table1536434546[[#This Row],[Total Private (Out-of-Pocket) Healthcare Expenditures:
Base Scenario]]*Table1536434546[[#This Row],[Smoking-Attributable Fraction (SAF) of Healthcare Expenditures: Upper Bound
Adjusted for Intervention Impacts]]</f>
        <v>120674744.45462942</v>
      </c>
      <c r="AI47" s="65">
        <f>Table1536434546[[#This Row],[Total Other Health Expenditures:
Base Scenario]]*Table1536434546[[#This Row],[Smoking-Attributable Fraction (SAF) of Healthcare Expenditures:
Adjusted for Intervention Impacts]]</f>
        <v>8441249.5161450356</v>
      </c>
      <c r="AJ47" s="65">
        <f>Table1536434546[[#This Row],[Total Other Health Expenditures:
Base Scenario]]*Table1536434546[[#This Row],[Smoking-Attributable Fraction (SAF) of Healthcare Expenditures: Lower Bound
Adjusted for Intervention Impacts]]</f>
        <v>7190694.0322716981</v>
      </c>
      <c r="AK47" s="65">
        <f>Table1536434546[[#This Row],[Total Other Health Expenditures:
Base Scenario]]*Table1536434546[[#This Row],[Smoking-Attributable Fraction (SAF) of Healthcare Expenditures: Upper Bound
Adjusted for Intervention Impacts]]</f>
        <v>13547684.408627834</v>
      </c>
      <c r="AL47" s="76">
        <f>Table1536434546[[#This Row],[Smoking-Attributable Total Healthcare Expenditures:
Base Scenario]]-Table1536434546[[#This Row],[Smoking-Attributable Total Healthcare Expenditures:
Intervention Scenario]]</f>
        <v>72753887.150288895</v>
      </c>
      <c r="AM47" s="76">
        <f>Table1536434546[[#This Row],[Smoking-Attributable Total Healthcare Expenditures: Lower Bound
Base Scenario]]-Table1536434546[[#This Row],[Smoking-Attributable Total Healthcare Expenditures: Lower Bound
Intervention Scenario]]</f>
        <v>61975533.498394221</v>
      </c>
      <c r="AN47" s="76">
        <f>Table1536434546[[#This Row],[Smoking-Attributable Total Healthcare Expenditures: Upper Bound
Base Scenario]]-Table1536434546[[#This Row],[Smoking-Attributable Total Healthcare Expenditures: Upper Bound
Intervention Scenario]]</f>
        <v>116765497.8955254</v>
      </c>
      <c r="AO47" s="76">
        <f>Table1536434546[[#This Row],[Smoking-Attributable Government Healthcare Expenditures
(including national insurance):
Base Scenario]]-Table1536434546[[#This Row],[Smoking-Attributable Government Healthcare Expenditures
(including national insurance):
Intervention Scenario]]</f>
        <v>26379785.134318411</v>
      </c>
      <c r="AP47"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22471668.818123087</v>
      </c>
      <c r="AQ47"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42337926.75878264</v>
      </c>
      <c r="AR47" s="76">
        <f>Table1536434546[[#This Row],[Smoking-Attributable Private Healthcare Expenditures:
Base Scenario]]-Table1536434546[[#This Row],[Smoking-Attributable Private Healthcare Expenditures:
Intervention Scenario]]</f>
        <v>41693351.532115519</v>
      </c>
      <c r="AS47" s="76">
        <f>Table1536434546[[#This Row],[Smoking-Attributable Private Healthcare Expenditures: Lower Bound
Base Scenario]]-Table1536434546[[#This Row],[Smoking-Attributable Private Healthcare Expenditures: Lower Bound
Intervention Scenario]]</f>
        <v>35516558.712542854</v>
      </c>
      <c r="AT47" s="76">
        <f>Table1536434546[[#This Row],[Smoking-Attributable Private Healthcare Expenditures: Upper Bound
Base Scenario]]-Table1536434546[[#This Row],[Smoking-Attributable Private Healthcare Expenditures: Upper Bound
Intervention Scenario]]</f>
        <v>66915255.545370579</v>
      </c>
      <c r="AU47" s="76">
        <f>Table1536434546[[#This Row],[Smoking-Attributable Other Health Expenditures:
Base Scenario]]-Table1536434546[[#This Row],[Smoking-Attributable Other Health Expenditures:
Intervention Scenario]]</f>
        <v>4680750.4838549644</v>
      </c>
      <c r="AV47" s="235">
        <f>Table1536434546[[#This Row],[Smoking-Attributable Other Health Expenditures: Lower Bound
Base Scenario]]-Table1536434546[[#This Row],[Smoking-Attributable Other Health Expenditures: Lower Bound
Intervention Scenario]]</f>
        <v>3987305.9677283037</v>
      </c>
      <c r="AW47" s="235">
        <f>Table1536434546[[#This Row],[Smoking-Attributable Other Health Expenditures: Upper Bound
Base Scenario]]-Table1536434546[[#This Row],[Smoking-Attributable Other Health Expenditures: Upper Bound
Intervention Scenario]]</f>
        <v>7512315.5913721658</v>
      </c>
    </row>
    <row r="48" spans="2:49">
      <c r="B48" s="47">
        <v>14</v>
      </c>
      <c r="C48" s="48">
        <f t="shared" si="3"/>
        <v>2518000000</v>
      </c>
      <c r="D48" s="48">
        <f t="shared" si="4"/>
        <v>913000000</v>
      </c>
      <c r="E48" s="48">
        <f t="shared" si="5"/>
        <v>1443000000</v>
      </c>
      <c r="F48" s="48">
        <f t="shared" si="6"/>
        <v>162000000</v>
      </c>
      <c r="G48" s="232">
        <f t="shared" si="7"/>
        <v>8.1000000000000003E-2</v>
      </c>
      <c r="H48" s="46">
        <f t="shared" si="11"/>
        <v>6.9000000000000006E-2</v>
      </c>
      <c r="I48" s="46">
        <f t="shared" si="8"/>
        <v>0.13</v>
      </c>
      <c r="J48" s="43">
        <f>Table1536434546[[#This Row],[Total Healthcare Expenditures
(All Categories):
Base Scenario]]*Table1536434546[[#This Row],[Smoking-Attributable Fraction (SAF) of Healthcare Expenditures
Base Scenario]]</f>
        <v>203958000</v>
      </c>
      <c r="K48" s="43">
        <f>Table1536434546[[#This Row],[Total Healthcare Expenditures
(All Categories):
Base Scenario]]*Table1536434546[[#This Row],[Smoking-Attributable Fraction (SAF) of Healthcare Expenditures: Lower Bound
Base Scenario]]</f>
        <v>173742000</v>
      </c>
      <c r="L48" s="43">
        <f>Table1536434546[[#This Row],[Total Healthcare Expenditures
(All Categories):
Base Scenario]]*Table1536434546[[#This Row],[Smoking-Attributable Fraction (SAF) of Healthcare Expenditures: Upper Bound
Base Scenario]]</f>
        <v>327340000</v>
      </c>
      <c r="M48" s="43">
        <f>Table1536434546[[#This Row],[Total Government Healthcare Expenditures
(including national insurance):
Base Scenario]]*Table1536434546[[#This Row],[Smoking-Attributable Fraction (SAF) of Healthcare Expenditures
Base Scenario]]</f>
        <v>73953000</v>
      </c>
      <c r="N48" s="43">
        <f>Table1536434546[[#This Row],[Total Government Healthcare Expenditures
(including national insurance):
Base Scenario]]*Table1536434546[[#This Row],[Smoking-Attributable Fraction (SAF) of Healthcare Expenditures: Lower Bound
Base Scenario]]</f>
        <v>62997000.000000007</v>
      </c>
      <c r="O48" s="43">
        <f>Table1536434546[[#This Row],[Total Government Healthcare Expenditures
(including national insurance):
Base Scenario]]*Table1536434546[[#This Row],[Smoking-Attributable Fraction (SAF) of Healthcare Expenditures: Upper Bound
Base Scenario]]</f>
        <v>118690000</v>
      </c>
      <c r="P48" s="43">
        <f>Table1536434546[[#This Row],[Total Private (Out-of-Pocket) Healthcare Expenditures:
Base Scenario]]*Table1536434546[[#This Row],[Smoking-Attributable Fraction (SAF) of Healthcare Expenditures
Base Scenario]]</f>
        <v>116883000</v>
      </c>
      <c r="Q48" s="43">
        <f>Table1536434546[[#This Row],[Total Private (Out-of-Pocket) Healthcare Expenditures:
Base Scenario]]*Table1536434546[[#This Row],[Smoking-Attributable Fraction (SAF) of Healthcare Expenditures: Lower Bound
Base Scenario]]</f>
        <v>99567000.000000015</v>
      </c>
      <c r="R48" s="43">
        <f>Table1536434546[[#This Row],[Total Private (Out-of-Pocket) Healthcare Expenditures:
Base Scenario]]*Table1536434546[[#This Row],[Smoking-Attributable Fraction (SAF) of Healthcare Expenditures: Upper Bound
Base Scenario]]</f>
        <v>187590000</v>
      </c>
      <c r="S48" s="43">
        <f>Table1536434546[[#This Row],[Total Other Health Expenditures:
Base Scenario]]*Table1536434546[[#This Row],[Smoking-Attributable Fraction (SAF) of Healthcare Expenditures
Base Scenario]]</f>
        <v>13122000</v>
      </c>
      <c r="T48" s="43">
        <f>Table1536434546[[#This Row],[Total Other Health Expenditures:
Base Scenario]]*Table1536434546[[#This Row],[Smoking-Attributable Fraction (SAF) of Healthcare Expenditures: Lower Bound
Base Scenario]]</f>
        <v>11178000.000000002</v>
      </c>
      <c r="U48" s="43">
        <f>Table1536434546[[#This Row],[Total Other Health Expenditures:
Base Scenario]]*Table1536434546[[#This Row],[Smoking-Attributable Fraction (SAF) of Healthcare Expenditures: Upper Bound
Base Scenario]]</f>
        <v>21060000</v>
      </c>
      <c r="V48" s="62">
        <v>-1.2411482254697298E-2</v>
      </c>
      <c r="W48" s="60">
        <f>W47*(1+Table1536434546[[#This Row],[Relative Change in Smoking Prevalence:
All Interventions Combined]])</f>
        <v>5.1459759861530424E-2</v>
      </c>
      <c r="X48" s="60">
        <f>X47*(1+Table1536434546[[#This Row],[Relative Change in Smoking Prevalence:
All Interventions Combined]])</f>
        <v>4.3836091733896299E-2</v>
      </c>
      <c r="Y48" s="60">
        <f>Y47*(1+Table1536434546[[#This Row],[Relative Change in Smoking Prevalence:
All Interventions Combined]])</f>
        <v>8.2589738049369824E-2</v>
      </c>
      <c r="Z48" s="66">
        <f>Table1536434546[[#This Row],[Total Healthcare Expenditures
(All Categories):
Base Scenario]]*Table1536434546[[#This Row],[Smoking-Attributable Fraction (SAF) of Healthcare Expenditures:
Adjusted for Intervention Impacts]]</f>
        <v>129575675.33133361</v>
      </c>
      <c r="AA48" s="64">
        <f>Table1536434546[[#This Row],[Total Healthcare Expenditures
(All Categories):
Base Scenario]]*Table1536434546[[#This Row],[Smoking-Attributable Fraction (SAF) of Healthcare Expenditures: Lower Bound
Adjusted for Intervention Impacts]]</f>
        <v>110379278.98595087</v>
      </c>
      <c r="AB48" s="66">
        <f>Table1536434546[[#This Row],[Total Healthcare Expenditures
(All Categories):
Base Scenario]]*Table1536434546[[#This Row],[Smoking-Attributable Fraction (SAF) of Healthcare Expenditures: Upper Bound
Adjusted for Intervention Impacts]]</f>
        <v>207960960.40831321</v>
      </c>
      <c r="AC48" s="66">
        <f>Table1536434546[[#This Row],[Total Government Healthcare Expenditures
(including national insurance):
Base Scenario]]*Table1536434546[[#This Row],[Smoking-Attributable Fraction (SAF) of Healthcare Expenditures:
Adjusted for Intervention Impacts]]</f>
        <v>46982760.753577277</v>
      </c>
      <c r="AD48" s="66">
        <f>Table1536434546[[#This Row],[Total Government Healthcare Expenditures
(including national insurance):
Base Scenario]]*Table1536434546[[#This Row],[Smoking-Attributable Fraction (SAF) of Healthcare Expenditures: Lower Bound
Adjusted for Intervention Impacts]]</f>
        <v>40022351.753047317</v>
      </c>
      <c r="AE48" s="66">
        <f>Table1536434546[[#This Row],[Total Government Healthcare Expenditures
(including national insurance):
Base Scenario]]*Table1536434546[[#This Row],[Smoking-Attributable Fraction (SAF) of Healthcare Expenditures: Upper Bound
Adjusted for Intervention Impacts]]</f>
        <v>75404430.839074641</v>
      </c>
      <c r="AF48" s="66">
        <f>Table1536434546[[#This Row],[Total Private (Out-of-Pocket) Healthcare Expenditures:
Base Scenario]]*Table1536434546[[#This Row],[Smoking-Attributable Fraction (SAF) of Healthcare Expenditures:
Adjusted for Intervention Impacts]]</f>
        <v>74256433.4801884</v>
      </c>
      <c r="AG48" s="66">
        <f>Table1536434546[[#This Row],[Total Private (Out-of-Pocket) Healthcare Expenditures:
Base Scenario]]*Table1536434546[[#This Row],[Smoking-Attributable Fraction (SAF) of Healthcare Expenditures: Lower Bound
Adjusted for Intervention Impacts]]</f>
        <v>63255480.372012362</v>
      </c>
      <c r="AH48" s="66">
        <f>Table1536434546[[#This Row],[Total Private (Out-of-Pocket) Healthcare Expenditures:
Base Scenario]]*Table1536434546[[#This Row],[Smoking-Attributable Fraction (SAF) of Healthcare Expenditures: Upper Bound
Adjusted for Intervention Impacts]]</f>
        <v>119176992.00524065</v>
      </c>
      <c r="AI48" s="65">
        <f>Table1536434546[[#This Row],[Total Other Health Expenditures:
Base Scenario]]*Table1536434546[[#This Row],[Smoking-Attributable Fraction (SAF) of Healthcare Expenditures:
Adjusted for Intervention Impacts]]</f>
        <v>8336481.097567929</v>
      </c>
      <c r="AJ48" s="65">
        <f>Table1536434546[[#This Row],[Total Other Health Expenditures:
Base Scenario]]*Table1536434546[[#This Row],[Smoking-Attributable Fraction (SAF) of Healthcare Expenditures: Lower Bound
Adjusted for Intervention Impacts]]</f>
        <v>7101446.8608912006</v>
      </c>
      <c r="AK48" s="65">
        <f>Table1536434546[[#This Row],[Total Other Health Expenditures:
Base Scenario]]*Table1536434546[[#This Row],[Smoking-Attributable Fraction (SAF) of Healthcare Expenditures: Upper Bound
Adjusted for Intervention Impacts]]</f>
        <v>13379537.563997911</v>
      </c>
      <c r="AL48" s="76">
        <f>Table1536434546[[#This Row],[Smoking-Attributable Total Healthcare Expenditures:
Base Scenario]]-Table1536434546[[#This Row],[Smoking-Attributable Total Healthcare Expenditures:
Intervention Scenario]]</f>
        <v>74382324.668666393</v>
      </c>
      <c r="AM48" s="76">
        <f>Table1536434546[[#This Row],[Smoking-Attributable Total Healthcare Expenditures: Lower Bound
Base Scenario]]-Table1536434546[[#This Row],[Smoking-Attributable Total Healthcare Expenditures: Lower Bound
Intervention Scenario]]</f>
        <v>63362721.014049128</v>
      </c>
      <c r="AN48" s="76">
        <f>Table1536434546[[#This Row],[Smoking-Attributable Total Healthcare Expenditures: Upper Bound
Base Scenario]]-Table1536434546[[#This Row],[Smoking-Attributable Total Healthcare Expenditures: Upper Bound
Intervention Scenario]]</f>
        <v>119379039.59168679</v>
      </c>
      <c r="AO48" s="76">
        <f>Table1536434546[[#This Row],[Smoking-Attributable Government Healthcare Expenditures
(including national insurance):
Base Scenario]]-Table1536434546[[#This Row],[Smoking-Attributable Government Healthcare Expenditures
(including national insurance):
Intervention Scenario]]</f>
        <v>26970239.246422723</v>
      </c>
      <c r="AP48"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22974648.24695269</v>
      </c>
      <c r="AQ48"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43285569.160925359</v>
      </c>
      <c r="AR48" s="76">
        <f>Table1536434546[[#This Row],[Smoking-Attributable Private Healthcare Expenditures:
Base Scenario]]-Table1536434546[[#This Row],[Smoking-Attributable Private Healthcare Expenditures:
Intervention Scenario]]</f>
        <v>42626566.5198116</v>
      </c>
      <c r="AS48" s="76">
        <f>Table1536434546[[#This Row],[Smoking-Attributable Private Healthcare Expenditures: Lower Bound
Base Scenario]]-Table1536434546[[#This Row],[Smoking-Attributable Private Healthcare Expenditures: Lower Bound
Intervention Scenario]]</f>
        <v>36311519.627987653</v>
      </c>
      <c r="AT48" s="76">
        <f>Table1536434546[[#This Row],[Smoking-Attributable Private Healthcare Expenditures: Upper Bound
Base Scenario]]-Table1536434546[[#This Row],[Smoking-Attributable Private Healthcare Expenditures: Upper Bound
Intervention Scenario]]</f>
        <v>68413007.994759351</v>
      </c>
      <c r="AU48" s="76">
        <f>Table1536434546[[#This Row],[Smoking-Attributable Other Health Expenditures:
Base Scenario]]-Table1536434546[[#This Row],[Smoking-Attributable Other Health Expenditures:
Intervention Scenario]]</f>
        <v>4785518.902432071</v>
      </c>
      <c r="AV48" s="235">
        <f>Table1536434546[[#This Row],[Smoking-Attributable Other Health Expenditures: Lower Bound
Base Scenario]]-Table1536434546[[#This Row],[Smoking-Attributable Other Health Expenditures: Lower Bound
Intervention Scenario]]</f>
        <v>4076553.1391088013</v>
      </c>
      <c r="AW48" s="235">
        <f>Table1536434546[[#This Row],[Smoking-Attributable Other Health Expenditures: Upper Bound
Base Scenario]]-Table1536434546[[#This Row],[Smoking-Attributable Other Health Expenditures: Upper Bound
Intervention Scenario]]</f>
        <v>7680462.4360020887</v>
      </c>
    </row>
    <row r="49" spans="2:49">
      <c r="B49" s="47">
        <v>15</v>
      </c>
      <c r="C49" s="48">
        <f t="shared" si="3"/>
        <v>2518000000</v>
      </c>
      <c r="D49" s="48">
        <f t="shared" si="4"/>
        <v>913000000</v>
      </c>
      <c r="E49" s="48">
        <f t="shared" si="5"/>
        <v>1443000000</v>
      </c>
      <c r="F49" s="48">
        <f t="shared" si="6"/>
        <v>162000000</v>
      </c>
      <c r="G49" s="232">
        <f t="shared" si="7"/>
        <v>8.1000000000000003E-2</v>
      </c>
      <c r="H49" s="46">
        <f t="shared" si="11"/>
        <v>6.9000000000000006E-2</v>
      </c>
      <c r="I49" s="46">
        <f t="shared" si="8"/>
        <v>0.13</v>
      </c>
      <c r="J49" s="43">
        <f>Table1536434546[[#This Row],[Total Healthcare Expenditures
(All Categories):
Base Scenario]]*Table1536434546[[#This Row],[Smoking-Attributable Fraction (SAF) of Healthcare Expenditures
Base Scenario]]</f>
        <v>203958000</v>
      </c>
      <c r="K49" s="43">
        <f>Table1536434546[[#This Row],[Total Healthcare Expenditures
(All Categories):
Base Scenario]]*Table1536434546[[#This Row],[Smoking-Attributable Fraction (SAF) of Healthcare Expenditures: Lower Bound
Base Scenario]]</f>
        <v>173742000</v>
      </c>
      <c r="L49" s="43">
        <f>Table1536434546[[#This Row],[Total Healthcare Expenditures
(All Categories):
Base Scenario]]*Table1536434546[[#This Row],[Smoking-Attributable Fraction (SAF) of Healthcare Expenditures: Upper Bound
Base Scenario]]</f>
        <v>327340000</v>
      </c>
      <c r="M49" s="43">
        <f>Table1536434546[[#This Row],[Total Government Healthcare Expenditures
(including national insurance):
Base Scenario]]*Table1536434546[[#This Row],[Smoking-Attributable Fraction (SAF) of Healthcare Expenditures
Base Scenario]]</f>
        <v>73953000</v>
      </c>
      <c r="N49" s="43">
        <f>Table1536434546[[#This Row],[Total Government Healthcare Expenditures
(including national insurance):
Base Scenario]]*Table1536434546[[#This Row],[Smoking-Attributable Fraction (SAF) of Healthcare Expenditures: Lower Bound
Base Scenario]]</f>
        <v>62997000.000000007</v>
      </c>
      <c r="O49" s="43">
        <f>Table1536434546[[#This Row],[Total Government Healthcare Expenditures
(including national insurance):
Base Scenario]]*Table1536434546[[#This Row],[Smoking-Attributable Fraction (SAF) of Healthcare Expenditures: Upper Bound
Base Scenario]]</f>
        <v>118690000</v>
      </c>
      <c r="P49" s="43">
        <f>Table1536434546[[#This Row],[Total Private (Out-of-Pocket) Healthcare Expenditures:
Base Scenario]]*Table1536434546[[#This Row],[Smoking-Attributable Fraction (SAF) of Healthcare Expenditures
Base Scenario]]</f>
        <v>116883000</v>
      </c>
      <c r="Q49" s="43">
        <f>Table1536434546[[#This Row],[Total Private (Out-of-Pocket) Healthcare Expenditures:
Base Scenario]]*Table1536434546[[#This Row],[Smoking-Attributable Fraction (SAF) of Healthcare Expenditures: Lower Bound
Base Scenario]]</f>
        <v>99567000.000000015</v>
      </c>
      <c r="R49" s="43">
        <f>Table1536434546[[#This Row],[Total Private (Out-of-Pocket) Healthcare Expenditures:
Base Scenario]]*Table1536434546[[#This Row],[Smoking-Attributable Fraction (SAF) of Healthcare Expenditures: Upper Bound
Base Scenario]]</f>
        <v>187590000</v>
      </c>
      <c r="S49" s="43">
        <f>Table1536434546[[#This Row],[Total Other Health Expenditures:
Base Scenario]]*Table1536434546[[#This Row],[Smoking-Attributable Fraction (SAF) of Healthcare Expenditures
Base Scenario]]</f>
        <v>13122000</v>
      </c>
      <c r="T49" s="43">
        <f>Table1536434546[[#This Row],[Total Other Health Expenditures:
Base Scenario]]*Table1536434546[[#This Row],[Smoking-Attributable Fraction (SAF) of Healthcare Expenditures: Lower Bound
Base Scenario]]</f>
        <v>11178000.000000002</v>
      </c>
      <c r="U49" s="43">
        <f>Table1536434546[[#This Row],[Total Other Health Expenditures:
Base Scenario]]*Table1536434546[[#This Row],[Smoking-Attributable Fraction (SAF) of Healthcare Expenditures: Upper Bound
Base Scenario]]</f>
        <v>21060000</v>
      </c>
      <c r="V49" s="62">
        <v>-1.2411482254697298E-2</v>
      </c>
      <c r="W49" s="60">
        <f>W48*(1+Table1536434546[[#This Row],[Relative Change in Smoking Prevalence:
All Interventions Combined]])</f>
        <v>5.0821067965178053E-2</v>
      </c>
      <c r="X49" s="60">
        <f>X48*(1+Table1536434546[[#This Row],[Relative Change in Smoking Prevalence:
All Interventions Combined]])</f>
        <v>4.329202085922576E-2</v>
      </c>
      <c r="Y49" s="60">
        <f>Y48*(1+Table1536434546[[#This Row],[Relative Change in Smoking Prevalence:
All Interventions Combined]])</f>
        <v>8.1564676981149969E-2</v>
      </c>
      <c r="Z49" s="66">
        <f>Table1536434546[[#This Row],[Total Healthcare Expenditures
(All Categories):
Base Scenario]]*Table1536434546[[#This Row],[Smoking-Attributable Fraction (SAF) of Healthcare Expenditures:
Adjusted for Intervention Impacts]]</f>
        <v>127967449.13631834</v>
      </c>
      <c r="AA49" s="64">
        <f>Table1536434546[[#This Row],[Total Healthcare Expenditures
(All Categories):
Base Scenario]]*Table1536434546[[#This Row],[Smoking-Attributable Fraction (SAF) of Healthcare Expenditures: Lower Bound
Adjusted for Intervention Impacts]]</f>
        <v>109009308.52353047</v>
      </c>
      <c r="AB49" s="66">
        <f>Table1536434546[[#This Row],[Total Healthcare Expenditures
(All Categories):
Base Scenario]]*Table1536434546[[#This Row],[Smoking-Attributable Fraction (SAF) of Healthcare Expenditures: Upper Bound
Adjusted for Intervention Impacts]]</f>
        <v>205379856.63853562</v>
      </c>
      <c r="AC49" s="66">
        <f>Table1536434546[[#This Row],[Total Government Healthcare Expenditures
(including national insurance):
Base Scenario]]*Table1536434546[[#This Row],[Smoking-Attributable Fraction (SAF) of Healthcare Expenditures:
Adjusted for Intervention Impacts]]</f>
        <v>46399635.052207559</v>
      </c>
      <c r="AD49" s="66">
        <f>Table1536434546[[#This Row],[Total Government Healthcare Expenditures
(including national insurance):
Base Scenario]]*Table1536434546[[#This Row],[Smoking-Attributable Fraction (SAF) of Healthcare Expenditures: Lower Bound
Adjusted for Intervention Impacts]]</f>
        <v>39525615.044473119</v>
      </c>
      <c r="AE49" s="66">
        <f>Table1536434546[[#This Row],[Total Government Healthcare Expenditures
(including national insurance):
Base Scenario]]*Table1536434546[[#This Row],[Smoking-Attributable Fraction (SAF) of Healthcare Expenditures: Upper Bound
Adjusted for Intervention Impacts]]</f>
        <v>74468550.083789915</v>
      </c>
      <c r="AF49" s="66">
        <f>Table1536434546[[#This Row],[Total Private (Out-of-Pocket) Healthcare Expenditures:
Base Scenario]]*Table1536434546[[#This Row],[Smoking-Attributable Fraction (SAF) of Healthcare Expenditures:
Adjusted for Intervention Impacts]]</f>
        <v>73334801.073751926</v>
      </c>
      <c r="AG49" s="66">
        <f>Table1536434546[[#This Row],[Total Private (Out-of-Pocket) Healthcare Expenditures:
Base Scenario]]*Table1536434546[[#This Row],[Smoking-Attributable Fraction (SAF) of Healthcare Expenditures: Lower Bound
Adjusted for Intervention Impacts]]</f>
        <v>62470386.099862769</v>
      </c>
      <c r="AH49" s="66">
        <f>Table1536434546[[#This Row],[Total Private (Out-of-Pocket) Healthcare Expenditures:
Base Scenario]]*Table1536434546[[#This Row],[Smoking-Attributable Fraction (SAF) of Healthcare Expenditures: Upper Bound
Adjusted for Intervention Impacts]]</f>
        <v>117697828.8837994</v>
      </c>
      <c r="AI49" s="65">
        <f>Table1536434546[[#This Row],[Total Other Health Expenditures:
Base Scenario]]*Table1536434546[[#This Row],[Smoking-Attributable Fraction (SAF) of Healthcare Expenditures:
Adjusted for Intervention Impacts]]</f>
        <v>8233013.0103588449</v>
      </c>
      <c r="AJ49" s="65">
        <f>Table1536434546[[#This Row],[Total Other Health Expenditures:
Base Scenario]]*Table1536434546[[#This Row],[Smoking-Attributable Fraction (SAF) of Healthcare Expenditures: Lower Bound
Adjusted for Intervention Impacts]]</f>
        <v>7013307.3791945735</v>
      </c>
      <c r="AK49" s="65">
        <f>Table1536434546[[#This Row],[Total Other Health Expenditures:
Base Scenario]]*Table1536434546[[#This Row],[Smoking-Attributable Fraction (SAF) of Healthcare Expenditures: Upper Bound
Adjusted for Intervention Impacts]]</f>
        <v>13213477.670946294</v>
      </c>
      <c r="AL49" s="76">
        <f>Table1536434546[[#This Row],[Smoking-Attributable Total Healthcare Expenditures:
Base Scenario]]-Table1536434546[[#This Row],[Smoking-Attributable Total Healthcare Expenditures:
Intervention Scenario]]</f>
        <v>75990550.863681659</v>
      </c>
      <c r="AM49" s="76">
        <f>Table1536434546[[#This Row],[Smoking-Attributable Total Healthcare Expenditures: Lower Bound
Base Scenario]]-Table1536434546[[#This Row],[Smoking-Attributable Total Healthcare Expenditures: Lower Bound
Intervention Scenario]]</f>
        <v>64732691.476469532</v>
      </c>
      <c r="AN49" s="76">
        <f>Table1536434546[[#This Row],[Smoking-Attributable Total Healthcare Expenditures: Upper Bound
Base Scenario]]-Table1536434546[[#This Row],[Smoking-Attributable Total Healthcare Expenditures: Upper Bound
Intervention Scenario]]</f>
        <v>121960143.36146438</v>
      </c>
      <c r="AO49" s="76">
        <f>Table1536434546[[#This Row],[Smoking-Attributable Government Healthcare Expenditures
(including national insurance):
Base Scenario]]-Table1536434546[[#This Row],[Smoking-Attributable Government Healthcare Expenditures
(including national insurance):
Intervention Scenario]]</f>
        <v>27553364.947792441</v>
      </c>
      <c r="AP49" s="76">
        <f>Table1536434546[[#This Row],[Smoking-Attributable Government Healthcare Expenditures
(including national insurance): Lower Bound
Base Scenario]]-Table1536434546[[#This Row],[Smoking-Attributable Government Healthcare Expenditures
(including national insurance): Lower Bound
Intervention Scenario]]</f>
        <v>23471384.955526888</v>
      </c>
      <c r="AQ49" s="76">
        <f>Table1536434546[[#This Row],[Smoking-Attributable Government Healthcare Expenditures
(including national insurance): Upper Bound
Base Scenario]]-Table1536434546[[#This Row],[Smoking-Attributable Government Healthcare Expenditures
(including national insurance): Upper Bound
Intervention Scenario]]</f>
        <v>44221449.916210085</v>
      </c>
      <c r="AR49" s="76">
        <f>Table1536434546[[#This Row],[Smoking-Attributable Private Healthcare Expenditures:
Base Scenario]]-Table1536434546[[#This Row],[Smoking-Attributable Private Healthcare Expenditures:
Intervention Scenario]]</f>
        <v>43548198.926248074</v>
      </c>
      <c r="AS49" s="76">
        <f>Table1536434546[[#This Row],[Smoking-Attributable Private Healthcare Expenditures: Lower Bound
Base Scenario]]-Table1536434546[[#This Row],[Smoking-Attributable Private Healthcare Expenditures: Lower Bound
Intervention Scenario]]</f>
        <v>37096613.900137246</v>
      </c>
      <c r="AT49" s="76">
        <f>Table1536434546[[#This Row],[Smoking-Attributable Private Healthcare Expenditures: Upper Bound
Base Scenario]]-Table1536434546[[#This Row],[Smoking-Attributable Private Healthcare Expenditures: Upper Bound
Intervention Scenario]]</f>
        <v>69892171.116200596</v>
      </c>
      <c r="AU49" s="76">
        <f>Table1536434546[[#This Row],[Smoking-Attributable Other Health Expenditures:
Base Scenario]]-Table1536434546[[#This Row],[Smoking-Attributable Other Health Expenditures:
Intervention Scenario]]</f>
        <v>4888986.9896411551</v>
      </c>
      <c r="AV49" s="236">
        <f>Table1536434546[[#This Row],[Smoking-Attributable Other Health Expenditures: Lower Bound
Base Scenario]]-Table1536434546[[#This Row],[Smoking-Attributable Other Health Expenditures: Lower Bound
Intervention Scenario]]</f>
        <v>4164692.6208054284</v>
      </c>
      <c r="AW49" s="236">
        <f>Table1536434546[[#This Row],[Smoking-Attributable Other Health Expenditures: Upper Bound
Base Scenario]]-Table1536434546[[#This Row],[Smoking-Attributable Other Health Expenditures: Upper Bound
Intervention Scenario]]</f>
        <v>7846522.3290537056</v>
      </c>
    </row>
    <row r="50" spans="2:49" ht="17.25">
      <c r="B50" s="9"/>
    </row>
    <row r="51" spans="2:49" ht="17.25">
      <c r="B51" s="9"/>
    </row>
    <row r="52" spans="2:49" ht="17.25">
      <c r="B52" s="9"/>
    </row>
    <row r="53" spans="2:49" ht="21">
      <c r="B53" s="81" t="s">
        <v>115</v>
      </c>
    </row>
    <row r="54" spans="2:49" ht="17.25">
      <c r="B54" s="41"/>
    </row>
    <row r="55" spans="2:49" ht="90.95" customHeight="1">
      <c r="B55" s="71"/>
      <c r="C55" s="167"/>
      <c r="D55" s="100"/>
      <c r="E55" s="100"/>
      <c r="F55" s="100"/>
      <c r="G55" s="69"/>
      <c r="I55" s="100"/>
      <c r="J55" s="167"/>
      <c r="K55" s="100"/>
      <c r="O55" s="72"/>
      <c r="P55" s="72"/>
      <c r="Q55" s="72"/>
      <c r="S55" s="233"/>
      <c r="T55" s="233"/>
      <c r="U55" s="233"/>
      <c r="V55" s="68" t="s">
        <v>110</v>
      </c>
      <c r="W55" s="364" t="s">
        <v>113</v>
      </c>
      <c r="X55" s="364"/>
      <c r="Y55" s="364"/>
      <c r="Z55" s="73" t="s">
        <v>112</v>
      </c>
      <c r="AL55" s="78" t="s">
        <v>114</v>
      </c>
    </row>
    <row r="56" spans="2:49" ht="17.25">
      <c r="B56" s="9"/>
    </row>
    <row r="57" spans="2:49" ht="110.25">
      <c r="B57" s="33" t="s">
        <v>81</v>
      </c>
      <c r="C57" s="57" t="s">
        <v>104</v>
      </c>
      <c r="D57" s="57" t="s">
        <v>103</v>
      </c>
      <c r="E57" s="57" t="s">
        <v>283</v>
      </c>
      <c r="F57" s="57" t="s">
        <v>105</v>
      </c>
      <c r="G57" s="33" t="s">
        <v>381</v>
      </c>
      <c r="H57" s="33" t="s">
        <v>373</v>
      </c>
      <c r="I57" s="33" t="s">
        <v>372</v>
      </c>
      <c r="J57" s="57" t="s">
        <v>94</v>
      </c>
      <c r="K57" s="57" t="s">
        <v>382</v>
      </c>
      <c r="L57" s="57" t="s">
        <v>383</v>
      </c>
      <c r="M57" s="57" t="s">
        <v>95</v>
      </c>
      <c r="N57" s="57" t="s">
        <v>384</v>
      </c>
      <c r="O57" s="57" t="s">
        <v>385</v>
      </c>
      <c r="P57" s="57" t="s">
        <v>96</v>
      </c>
      <c r="Q57" s="57" t="s">
        <v>386</v>
      </c>
      <c r="R57" s="57" t="s">
        <v>387</v>
      </c>
      <c r="S57" s="57" t="s">
        <v>97</v>
      </c>
      <c r="T57" s="57" t="s">
        <v>388</v>
      </c>
      <c r="U57" s="57" t="s">
        <v>389</v>
      </c>
      <c r="V57" s="63" t="s">
        <v>246</v>
      </c>
      <c r="W57" s="58" t="s">
        <v>98</v>
      </c>
      <c r="X57" s="58" t="s">
        <v>390</v>
      </c>
      <c r="Y57" s="58" t="s">
        <v>391</v>
      </c>
      <c r="Z57" s="33" t="s">
        <v>99</v>
      </c>
      <c r="AA57" s="33" t="s">
        <v>392</v>
      </c>
      <c r="AB57" s="33" t="s">
        <v>393</v>
      </c>
      <c r="AC57" s="33" t="s">
        <v>100</v>
      </c>
      <c r="AD57" s="33" t="s">
        <v>394</v>
      </c>
      <c r="AE57" s="33" t="s">
        <v>395</v>
      </c>
      <c r="AF57" s="33" t="s">
        <v>101</v>
      </c>
      <c r="AG57" s="33" t="s">
        <v>396</v>
      </c>
      <c r="AH57" s="33" t="s">
        <v>397</v>
      </c>
      <c r="AI57" s="33" t="s">
        <v>102</v>
      </c>
      <c r="AJ57" s="33" t="s">
        <v>398</v>
      </c>
      <c r="AK57" s="33" t="s">
        <v>399</v>
      </c>
      <c r="AL57" s="77" t="s">
        <v>106</v>
      </c>
      <c r="AM57" s="77" t="s">
        <v>400</v>
      </c>
      <c r="AN57" s="77" t="s">
        <v>401</v>
      </c>
      <c r="AO57" s="77" t="s">
        <v>107</v>
      </c>
      <c r="AP57" s="77" t="s">
        <v>402</v>
      </c>
      <c r="AQ57" s="77" t="s">
        <v>403</v>
      </c>
      <c r="AR57" s="77" t="s">
        <v>108</v>
      </c>
      <c r="AS57" s="77" t="s">
        <v>404</v>
      </c>
      <c r="AT57" s="77" t="s">
        <v>405</v>
      </c>
      <c r="AU57" s="77" t="s">
        <v>109</v>
      </c>
      <c r="AV57" s="77" t="s">
        <v>406</v>
      </c>
      <c r="AW57" s="77" t="s">
        <v>407</v>
      </c>
    </row>
    <row r="58" spans="2:49">
      <c r="B58" s="44">
        <v>0</v>
      </c>
      <c r="C58" s="45">
        <f t="shared" ref="C58:C73" si="12">$D$22</f>
        <v>2518000000</v>
      </c>
      <c r="D58" s="45">
        <f t="shared" ref="D58:D73" si="13">$D$23</f>
        <v>913000000</v>
      </c>
      <c r="E58" s="45">
        <f t="shared" ref="E58:E73" si="14">$D$24</f>
        <v>1443000000</v>
      </c>
      <c r="F58" s="45">
        <f t="shared" ref="F58:F73" si="15">$D$25</f>
        <v>162000000</v>
      </c>
      <c r="G58" s="46">
        <f t="shared" ref="G58:G73" si="16">$C$16</f>
        <v>8.1000000000000003E-2</v>
      </c>
      <c r="H58" s="46">
        <f>$C$17</f>
        <v>6.9000000000000006E-2</v>
      </c>
      <c r="I58" s="46">
        <f t="shared" ref="I58:I73" si="17">$C$18</f>
        <v>0.13</v>
      </c>
      <c r="J58" s="42">
        <f>Table15364345462[[#This Row],[Total Healthcare Expenditures
(All Categories):
Base Scenario]]*Table15364345462[[#This Row],[Smoking-Attributable Fraction (SAF) of Healthcare Expenditures
Base Scenario]]</f>
        <v>203958000</v>
      </c>
      <c r="K58" s="42">
        <f>Table15364345462[[#This Row],[Total Healthcare Expenditures
(All Categories):
Base Scenario]]*Table15364345462[[#This Row],[Smoking-Attributable Fraction (SAF) of Healthcare Expenditures: Lower Bound
Base Scenario]]</f>
        <v>173742000</v>
      </c>
      <c r="L58" s="42">
        <f>Table15364345462[[#This Row],[Total Healthcare Expenditures
(All Categories):
Base Scenario]]*Table15364345462[[#This Row],[Smoking-Attributable Fraction (SAF) of Healthcare Expenditures: Upper Bound
Base Scenario]]</f>
        <v>327340000</v>
      </c>
      <c r="M58" s="42">
        <f>Table15364345462[[#This Row],[Total Government Healthcare Expenditures
(including national insurance):
Base Scenario]]*Table15364345462[[#This Row],[Smoking-Attributable Fraction (SAF) of Healthcare Expenditures
Base Scenario]]</f>
        <v>73953000</v>
      </c>
      <c r="N58" s="42">
        <f>Table15364345462[[#This Row],[Total Government Healthcare Expenditures
(including national insurance):
Base Scenario]]*Table15364345462[[#This Row],[Smoking-Attributable Fraction (SAF) of Healthcare Expenditures: Lower Bound
Base Scenario]]</f>
        <v>62997000.000000007</v>
      </c>
      <c r="O58" s="42">
        <f>Table15364345462[[#This Row],[Total Government Healthcare Expenditures
(including national insurance):
Base Scenario]]*Table15364345462[[#This Row],[Smoking-Attributable Fraction (SAF) of Healthcare Expenditures: Upper Bound
Base Scenario]]</f>
        <v>118690000</v>
      </c>
      <c r="P58" s="42">
        <f>Table15364345462[[#This Row],[Total Private (Out-of-Pocket) Healthcare Expenditures:
Base Scenario]]*Table15364345462[[#This Row],[Smoking-Attributable Fraction (SAF) of Healthcare Expenditures
Base Scenario]]</f>
        <v>116883000</v>
      </c>
      <c r="Q58" s="42">
        <f>Table15364345462[[#This Row],[Total Private (Out-of-Pocket) Healthcare Expenditures:
Base Scenario]]*Table15364345462[[#This Row],[Smoking-Attributable Fraction (SAF) of Healthcare Expenditures: Lower Bound
Base Scenario]]</f>
        <v>99567000.000000015</v>
      </c>
      <c r="R58" s="42">
        <f>Table15364345462[[#This Row],[Total Private (Out-of-Pocket) Healthcare Expenditures:
Base Scenario]]*Table15364345462[[#This Row],[Smoking-Attributable Fraction (SAF) of Healthcare Expenditures: Upper Bound
Base Scenario]]</f>
        <v>187590000</v>
      </c>
      <c r="S58" s="42">
        <f>Table15364345462[[#This Row],[Total Other Health Expenditures:
Base Scenario]]*Table15364345462[[#This Row],[Smoking-Attributable Fraction (SAF) of Healthcare Expenditures
Base Scenario]]</f>
        <v>13122000</v>
      </c>
      <c r="T58" s="42">
        <f>Table15364345462[[#This Row],[Total Other Health Expenditures:
Base Scenario]]*Table15364345462[[#This Row],[Smoking-Attributable Fraction (SAF) of Healthcare Expenditures: Lower Bound
Base Scenario]]</f>
        <v>11178000.000000002</v>
      </c>
      <c r="U58" s="42">
        <f>Table15364345462[[#This Row],[Total Other Health Expenditures:
Base Scenario]]*Table15364345462[[#This Row],[Smoking-Attributable Fraction (SAF) of Healthcare Expenditures: Upper Bound
Base Scenario]]</f>
        <v>21060000</v>
      </c>
      <c r="V58" s="79"/>
      <c r="W58" s="59">
        <f>$C$16</f>
        <v>8.1000000000000003E-2</v>
      </c>
      <c r="X58" s="59">
        <f t="shared" ref="X58" si="18">$C$17</f>
        <v>6.9000000000000006E-2</v>
      </c>
      <c r="Y58" s="59">
        <f t="shared" ref="Y58" si="19">$C$18</f>
        <v>0.13</v>
      </c>
      <c r="Z58" s="64">
        <f>Table15364345462[[#This Row],[Total Healthcare Expenditures
(All Categories):
Base Scenario]]*Table15364345462[[#This Row],[Smoking-Attributable Fraction (SAF) of Healthcare Expenditures:
Adjusted for Intervention Impacts]]</f>
        <v>203958000</v>
      </c>
      <c r="AA58" s="64">
        <f>Table15364345462[[#This Row],[Total Healthcare Expenditures
(All Categories):
Base Scenario]]*Table15364345462[[#This Row],[Smoking-Attributable Fraction (SAF) of Healthcare Expenditures: Lower Bound
Adjusted for Intervention Impacts]]</f>
        <v>173742000</v>
      </c>
      <c r="AB58" s="64">
        <f>Table15364345462[[#This Row],[Total Healthcare Expenditures
(All Categories):
Base Scenario]]*Table15364345462[[#This Row],[Smoking-Attributable Fraction (SAF) of Healthcare Expenditures: Upper Bound
Adjusted for Intervention Impacts]]</f>
        <v>327340000</v>
      </c>
      <c r="AC58" s="64">
        <f>Table15364345462[[#This Row],[Total Government Healthcare Expenditures
(including national insurance):
Base Scenario]]*Table15364345462[[#This Row],[Smoking-Attributable Fraction (SAF) of Healthcare Expenditures:
Adjusted for Intervention Impacts]]</f>
        <v>73953000</v>
      </c>
      <c r="AD58" s="64">
        <f>Table15364345462[[#This Row],[Total Government Healthcare Expenditures
(including national insurance):
Base Scenario]]*Table15364345462[[#This Row],[Smoking-Attributable Fraction (SAF) of Healthcare Expenditures: Lower Bound
Adjusted for Intervention Impacts]]</f>
        <v>62997000.000000007</v>
      </c>
      <c r="AE58" s="64">
        <f>Table15364345462[[#This Row],[Total Government Healthcare Expenditures
(including national insurance):
Base Scenario]]*Table15364345462[[#This Row],[Smoking-Attributable Fraction (SAF) of Healthcare Expenditures: Upper Bound
Adjusted for Intervention Impacts]]</f>
        <v>118690000</v>
      </c>
      <c r="AF58" s="64">
        <f>Table15364345462[[#This Row],[Total Private (Out-of-Pocket) Healthcare Expenditures:
Base Scenario]]*Table15364345462[[#This Row],[Smoking-Attributable Fraction (SAF) of Healthcare Expenditures:
Adjusted for Intervention Impacts]]</f>
        <v>116883000</v>
      </c>
      <c r="AG58" s="64">
        <f>Table15364345462[[#This Row],[Total Private (Out-of-Pocket) Healthcare Expenditures:
Base Scenario]]*Table15364345462[[#This Row],[Smoking-Attributable Fraction (SAF) of Healthcare Expenditures: Lower Bound
Adjusted for Intervention Impacts]]</f>
        <v>99567000.000000015</v>
      </c>
      <c r="AH58" s="64">
        <f>Table15364345462[[#This Row],[Total Private (Out-of-Pocket) Healthcare Expenditures:
Base Scenario]]*Table15364345462[[#This Row],[Smoking-Attributable Fraction (SAF) of Healthcare Expenditures: Upper Bound
Adjusted for Intervention Impacts]]</f>
        <v>187590000</v>
      </c>
      <c r="AI58" s="65">
        <f>Table15364345462[[#This Row],[Total Other Health Expenditures:
Base Scenario]]*Table15364345462[[#This Row],[Smoking-Attributable Fraction (SAF) of Healthcare Expenditures:
Adjusted for Intervention Impacts]]</f>
        <v>13122000</v>
      </c>
      <c r="AJ58" s="65">
        <f>Table15364345462[[#This Row],[Total Other Health Expenditures:
Base Scenario]]*Table15364345462[[#This Row],[Smoking-Attributable Fraction (SAF) of Healthcare Expenditures: Lower Bound
Adjusted for Intervention Impacts]]</f>
        <v>11178000.000000002</v>
      </c>
      <c r="AK58" s="65">
        <f>Table15364345462[[#This Row],[Total Other Health Expenditures:
Base Scenario]]*Table15364345462[[#This Row],[Smoking-Attributable Fraction (SAF) of Healthcare Expenditures: Upper Bound
Adjusted for Intervention Impacts]]</f>
        <v>21060000</v>
      </c>
      <c r="AL58" s="76">
        <f>Table15364345462[[#This Row],[Smoking-Attributable Total Healthcare Expenditures:
Base Scenario]]-Table15364345462[[#This Row],[Smoking-Attributable Total Healthcare Expenditures:
Intervention Scenario]]</f>
        <v>0</v>
      </c>
      <c r="AM58" s="76">
        <f>Table15364345462[[#This Row],[Smoking-Attributable Total Healthcare Expenditures: Lower Bound
Base Scenario]]-Table15364345462[[#This Row],[Smoking-Attributable Total Healthcare Expenditures: Lower Bound
Intervention Scenario]]</f>
        <v>0</v>
      </c>
      <c r="AN58" s="76">
        <f>Table15364345462[[#This Row],[Smoking-Attributable Total Healthcare Expenditures: Upper Bound
Base Scenario]]-Table15364345462[[#This Row],[Smoking-Attributable Total Healthcare Expenditures: Upper Bound
Intervention Scenario]]</f>
        <v>0</v>
      </c>
      <c r="AO58" s="76">
        <f>Table15364345462[[#This Row],[Smoking-Attributable Government Healthcare Expenditures
(including national insurance):
Base Scenario]]-Table15364345462[[#This Row],[Smoking-Attributable Government Healthcare Expenditures
(including national insurance):
Intervention Scenario]]</f>
        <v>0</v>
      </c>
      <c r="AP58"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0</v>
      </c>
      <c r="AQ58"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0</v>
      </c>
      <c r="AR58" s="76">
        <f>Table15364345462[[#This Row],[Smoking-Attributable Private Healthcare Expenditures:
Base Scenario]]-Table15364345462[[#This Row],[Smoking-Attributable Private Healthcare Expenditures:
Intervention Scenario]]</f>
        <v>0</v>
      </c>
      <c r="AS58" s="76">
        <f>Table15364345462[[#This Row],[Smoking-Attributable Private Healthcare Expenditures: Lower Bound
Base Scenario]]-Table15364345462[[#This Row],[Smoking-Attributable Private Healthcare Expenditures: Lower Bound
Intervention Scenario]]</f>
        <v>0</v>
      </c>
      <c r="AT58" s="76">
        <f>Table15364345462[[#This Row],[Smoking-Attributable Private Healthcare Expenditures: Upper Bound
Base Scenario]]-Table15364345462[[#This Row],[Smoking-Attributable Private Healthcare Expenditures: Upper Bound
Intervention Scenario]]</f>
        <v>0</v>
      </c>
      <c r="AU58" s="76">
        <f>Table15364345462[[#This Row],[Smoking-Attributable Other Health Expenditures:
Base Scenario]]-Table15364345462[[#This Row],[Smoking-Attributable Other Health Expenditures:
Intervention Scenario]]</f>
        <v>0</v>
      </c>
      <c r="AV58" s="234">
        <f>Table15364345462[[#This Row],[Smoking-Attributable Other Health Expenditures: Lower Bound
Base Scenario]]-Table15364345462[[#This Row],[Smoking-Attributable Other Health Expenditures: Lower Bound
Intervention Scenario]]</f>
        <v>0</v>
      </c>
      <c r="AW58" s="234">
        <f>Table15364345462[[#This Row],[Smoking-Attributable Other Health Expenditures: Upper Bound
Base Scenario]]-Table15364345462[[#This Row],[Smoking-Attributable Other Health Expenditures: Upper Bound
Intervention Scenario]]</f>
        <v>0</v>
      </c>
    </row>
    <row r="59" spans="2:49">
      <c r="B59" s="47">
        <v>1</v>
      </c>
      <c r="C59" s="48">
        <f t="shared" si="12"/>
        <v>2518000000</v>
      </c>
      <c r="D59" s="48">
        <f t="shared" si="13"/>
        <v>913000000</v>
      </c>
      <c r="E59" s="48">
        <f t="shared" si="14"/>
        <v>1443000000</v>
      </c>
      <c r="F59" s="48">
        <f t="shared" si="15"/>
        <v>162000000</v>
      </c>
      <c r="G59" s="232">
        <f t="shared" si="16"/>
        <v>8.1000000000000003E-2</v>
      </c>
      <c r="H59" s="46">
        <f t="shared" ref="H59:H73" si="20">$C$17</f>
        <v>6.9000000000000006E-2</v>
      </c>
      <c r="I59" s="46">
        <f t="shared" si="17"/>
        <v>0.13</v>
      </c>
      <c r="J59" s="43">
        <f>Table15364345462[[#This Row],[Total Healthcare Expenditures
(All Categories):
Base Scenario]]*Table15364345462[[#This Row],[Smoking-Attributable Fraction (SAF) of Healthcare Expenditures
Base Scenario]]</f>
        <v>203958000</v>
      </c>
      <c r="K59" s="43">
        <f>Table15364345462[[#This Row],[Total Healthcare Expenditures
(All Categories):
Base Scenario]]*Table15364345462[[#This Row],[Smoking-Attributable Fraction (SAF) of Healthcare Expenditures: Lower Bound
Base Scenario]]</f>
        <v>173742000</v>
      </c>
      <c r="L59" s="43">
        <f>Table15364345462[[#This Row],[Total Healthcare Expenditures
(All Categories):
Base Scenario]]*Table15364345462[[#This Row],[Smoking-Attributable Fraction (SAF) of Healthcare Expenditures: Upper Bound
Base Scenario]]</f>
        <v>327340000</v>
      </c>
      <c r="M59" s="43">
        <f>Table15364345462[[#This Row],[Total Government Healthcare Expenditures
(including national insurance):
Base Scenario]]*Table15364345462[[#This Row],[Smoking-Attributable Fraction (SAF) of Healthcare Expenditures
Base Scenario]]</f>
        <v>73953000</v>
      </c>
      <c r="N59" s="43">
        <f>Table15364345462[[#This Row],[Total Government Healthcare Expenditures
(including national insurance):
Base Scenario]]*Table15364345462[[#This Row],[Smoking-Attributable Fraction (SAF) of Healthcare Expenditures: Lower Bound
Base Scenario]]</f>
        <v>62997000.000000007</v>
      </c>
      <c r="O59" s="43">
        <f>Table15364345462[[#This Row],[Total Government Healthcare Expenditures
(including national insurance):
Base Scenario]]*Table15364345462[[#This Row],[Smoking-Attributable Fraction (SAF) of Healthcare Expenditures: Upper Bound
Base Scenario]]</f>
        <v>118690000</v>
      </c>
      <c r="P59" s="43">
        <f>Table15364345462[[#This Row],[Total Private (Out-of-Pocket) Healthcare Expenditures:
Base Scenario]]*Table15364345462[[#This Row],[Smoking-Attributable Fraction (SAF) of Healthcare Expenditures
Base Scenario]]</f>
        <v>116883000</v>
      </c>
      <c r="Q59" s="43">
        <f>Table15364345462[[#This Row],[Total Private (Out-of-Pocket) Healthcare Expenditures:
Base Scenario]]*Table15364345462[[#This Row],[Smoking-Attributable Fraction (SAF) of Healthcare Expenditures: Lower Bound
Base Scenario]]</f>
        <v>99567000.000000015</v>
      </c>
      <c r="R59" s="43">
        <f>Table15364345462[[#This Row],[Total Private (Out-of-Pocket) Healthcare Expenditures:
Base Scenario]]*Table15364345462[[#This Row],[Smoking-Attributable Fraction (SAF) of Healthcare Expenditures: Upper Bound
Base Scenario]]</f>
        <v>187590000</v>
      </c>
      <c r="S59" s="43">
        <f>Table15364345462[[#This Row],[Total Other Health Expenditures:
Base Scenario]]*Table15364345462[[#This Row],[Smoking-Attributable Fraction (SAF) of Healthcare Expenditures
Base Scenario]]</f>
        <v>13122000</v>
      </c>
      <c r="T59" s="43">
        <f>Table15364345462[[#This Row],[Total Other Health Expenditures:
Base Scenario]]*Table15364345462[[#This Row],[Smoking-Attributable Fraction (SAF) of Healthcare Expenditures: Lower Bound
Base Scenario]]</f>
        <v>11178000.000000002</v>
      </c>
      <c r="U59" s="43">
        <f>Table15364345462[[#This Row],[Total Other Health Expenditures:
Base Scenario]]*Table15364345462[[#This Row],[Smoking-Attributable Fraction (SAF) of Healthcare Expenditures: Upper Bound
Base Scenario]]</f>
        <v>21060000</v>
      </c>
      <c r="V59" s="61">
        <v>-3.6399999999999995E-2</v>
      </c>
      <c r="W59" s="60">
        <f>W58*(1+Table15364345462[[#This Row],[Relative Change in Smoking Prevalence:
Increase Cigarette Taxes]])</f>
        <v>7.8051599999999999E-2</v>
      </c>
      <c r="X59" s="60">
        <f>X58*(1+Table15364345462[[#This Row],[Relative Change in Smoking Prevalence:
Increase Cigarette Taxes]])</f>
        <v>6.6488400000000003E-2</v>
      </c>
      <c r="Y59" s="60">
        <f>Y58*(1+Table15364345462[[#This Row],[Relative Change in Smoking Prevalence:
Increase Cigarette Taxes]])</f>
        <v>0.12526800000000002</v>
      </c>
      <c r="Z59" s="66">
        <f>Table15364345462[[#This Row],[Total Healthcare Expenditures
(All Categories):
Base Scenario]]*Table15364345462[[#This Row],[Smoking-Attributable Fraction (SAF) of Healthcare Expenditures:
Adjusted for Intervention Impacts]]</f>
        <v>196533928.79999998</v>
      </c>
      <c r="AA59" s="64">
        <f>Table15364345462[[#This Row],[Total Healthcare Expenditures
(All Categories):
Base Scenario]]*Table15364345462[[#This Row],[Smoking-Attributable Fraction (SAF) of Healthcare Expenditures: Lower Bound
Adjusted for Intervention Impacts]]</f>
        <v>167417791.20000002</v>
      </c>
      <c r="AB59" s="66">
        <f>Table15364345462[[#This Row],[Total Healthcare Expenditures
(All Categories):
Base Scenario]]*Table15364345462[[#This Row],[Smoking-Attributable Fraction (SAF) of Healthcare Expenditures: Upper Bound
Adjusted for Intervention Impacts]]</f>
        <v>315424824.00000006</v>
      </c>
      <c r="AC59" s="66">
        <f>Table15364345462[[#This Row],[Total Government Healthcare Expenditures
(including national insurance):
Base Scenario]]*Table15364345462[[#This Row],[Smoking-Attributable Fraction (SAF) of Healthcare Expenditures:
Adjusted for Intervention Impacts]]</f>
        <v>71261110.799999997</v>
      </c>
      <c r="AD59" s="66">
        <f>Table15364345462[[#This Row],[Total Government Healthcare Expenditures
(including national insurance):
Base Scenario]]*Table15364345462[[#This Row],[Smoking-Attributable Fraction (SAF) of Healthcare Expenditures: Lower Bound
Adjusted for Intervention Impacts]]</f>
        <v>60703909.200000003</v>
      </c>
      <c r="AE59" s="66">
        <f>Table15364345462[[#This Row],[Total Government Healthcare Expenditures
(including national insurance):
Base Scenario]]*Table15364345462[[#This Row],[Smoking-Attributable Fraction (SAF) of Healthcare Expenditures: Upper Bound
Adjusted for Intervention Impacts]]</f>
        <v>114369684.00000001</v>
      </c>
      <c r="AF59" s="66">
        <f>Table15364345462[[#This Row],[Total Private (Out-of-Pocket) Healthcare Expenditures:
Base Scenario]]*Table15364345462[[#This Row],[Smoking-Attributable Fraction (SAF) of Healthcare Expenditures:
Adjusted for Intervention Impacts]]</f>
        <v>112628458.8</v>
      </c>
      <c r="AG59" s="66">
        <f>Table15364345462[[#This Row],[Total Private (Out-of-Pocket) Healthcare Expenditures:
Base Scenario]]*Table15364345462[[#This Row],[Smoking-Attributable Fraction (SAF) of Healthcare Expenditures: Lower Bound
Adjusted for Intervention Impacts]]</f>
        <v>95942761.200000003</v>
      </c>
      <c r="AH59" s="66">
        <f>Table15364345462[[#This Row],[Total Private (Out-of-Pocket) Healthcare Expenditures:
Base Scenario]]*Table15364345462[[#This Row],[Smoking-Attributable Fraction (SAF) of Healthcare Expenditures: Upper Bound
Adjusted for Intervention Impacts]]</f>
        <v>180761724.00000003</v>
      </c>
      <c r="AI59" s="65">
        <f>Table15364345462[[#This Row],[Total Other Health Expenditures:
Base Scenario]]*Table15364345462[[#This Row],[Smoking-Attributable Fraction (SAF) of Healthcare Expenditures:
Adjusted for Intervention Impacts]]</f>
        <v>12644359.199999999</v>
      </c>
      <c r="AJ59" s="65">
        <f>Table15364345462[[#This Row],[Total Other Health Expenditures:
Base Scenario]]*Table15364345462[[#This Row],[Smoking-Attributable Fraction (SAF) of Healthcare Expenditures: Lower Bound
Adjusted for Intervention Impacts]]</f>
        <v>10771120.800000001</v>
      </c>
      <c r="AK59" s="65">
        <f>Table15364345462[[#This Row],[Total Other Health Expenditures:
Base Scenario]]*Table15364345462[[#This Row],[Smoking-Attributable Fraction (SAF) of Healthcare Expenditures: Upper Bound
Adjusted for Intervention Impacts]]</f>
        <v>20293416.000000004</v>
      </c>
      <c r="AL59" s="76">
        <f>Table15364345462[[#This Row],[Smoking-Attributable Total Healthcare Expenditures:
Base Scenario]]-Table15364345462[[#This Row],[Smoking-Attributable Total Healthcare Expenditures:
Intervention Scenario]]</f>
        <v>7424071.2000000179</v>
      </c>
      <c r="AM59" s="76">
        <f>Table15364345462[[#This Row],[Smoking-Attributable Total Healthcare Expenditures: Lower Bound
Base Scenario]]-Table15364345462[[#This Row],[Smoking-Attributable Total Healthcare Expenditures: Lower Bound
Intervention Scenario]]</f>
        <v>6324208.7999999821</v>
      </c>
      <c r="AN59" s="76">
        <f>Table15364345462[[#This Row],[Smoking-Attributable Total Healthcare Expenditures: Upper Bound
Base Scenario]]-Table15364345462[[#This Row],[Smoking-Attributable Total Healthcare Expenditures: Upper Bound
Intervention Scenario]]</f>
        <v>11915175.99999994</v>
      </c>
      <c r="AO59" s="76">
        <f>Table15364345462[[#This Row],[Smoking-Attributable Government Healthcare Expenditures
(including national insurance):
Base Scenario]]-Table15364345462[[#This Row],[Smoking-Attributable Government Healthcare Expenditures
(including national insurance):
Intervention Scenario]]</f>
        <v>2691889.200000003</v>
      </c>
      <c r="AP59"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2293090.8000000045</v>
      </c>
      <c r="AQ59"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4320315.9999999851</v>
      </c>
      <c r="AR59" s="76">
        <f>Table15364345462[[#This Row],[Smoking-Attributable Private Healthcare Expenditures:
Base Scenario]]-Table15364345462[[#This Row],[Smoking-Attributable Private Healthcare Expenditures:
Intervention Scenario]]</f>
        <v>4254541.200000003</v>
      </c>
      <c r="AS59" s="76">
        <f>Table15364345462[[#This Row],[Smoking-Attributable Private Healthcare Expenditures: Lower Bound
Base Scenario]]-Table15364345462[[#This Row],[Smoking-Attributable Private Healthcare Expenditures: Lower Bound
Intervention Scenario]]</f>
        <v>3624238.8000000119</v>
      </c>
      <c r="AT59" s="76">
        <f>Table15364345462[[#This Row],[Smoking-Attributable Private Healthcare Expenditures: Upper Bound
Base Scenario]]-Table15364345462[[#This Row],[Smoking-Attributable Private Healthcare Expenditures: Upper Bound
Intervention Scenario]]</f>
        <v>6828275.9999999702</v>
      </c>
      <c r="AU59" s="76">
        <f>Table15364345462[[#This Row],[Smoking-Attributable Other Health Expenditures:
Base Scenario]]-Table15364345462[[#This Row],[Smoking-Attributable Other Health Expenditures:
Intervention Scenario]]</f>
        <v>477640.80000000075</v>
      </c>
      <c r="AV59" s="235">
        <f>Table15364345462[[#This Row],[Smoking-Attributable Other Health Expenditures: Lower Bound
Base Scenario]]-Table15364345462[[#This Row],[Smoking-Attributable Other Health Expenditures: Lower Bound
Intervention Scenario]]</f>
        <v>406879.20000000112</v>
      </c>
      <c r="AW59" s="235">
        <f>Table15364345462[[#This Row],[Smoking-Attributable Other Health Expenditures: Upper Bound
Base Scenario]]-Table15364345462[[#This Row],[Smoking-Attributable Other Health Expenditures: Upper Bound
Intervention Scenario]]</f>
        <v>766583.99999999627</v>
      </c>
    </row>
    <row r="60" spans="2:49">
      <c r="B60" s="47">
        <v>2</v>
      </c>
      <c r="C60" s="48">
        <f t="shared" si="12"/>
        <v>2518000000</v>
      </c>
      <c r="D60" s="48">
        <f t="shared" si="13"/>
        <v>913000000</v>
      </c>
      <c r="E60" s="48">
        <f t="shared" si="14"/>
        <v>1443000000</v>
      </c>
      <c r="F60" s="48">
        <f t="shared" si="15"/>
        <v>162000000</v>
      </c>
      <c r="G60" s="232">
        <f t="shared" si="16"/>
        <v>8.1000000000000003E-2</v>
      </c>
      <c r="H60" s="46">
        <f t="shared" si="20"/>
        <v>6.9000000000000006E-2</v>
      </c>
      <c r="I60" s="46">
        <f t="shared" si="17"/>
        <v>0.13</v>
      </c>
      <c r="J60" s="43">
        <f>Table15364345462[[#This Row],[Total Healthcare Expenditures
(All Categories):
Base Scenario]]*Table15364345462[[#This Row],[Smoking-Attributable Fraction (SAF) of Healthcare Expenditures
Base Scenario]]</f>
        <v>203958000</v>
      </c>
      <c r="K60" s="43">
        <f>Table15364345462[[#This Row],[Total Healthcare Expenditures
(All Categories):
Base Scenario]]*Table15364345462[[#This Row],[Smoking-Attributable Fraction (SAF) of Healthcare Expenditures: Lower Bound
Base Scenario]]</f>
        <v>173742000</v>
      </c>
      <c r="L60" s="43">
        <f>Table15364345462[[#This Row],[Total Healthcare Expenditures
(All Categories):
Base Scenario]]*Table15364345462[[#This Row],[Smoking-Attributable Fraction (SAF) of Healthcare Expenditures: Upper Bound
Base Scenario]]</f>
        <v>327340000</v>
      </c>
      <c r="M60" s="43">
        <f>Table15364345462[[#This Row],[Total Government Healthcare Expenditures
(including national insurance):
Base Scenario]]*Table15364345462[[#This Row],[Smoking-Attributable Fraction (SAF) of Healthcare Expenditures
Base Scenario]]</f>
        <v>73953000</v>
      </c>
      <c r="N60" s="43">
        <f>Table15364345462[[#This Row],[Total Government Healthcare Expenditures
(including national insurance):
Base Scenario]]*Table15364345462[[#This Row],[Smoking-Attributable Fraction (SAF) of Healthcare Expenditures: Lower Bound
Base Scenario]]</f>
        <v>62997000.000000007</v>
      </c>
      <c r="O60" s="43">
        <f>Table15364345462[[#This Row],[Total Government Healthcare Expenditures
(including national insurance):
Base Scenario]]*Table15364345462[[#This Row],[Smoking-Attributable Fraction (SAF) of Healthcare Expenditures: Upper Bound
Base Scenario]]</f>
        <v>118690000</v>
      </c>
      <c r="P60" s="43">
        <f>Table15364345462[[#This Row],[Total Private (Out-of-Pocket) Healthcare Expenditures:
Base Scenario]]*Table15364345462[[#This Row],[Smoking-Attributable Fraction (SAF) of Healthcare Expenditures
Base Scenario]]</f>
        <v>116883000</v>
      </c>
      <c r="Q60" s="43">
        <f>Table15364345462[[#This Row],[Total Private (Out-of-Pocket) Healthcare Expenditures:
Base Scenario]]*Table15364345462[[#This Row],[Smoking-Attributable Fraction (SAF) of Healthcare Expenditures: Lower Bound
Base Scenario]]</f>
        <v>99567000.000000015</v>
      </c>
      <c r="R60" s="43">
        <f>Table15364345462[[#This Row],[Total Private (Out-of-Pocket) Healthcare Expenditures:
Base Scenario]]*Table15364345462[[#This Row],[Smoking-Attributable Fraction (SAF) of Healthcare Expenditures: Upper Bound
Base Scenario]]</f>
        <v>187590000</v>
      </c>
      <c r="S60" s="43">
        <f>Table15364345462[[#This Row],[Total Other Health Expenditures:
Base Scenario]]*Table15364345462[[#This Row],[Smoking-Attributable Fraction (SAF) of Healthcare Expenditures
Base Scenario]]</f>
        <v>13122000</v>
      </c>
      <c r="T60" s="43">
        <f>Table15364345462[[#This Row],[Total Other Health Expenditures:
Base Scenario]]*Table15364345462[[#This Row],[Smoking-Attributable Fraction (SAF) of Healthcare Expenditures: Lower Bound
Base Scenario]]</f>
        <v>11178000.000000002</v>
      </c>
      <c r="U60" s="43">
        <f>Table15364345462[[#This Row],[Total Other Health Expenditures:
Base Scenario]]*Table15364345462[[#This Row],[Smoking-Attributable Fraction (SAF) of Healthcare Expenditures: Upper Bound
Base Scenario]]</f>
        <v>21060000</v>
      </c>
      <c r="V60" s="61">
        <v>-3.6399999999999995E-2</v>
      </c>
      <c r="W60" s="60">
        <f>W59*(1+Table15364345462[[#This Row],[Relative Change in Smoking Prevalence:
Increase Cigarette Taxes]])</f>
        <v>7.5210521759999996E-2</v>
      </c>
      <c r="X60" s="60">
        <f>X59*(1+Table15364345462[[#This Row],[Relative Change in Smoking Prevalence:
Increase Cigarette Taxes]])</f>
        <v>6.406822224E-2</v>
      </c>
      <c r="Y60" s="60">
        <f>Y59*(1+Table15364345462[[#This Row],[Relative Change in Smoking Prevalence:
Increase Cigarette Taxes]])</f>
        <v>0.12070824480000002</v>
      </c>
      <c r="Z60" s="66">
        <f>Table15364345462[[#This Row],[Total Healthcare Expenditures
(All Categories):
Base Scenario]]*Table15364345462[[#This Row],[Smoking-Attributable Fraction (SAF) of Healthcare Expenditures:
Adjusted for Intervention Impacts]]</f>
        <v>189380093.79167998</v>
      </c>
      <c r="AA60" s="64">
        <f>Table15364345462[[#This Row],[Total Healthcare Expenditures
(All Categories):
Base Scenario]]*Table15364345462[[#This Row],[Smoking-Attributable Fraction (SAF) of Healthcare Expenditures: Lower Bound
Adjusted for Intervention Impacts]]</f>
        <v>161323783.60032001</v>
      </c>
      <c r="AB60" s="66">
        <f>Table15364345462[[#This Row],[Total Healthcare Expenditures
(All Categories):
Base Scenario]]*Table15364345462[[#This Row],[Smoking-Attributable Fraction (SAF) of Healthcare Expenditures: Upper Bound
Adjusted for Intervention Impacts]]</f>
        <v>303943360.40640002</v>
      </c>
      <c r="AC60" s="66">
        <f>Table15364345462[[#This Row],[Total Government Healthcare Expenditures
(including national insurance):
Base Scenario]]*Table15364345462[[#This Row],[Smoking-Attributable Fraction (SAF) of Healthcare Expenditures:
Adjusted for Intervention Impacts]]</f>
        <v>68667206.36688</v>
      </c>
      <c r="AD60" s="66">
        <f>Table15364345462[[#This Row],[Total Government Healthcare Expenditures
(including national insurance):
Base Scenario]]*Table15364345462[[#This Row],[Smoking-Attributable Fraction (SAF) of Healthcare Expenditures: Lower Bound
Adjusted for Intervention Impacts]]</f>
        <v>58494286.90512</v>
      </c>
      <c r="AE60" s="66">
        <f>Table15364345462[[#This Row],[Total Government Healthcare Expenditures
(including national insurance):
Base Scenario]]*Table15364345462[[#This Row],[Smoking-Attributable Fraction (SAF) of Healthcare Expenditures: Upper Bound
Adjusted for Intervention Impacts]]</f>
        <v>110206627.50240001</v>
      </c>
      <c r="AF60" s="66">
        <f>Table15364345462[[#This Row],[Total Private (Out-of-Pocket) Healthcare Expenditures:
Base Scenario]]*Table15364345462[[#This Row],[Smoking-Attributable Fraction (SAF) of Healthcare Expenditures:
Adjusted for Intervention Impacts]]</f>
        <v>108528782.89967999</v>
      </c>
      <c r="AG60" s="66">
        <f>Table15364345462[[#This Row],[Total Private (Out-of-Pocket) Healthcare Expenditures:
Base Scenario]]*Table15364345462[[#This Row],[Smoking-Attributable Fraction (SAF) of Healthcare Expenditures: Lower Bound
Adjusted for Intervention Impacts]]</f>
        <v>92450444.692320004</v>
      </c>
      <c r="AH60" s="66">
        <f>Table15364345462[[#This Row],[Total Private (Out-of-Pocket) Healthcare Expenditures:
Base Scenario]]*Table15364345462[[#This Row],[Smoking-Attributable Fraction (SAF) of Healthcare Expenditures: Upper Bound
Adjusted for Intervention Impacts]]</f>
        <v>174181997.24640003</v>
      </c>
      <c r="AI60" s="65">
        <f>Table15364345462[[#This Row],[Total Other Health Expenditures:
Base Scenario]]*Table15364345462[[#This Row],[Smoking-Attributable Fraction (SAF) of Healthcare Expenditures:
Adjusted for Intervention Impacts]]</f>
        <v>12184104.525119999</v>
      </c>
      <c r="AJ60" s="65">
        <f>Table15364345462[[#This Row],[Total Other Health Expenditures:
Base Scenario]]*Table15364345462[[#This Row],[Smoking-Attributable Fraction (SAF) of Healthcare Expenditures: Lower Bound
Adjusted for Intervention Impacts]]</f>
        <v>10379052.00288</v>
      </c>
      <c r="AK60" s="65">
        <f>Table15364345462[[#This Row],[Total Other Health Expenditures:
Base Scenario]]*Table15364345462[[#This Row],[Smoking-Attributable Fraction (SAF) of Healthcare Expenditures: Upper Bound
Adjusted for Intervention Impacts]]</f>
        <v>19554735.657600004</v>
      </c>
      <c r="AL60" s="76">
        <f>Table15364345462[[#This Row],[Smoking-Attributable Total Healthcare Expenditures:
Base Scenario]]-Table15364345462[[#This Row],[Smoking-Attributable Total Healthcare Expenditures:
Intervention Scenario]]</f>
        <v>14577906.208320022</v>
      </c>
      <c r="AM60" s="76">
        <f>Table15364345462[[#This Row],[Smoking-Attributable Total Healthcare Expenditures: Lower Bound
Base Scenario]]-Table15364345462[[#This Row],[Smoking-Attributable Total Healthcare Expenditures: Lower Bound
Intervention Scenario]]</f>
        <v>12418216.399679989</v>
      </c>
      <c r="AN60" s="76">
        <f>Table15364345462[[#This Row],[Smoking-Attributable Total Healthcare Expenditures: Upper Bound
Base Scenario]]-Table15364345462[[#This Row],[Smoking-Attributable Total Healthcare Expenditures: Upper Bound
Intervention Scenario]]</f>
        <v>23396639.593599975</v>
      </c>
      <c r="AO60" s="76">
        <f>Table15364345462[[#This Row],[Smoking-Attributable Government Healthcare Expenditures
(including national insurance):
Base Scenario]]-Table15364345462[[#This Row],[Smoking-Attributable Government Healthcare Expenditures
(including national insurance):
Intervention Scenario]]</f>
        <v>5285793.6331200004</v>
      </c>
      <c r="AP60"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4502713.0948800072</v>
      </c>
      <c r="AQ60"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8483372.4975999892</v>
      </c>
      <c r="AR60" s="76">
        <f>Table15364345462[[#This Row],[Smoking-Attributable Private Healthcare Expenditures:
Base Scenario]]-Table15364345462[[#This Row],[Smoking-Attributable Private Healthcare Expenditures:
Intervention Scenario]]</f>
        <v>8354217.1003200114</v>
      </c>
      <c r="AS60" s="76">
        <f>Table15364345462[[#This Row],[Smoking-Attributable Private Healthcare Expenditures: Lower Bound
Base Scenario]]-Table15364345462[[#This Row],[Smoking-Attributable Private Healthcare Expenditures: Lower Bound
Intervention Scenario]]</f>
        <v>7116555.3076800108</v>
      </c>
      <c r="AT60" s="76">
        <f>Table15364345462[[#This Row],[Smoking-Attributable Private Healthcare Expenditures: Upper Bound
Base Scenario]]-Table15364345462[[#This Row],[Smoking-Attributable Private Healthcare Expenditures: Upper Bound
Intervention Scenario]]</f>
        <v>13408002.753599972</v>
      </c>
      <c r="AU60" s="76">
        <f>Table15364345462[[#This Row],[Smoking-Attributable Other Health Expenditures:
Base Scenario]]-Table15364345462[[#This Row],[Smoking-Attributable Other Health Expenditures:
Intervention Scenario]]</f>
        <v>937895.47488000058</v>
      </c>
      <c r="AV60" s="235">
        <f>Table15364345462[[#This Row],[Smoking-Attributable Other Health Expenditures: Lower Bound
Base Scenario]]-Table15364345462[[#This Row],[Smoking-Attributable Other Health Expenditures: Lower Bound
Intervention Scenario]]</f>
        <v>798947.99712000228</v>
      </c>
      <c r="AW60" s="235">
        <f>Table15364345462[[#This Row],[Smoking-Attributable Other Health Expenditures: Upper Bound
Base Scenario]]-Table15364345462[[#This Row],[Smoking-Attributable Other Health Expenditures: Upper Bound
Intervention Scenario]]</f>
        <v>1505264.3423999958</v>
      </c>
    </row>
    <row r="61" spans="2:49">
      <c r="B61" s="47">
        <v>3</v>
      </c>
      <c r="C61" s="48">
        <f t="shared" si="12"/>
        <v>2518000000</v>
      </c>
      <c r="D61" s="48">
        <f t="shared" si="13"/>
        <v>913000000</v>
      </c>
      <c r="E61" s="48">
        <f t="shared" si="14"/>
        <v>1443000000</v>
      </c>
      <c r="F61" s="48">
        <f t="shared" si="15"/>
        <v>162000000</v>
      </c>
      <c r="G61" s="232">
        <f t="shared" si="16"/>
        <v>8.1000000000000003E-2</v>
      </c>
      <c r="H61" s="46">
        <f t="shared" si="20"/>
        <v>6.9000000000000006E-2</v>
      </c>
      <c r="I61" s="46">
        <f t="shared" si="17"/>
        <v>0.13</v>
      </c>
      <c r="J61" s="43">
        <f>Table15364345462[[#This Row],[Total Healthcare Expenditures
(All Categories):
Base Scenario]]*Table15364345462[[#This Row],[Smoking-Attributable Fraction (SAF) of Healthcare Expenditures
Base Scenario]]</f>
        <v>203958000</v>
      </c>
      <c r="K61" s="43">
        <f>Table15364345462[[#This Row],[Total Healthcare Expenditures
(All Categories):
Base Scenario]]*Table15364345462[[#This Row],[Smoking-Attributable Fraction (SAF) of Healthcare Expenditures: Lower Bound
Base Scenario]]</f>
        <v>173742000</v>
      </c>
      <c r="L61" s="43">
        <f>Table15364345462[[#This Row],[Total Healthcare Expenditures
(All Categories):
Base Scenario]]*Table15364345462[[#This Row],[Smoking-Attributable Fraction (SAF) of Healthcare Expenditures: Upper Bound
Base Scenario]]</f>
        <v>327340000</v>
      </c>
      <c r="M61" s="43">
        <f>Table15364345462[[#This Row],[Total Government Healthcare Expenditures
(including national insurance):
Base Scenario]]*Table15364345462[[#This Row],[Smoking-Attributable Fraction (SAF) of Healthcare Expenditures
Base Scenario]]</f>
        <v>73953000</v>
      </c>
      <c r="N61" s="43">
        <f>Table15364345462[[#This Row],[Total Government Healthcare Expenditures
(including national insurance):
Base Scenario]]*Table15364345462[[#This Row],[Smoking-Attributable Fraction (SAF) of Healthcare Expenditures: Lower Bound
Base Scenario]]</f>
        <v>62997000.000000007</v>
      </c>
      <c r="O61" s="43">
        <f>Table15364345462[[#This Row],[Total Government Healthcare Expenditures
(including national insurance):
Base Scenario]]*Table15364345462[[#This Row],[Smoking-Attributable Fraction (SAF) of Healthcare Expenditures: Upper Bound
Base Scenario]]</f>
        <v>118690000</v>
      </c>
      <c r="P61" s="43">
        <f>Table15364345462[[#This Row],[Total Private (Out-of-Pocket) Healthcare Expenditures:
Base Scenario]]*Table15364345462[[#This Row],[Smoking-Attributable Fraction (SAF) of Healthcare Expenditures
Base Scenario]]</f>
        <v>116883000</v>
      </c>
      <c r="Q61" s="43">
        <f>Table15364345462[[#This Row],[Total Private (Out-of-Pocket) Healthcare Expenditures:
Base Scenario]]*Table15364345462[[#This Row],[Smoking-Attributable Fraction (SAF) of Healthcare Expenditures: Lower Bound
Base Scenario]]</f>
        <v>99567000.000000015</v>
      </c>
      <c r="R61" s="43">
        <f>Table15364345462[[#This Row],[Total Private (Out-of-Pocket) Healthcare Expenditures:
Base Scenario]]*Table15364345462[[#This Row],[Smoking-Attributable Fraction (SAF) of Healthcare Expenditures: Upper Bound
Base Scenario]]</f>
        <v>187590000</v>
      </c>
      <c r="S61" s="43">
        <f>Table15364345462[[#This Row],[Total Other Health Expenditures:
Base Scenario]]*Table15364345462[[#This Row],[Smoking-Attributable Fraction (SAF) of Healthcare Expenditures
Base Scenario]]</f>
        <v>13122000</v>
      </c>
      <c r="T61" s="43">
        <f>Table15364345462[[#This Row],[Total Other Health Expenditures:
Base Scenario]]*Table15364345462[[#This Row],[Smoking-Attributable Fraction (SAF) of Healthcare Expenditures: Lower Bound
Base Scenario]]</f>
        <v>11178000.000000002</v>
      </c>
      <c r="U61" s="43">
        <f>Table15364345462[[#This Row],[Total Other Health Expenditures:
Base Scenario]]*Table15364345462[[#This Row],[Smoking-Attributable Fraction (SAF) of Healthcare Expenditures: Upper Bound
Base Scenario]]</f>
        <v>21060000</v>
      </c>
      <c r="V61" s="61">
        <v>-3.6399999999999995E-2</v>
      </c>
      <c r="W61" s="60">
        <f>W60*(1+Table15364345462[[#This Row],[Relative Change in Smoking Prevalence:
Increase Cigarette Taxes]])</f>
        <v>7.2472858767935994E-2</v>
      </c>
      <c r="X61" s="60">
        <f>X60*(1+Table15364345462[[#This Row],[Relative Change in Smoking Prevalence:
Increase Cigarette Taxes]])</f>
        <v>6.1736138950464002E-2</v>
      </c>
      <c r="Y61" s="60">
        <f>Y60*(1+Table15364345462[[#This Row],[Relative Change in Smoking Prevalence:
Increase Cigarette Taxes]])</f>
        <v>0.11631446468928001</v>
      </c>
      <c r="Z61" s="66">
        <f>Table15364345462[[#This Row],[Total Healthcare Expenditures
(All Categories):
Base Scenario]]*Table15364345462[[#This Row],[Smoking-Attributable Fraction (SAF) of Healthcare Expenditures:
Adjusted for Intervention Impacts]]</f>
        <v>182486658.37766284</v>
      </c>
      <c r="AA61" s="64">
        <f>Table15364345462[[#This Row],[Total Healthcare Expenditures
(All Categories):
Base Scenario]]*Table15364345462[[#This Row],[Smoking-Attributable Fraction (SAF) of Healthcare Expenditures: Lower Bound
Adjusted for Intervention Impacts]]</f>
        <v>155451597.87726834</v>
      </c>
      <c r="AB61" s="66">
        <f>Table15364345462[[#This Row],[Total Healthcare Expenditures
(All Categories):
Base Scenario]]*Table15364345462[[#This Row],[Smoking-Attributable Fraction (SAF) of Healthcare Expenditures: Upper Bound
Adjusted for Intervention Impacts]]</f>
        <v>292879822.08760709</v>
      </c>
      <c r="AC61" s="66">
        <f>Table15364345462[[#This Row],[Total Government Healthcare Expenditures
(including national insurance):
Base Scenario]]*Table15364345462[[#This Row],[Smoking-Attributable Fraction (SAF) of Healthcare Expenditures:
Adjusted for Intervention Impacts]]</f>
        <v>66167720.055125564</v>
      </c>
      <c r="AD61" s="66">
        <f>Table15364345462[[#This Row],[Total Government Healthcare Expenditures
(including national insurance):
Base Scenario]]*Table15364345462[[#This Row],[Smoking-Attributable Fraction (SAF) of Healthcare Expenditures: Lower Bound
Adjusted for Intervention Impacts]]</f>
        <v>56365094.861773632</v>
      </c>
      <c r="AE61" s="66">
        <f>Table15364345462[[#This Row],[Total Government Healthcare Expenditures
(including national insurance):
Base Scenario]]*Table15364345462[[#This Row],[Smoking-Attributable Fraction (SAF) of Healthcare Expenditures: Upper Bound
Adjusted for Intervention Impacts]]</f>
        <v>106195106.26131265</v>
      </c>
      <c r="AF61" s="66">
        <f>Table15364345462[[#This Row],[Total Private (Out-of-Pocket) Healthcare Expenditures:
Base Scenario]]*Table15364345462[[#This Row],[Smoking-Attributable Fraction (SAF) of Healthcare Expenditures:
Adjusted for Intervention Impacts]]</f>
        <v>104578335.20213164</v>
      </c>
      <c r="AG61" s="66">
        <f>Table15364345462[[#This Row],[Total Private (Out-of-Pocket) Healthcare Expenditures:
Base Scenario]]*Table15364345462[[#This Row],[Smoking-Attributable Fraction (SAF) of Healthcare Expenditures: Lower Bound
Adjusted for Intervention Impacts]]</f>
        <v>89085248.505519554</v>
      </c>
      <c r="AH61" s="66">
        <f>Table15364345462[[#This Row],[Total Private (Out-of-Pocket) Healthcare Expenditures:
Base Scenario]]*Table15364345462[[#This Row],[Smoking-Attributable Fraction (SAF) of Healthcare Expenditures: Upper Bound
Adjusted for Intervention Impacts]]</f>
        <v>167841772.54663107</v>
      </c>
      <c r="AI61" s="65">
        <f>Table15364345462[[#This Row],[Total Other Health Expenditures:
Base Scenario]]*Table15364345462[[#This Row],[Smoking-Attributable Fraction (SAF) of Healthcare Expenditures:
Adjusted for Intervention Impacts]]</f>
        <v>11740603.120405631</v>
      </c>
      <c r="AJ61" s="65">
        <f>Table15364345462[[#This Row],[Total Other Health Expenditures:
Base Scenario]]*Table15364345462[[#This Row],[Smoking-Attributable Fraction (SAF) of Healthcare Expenditures: Lower Bound
Adjusted for Intervention Impacts]]</f>
        <v>10001254.509975169</v>
      </c>
      <c r="AK61" s="65">
        <f>Table15364345462[[#This Row],[Total Other Health Expenditures:
Base Scenario]]*Table15364345462[[#This Row],[Smoking-Attributable Fraction (SAF) of Healthcare Expenditures: Upper Bound
Adjusted for Intervention Impacts]]</f>
        <v>18842943.279663362</v>
      </c>
      <c r="AL61" s="76">
        <f>Table15364345462[[#This Row],[Smoking-Attributable Total Healthcare Expenditures:
Base Scenario]]-Table15364345462[[#This Row],[Smoking-Attributable Total Healthcare Expenditures:
Intervention Scenario]]</f>
        <v>21471341.622337162</v>
      </c>
      <c r="AM61" s="76">
        <f>Table15364345462[[#This Row],[Smoking-Attributable Total Healthcare Expenditures: Lower Bound
Base Scenario]]-Table15364345462[[#This Row],[Smoking-Attributable Total Healthcare Expenditures: Lower Bound
Intervention Scenario]]</f>
        <v>18290402.122731656</v>
      </c>
      <c r="AN61" s="76">
        <f>Table15364345462[[#This Row],[Smoking-Attributable Total Healthcare Expenditures: Upper Bound
Base Scenario]]-Table15364345462[[#This Row],[Smoking-Attributable Total Healthcare Expenditures: Upper Bound
Intervention Scenario]]</f>
        <v>34460177.912392914</v>
      </c>
      <c r="AO61" s="76">
        <f>Table15364345462[[#This Row],[Smoking-Attributable Government Healthcare Expenditures
(including national insurance):
Base Scenario]]-Table15364345462[[#This Row],[Smoking-Attributable Government Healthcare Expenditures
(including national insurance):
Intervention Scenario]]</f>
        <v>7785279.9448744357</v>
      </c>
      <c r="AP61"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6631905.138226375</v>
      </c>
      <c r="AQ61"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12494893.738687351</v>
      </c>
      <c r="AR61" s="76">
        <f>Table15364345462[[#This Row],[Smoking-Attributable Private Healthcare Expenditures:
Base Scenario]]-Table15364345462[[#This Row],[Smoking-Attributable Private Healthcare Expenditures:
Intervention Scenario]]</f>
        <v>12304664.797868356</v>
      </c>
      <c r="AS61" s="76">
        <f>Table15364345462[[#This Row],[Smoking-Attributable Private Healthcare Expenditures: Lower Bound
Base Scenario]]-Table15364345462[[#This Row],[Smoking-Attributable Private Healthcare Expenditures: Lower Bound
Intervention Scenario]]</f>
        <v>10481751.494480461</v>
      </c>
      <c r="AT61" s="76">
        <f>Table15364345462[[#This Row],[Smoking-Attributable Private Healthcare Expenditures: Upper Bound
Base Scenario]]-Table15364345462[[#This Row],[Smoking-Attributable Private Healthcare Expenditures: Upper Bound
Intervention Scenario]]</f>
        <v>19748227.453368932</v>
      </c>
      <c r="AU61" s="76">
        <f>Table15364345462[[#This Row],[Smoking-Attributable Other Health Expenditures:
Base Scenario]]-Table15364345462[[#This Row],[Smoking-Attributable Other Health Expenditures:
Intervention Scenario]]</f>
        <v>1381396.8795943689</v>
      </c>
      <c r="AV61" s="235">
        <f>Table15364345462[[#This Row],[Smoking-Attributable Other Health Expenditures: Lower Bound
Base Scenario]]-Table15364345462[[#This Row],[Smoking-Attributable Other Health Expenditures: Lower Bound
Intervention Scenario]]</f>
        <v>1176745.490024833</v>
      </c>
      <c r="AW61" s="235">
        <f>Table15364345462[[#This Row],[Smoking-Attributable Other Health Expenditures: Upper Bound
Base Scenario]]-Table15364345462[[#This Row],[Smoking-Attributable Other Health Expenditures: Upper Bound
Intervention Scenario]]</f>
        <v>2217056.7203366384</v>
      </c>
    </row>
    <row r="62" spans="2:49">
      <c r="B62" s="47">
        <v>4</v>
      </c>
      <c r="C62" s="48">
        <f t="shared" si="12"/>
        <v>2518000000</v>
      </c>
      <c r="D62" s="48">
        <f t="shared" si="13"/>
        <v>913000000</v>
      </c>
      <c r="E62" s="48">
        <f t="shared" si="14"/>
        <v>1443000000</v>
      </c>
      <c r="F62" s="48">
        <f t="shared" si="15"/>
        <v>162000000</v>
      </c>
      <c r="G62" s="232">
        <f t="shared" si="16"/>
        <v>8.1000000000000003E-2</v>
      </c>
      <c r="H62" s="46">
        <f t="shared" si="20"/>
        <v>6.9000000000000006E-2</v>
      </c>
      <c r="I62" s="46">
        <f t="shared" si="17"/>
        <v>0.13</v>
      </c>
      <c r="J62" s="43">
        <f>Table15364345462[[#This Row],[Total Healthcare Expenditures
(All Categories):
Base Scenario]]*Table15364345462[[#This Row],[Smoking-Attributable Fraction (SAF) of Healthcare Expenditures
Base Scenario]]</f>
        <v>203958000</v>
      </c>
      <c r="K62" s="43">
        <f>Table15364345462[[#This Row],[Total Healthcare Expenditures
(All Categories):
Base Scenario]]*Table15364345462[[#This Row],[Smoking-Attributable Fraction (SAF) of Healthcare Expenditures: Lower Bound
Base Scenario]]</f>
        <v>173742000</v>
      </c>
      <c r="L62" s="43">
        <f>Table15364345462[[#This Row],[Total Healthcare Expenditures
(All Categories):
Base Scenario]]*Table15364345462[[#This Row],[Smoking-Attributable Fraction (SAF) of Healthcare Expenditures: Upper Bound
Base Scenario]]</f>
        <v>327340000</v>
      </c>
      <c r="M62" s="43">
        <f>Table15364345462[[#This Row],[Total Government Healthcare Expenditures
(including national insurance):
Base Scenario]]*Table15364345462[[#This Row],[Smoking-Attributable Fraction (SAF) of Healthcare Expenditures
Base Scenario]]</f>
        <v>73953000</v>
      </c>
      <c r="N62" s="43">
        <f>Table15364345462[[#This Row],[Total Government Healthcare Expenditures
(including national insurance):
Base Scenario]]*Table15364345462[[#This Row],[Smoking-Attributable Fraction (SAF) of Healthcare Expenditures: Lower Bound
Base Scenario]]</f>
        <v>62997000.000000007</v>
      </c>
      <c r="O62" s="43">
        <f>Table15364345462[[#This Row],[Total Government Healthcare Expenditures
(including national insurance):
Base Scenario]]*Table15364345462[[#This Row],[Smoking-Attributable Fraction (SAF) of Healthcare Expenditures: Upper Bound
Base Scenario]]</f>
        <v>118690000</v>
      </c>
      <c r="P62" s="43">
        <f>Table15364345462[[#This Row],[Total Private (Out-of-Pocket) Healthcare Expenditures:
Base Scenario]]*Table15364345462[[#This Row],[Smoking-Attributable Fraction (SAF) of Healthcare Expenditures
Base Scenario]]</f>
        <v>116883000</v>
      </c>
      <c r="Q62" s="43">
        <f>Table15364345462[[#This Row],[Total Private (Out-of-Pocket) Healthcare Expenditures:
Base Scenario]]*Table15364345462[[#This Row],[Smoking-Attributable Fraction (SAF) of Healthcare Expenditures: Lower Bound
Base Scenario]]</f>
        <v>99567000.000000015</v>
      </c>
      <c r="R62" s="43">
        <f>Table15364345462[[#This Row],[Total Private (Out-of-Pocket) Healthcare Expenditures:
Base Scenario]]*Table15364345462[[#This Row],[Smoking-Attributable Fraction (SAF) of Healthcare Expenditures: Upper Bound
Base Scenario]]</f>
        <v>187590000</v>
      </c>
      <c r="S62" s="43">
        <f>Table15364345462[[#This Row],[Total Other Health Expenditures:
Base Scenario]]*Table15364345462[[#This Row],[Smoking-Attributable Fraction (SAF) of Healthcare Expenditures
Base Scenario]]</f>
        <v>13122000</v>
      </c>
      <c r="T62" s="43">
        <f>Table15364345462[[#This Row],[Total Other Health Expenditures:
Base Scenario]]*Table15364345462[[#This Row],[Smoking-Attributable Fraction (SAF) of Healthcare Expenditures: Lower Bound
Base Scenario]]</f>
        <v>11178000.000000002</v>
      </c>
      <c r="U62" s="43">
        <f>Table15364345462[[#This Row],[Total Other Health Expenditures:
Base Scenario]]*Table15364345462[[#This Row],[Smoking-Attributable Fraction (SAF) of Healthcare Expenditures: Upper Bound
Base Scenario]]</f>
        <v>21060000</v>
      </c>
      <c r="V62" s="61">
        <v>-3.6399999999999995E-2</v>
      </c>
      <c r="W62" s="60">
        <f>W61*(1+Table15364345462[[#This Row],[Relative Change in Smoking Prevalence:
Increase Cigarette Taxes]])</f>
        <v>6.9834846708783122E-2</v>
      </c>
      <c r="X62" s="60">
        <f>X61*(1+Table15364345462[[#This Row],[Relative Change in Smoking Prevalence:
Increase Cigarette Taxes]])</f>
        <v>5.9488943492667111E-2</v>
      </c>
      <c r="Y62" s="60">
        <f>Y61*(1+Table15364345462[[#This Row],[Relative Change in Smoking Prevalence:
Increase Cigarette Taxes]])</f>
        <v>0.11208061817459022</v>
      </c>
      <c r="Z62" s="66">
        <f>Table15364345462[[#This Row],[Total Healthcare Expenditures
(All Categories):
Base Scenario]]*Table15364345462[[#This Row],[Smoking-Attributable Fraction (SAF) of Healthcare Expenditures:
Adjusted for Intervention Impacts]]</f>
        <v>175844144.01271591</v>
      </c>
      <c r="AA62" s="64">
        <f>Table15364345462[[#This Row],[Total Healthcare Expenditures
(All Categories):
Base Scenario]]*Table15364345462[[#This Row],[Smoking-Attributable Fraction (SAF) of Healthcare Expenditures: Lower Bound
Adjusted for Intervention Impacts]]</f>
        <v>149793159.71453577</v>
      </c>
      <c r="AB62" s="66">
        <f>Table15364345462[[#This Row],[Total Healthcare Expenditures
(All Categories):
Base Scenario]]*Table15364345462[[#This Row],[Smoking-Attributable Fraction (SAF) of Healthcare Expenditures: Upper Bound
Adjusted for Intervention Impacts]]</f>
        <v>282218996.56361818</v>
      </c>
      <c r="AC62" s="66">
        <f>Table15364345462[[#This Row],[Total Government Healthcare Expenditures
(including national insurance):
Base Scenario]]*Table15364345462[[#This Row],[Smoking-Attributable Fraction (SAF) of Healthcare Expenditures:
Adjusted for Intervention Impacts]]</f>
        <v>63759215.045118988</v>
      </c>
      <c r="AD62" s="66">
        <f>Table15364345462[[#This Row],[Total Government Healthcare Expenditures
(including national insurance):
Base Scenario]]*Table15364345462[[#This Row],[Smoking-Attributable Fraction (SAF) of Healthcare Expenditures: Lower Bound
Adjusted for Intervention Impacts]]</f>
        <v>54313405.408805072</v>
      </c>
      <c r="AE62" s="66">
        <f>Table15364345462[[#This Row],[Total Government Healthcare Expenditures
(including national insurance):
Base Scenario]]*Table15364345462[[#This Row],[Smoking-Attributable Fraction (SAF) of Healthcare Expenditures: Upper Bound
Adjusted for Intervention Impacts]]</f>
        <v>102329604.39340088</v>
      </c>
      <c r="AF62" s="66">
        <f>Table15364345462[[#This Row],[Total Private (Out-of-Pocket) Healthcare Expenditures:
Base Scenario]]*Table15364345462[[#This Row],[Smoking-Attributable Fraction (SAF) of Healthcare Expenditures:
Adjusted for Intervention Impacts]]</f>
        <v>100771683.80077404</v>
      </c>
      <c r="AG62" s="66">
        <f>Table15364345462[[#This Row],[Total Private (Out-of-Pocket) Healthcare Expenditures:
Base Scenario]]*Table15364345462[[#This Row],[Smoking-Attributable Fraction (SAF) of Healthcare Expenditures: Lower Bound
Adjusted for Intervention Impacts]]</f>
        <v>85842545.459918648</v>
      </c>
      <c r="AH62" s="66">
        <f>Table15364345462[[#This Row],[Total Private (Out-of-Pocket) Healthcare Expenditures:
Base Scenario]]*Table15364345462[[#This Row],[Smoking-Attributable Fraction (SAF) of Healthcare Expenditures: Upper Bound
Adjusted for Intervention Impacts]]</f>
        <v>161732332.02593368</v>
      </c>
      <c r="AI62" s="65">
        <f>Table15364345462[[#This Row],[Total Other Health Expenditures:
Base Scenario]]*Table15364345462[[#This Row],[Smoking-Attributable Fraction (SAF) of Healthcare Expenditures:
Adjusted for Intervention Impacts]]</f>
        <v>11313245.166822866</v>
      </c>
      <c r="AJ62" s="65">
        <f>Table15364345462[[#This Row],[Total Other Health Expenditures:
Base Scenario]]*Table15364345462[[#This Row],[Smoking-Attributable Fraction (SAF) of Healthcare Expenditures: Lower Bound
Adjusted for Intervention Impacts]]</f>
        <v>9637208.8458120711</v>
      </c>
      <c r="AK62" s="65">
        <f>Table15364345462[[#This Row],[Total Other Health Expenditures:
Base Scenario]]*Table15364345462[[#This Row],[Smoking-Attributable Fraction (SAF) of Healthcare Expenditures: Upper Bound
Adjusted for Intervention Impacts]]</f>
        <v>18157060.144283615</v>
      </c>
      <c r="AL62" s="76">
        <f>Table15364345462[[#This Row],[Smoking-Attributable Total Healthcare Expenditures:
Base Scenario]]-Table15364345462[[#This Row],[Smoking-Attributable Total Healthcare Expenditures:
Intervention Scenario]]</f>
        <v>28113855.987284094</v>
      </c>
      <c r="AM62" s="76">
        <f>Table15364345462[[#This Row],[Smoking-Attributable Total Healthcare Expenditures: Lower Bound
Base Scenario]]-Table15364345462[[#This Row],[Smoking-Attributable Total Healthcare Expenditures: Lower Bound
Intervention Scenario]]</f>
        <v>23948840.285464227</v>
      </c>
      <c r="AN62" s="76">
        <f>Table15364345462[[#This Row],[Smoking-Attributable Total Healthcare Expenditures: Upper Bound
Base Scenario]]-Table15364345462[[#This Row],[Smoking-Attributable Total Healthcare Expenditures: Upper Bound
Intervention Scenario]]</f>
        <v>45121003.436381817</v>
      </c>
      <c r="AO62" s="76">
        <f>Table15364345462[[#This Row],[Smoking-Attributable Government Healthcare Expenditures
(including national insurance):
Base Scenario]]-Table15364345462[[#This Row],[Smoking-Attributable Government Healthcare Expenditures
(including national insurance):
Intervention Scenario]]</f>
        <v>10193784.954881012</v>
      </c>
      <c r="AP62"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8683594.5911949351</v>
      </c>
      <c r="AQ62"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16360395.606599122</v>
      </c>
      <c r="AR62" s="76">
        <f>Table15364345462[[#This Row],[Smoking-Attributable Private Healthcare Expenditures:
Base Scenario]]-Table15364345462[[#This Row],[Smoking-Attributable Private Healthcare Expenditures:
Intervention Scenario]]</f>
        <v>16111316.199225962</v>
      </c>
      <c r="AS62" s="76">
        <f>Table15364345462[[#This Row],[Smoking-Attributable Private Healthcare Expenditures: Lower Bound
Base Scenario]]-Table15364345462[[#This Row],[Smoking-Attributable Private Healthcare Expenditures: Lower Bound
Intervention Scenario]]</f>
        <v>13724454.540081367</v>
      </c>
      <c r="AT62" s="76">
        <f>Table15364345462[[#This Row],[Smoking-Attributable Private Healthcare Expenditures: Upper Bound
Base Scenario]]-Table15364345462[[#This Row],[Smoking-Attributable Private Healthcare Expenditures: Upper Bound
Intervention Scenario]]</f>
        <v>25857667.974066317</v>
      </c>
      <c r="AU62" s="76">
        <f>Table15364345462[[#This Row],[Smoking-Attributable Other Health Expenditures:
Base Scenario]]-Table15364345462[[#This Row],[Smoking-Attributable Other Health Expenditures:
Intervention Scenario]]</f>
        <v>1808754.8331771344</v>
      </c>
      <c r="AV62" s="235">
        <f>Table15364345462[[#This Row],[Smoking-Attributable Other Health Expenditures: Lower Bound
Base Scenario]]-Table15364345462[[#This Row],[Smoking-Attributable Other Health Expenditures: Lower Bound
Intervention Scenario]]</f>
        <v>1540791.1541879307</v>
      </c>
      <c r="AW62" s="235">
        <f>Table15364345462[[#This Row],[Smoking-Attributable Other Health Expenditures: Upper Bound
Base Scenario]]-Table15364345462[[#This Row],[Smoking-Attributable Other Health Expenditures: Upper Bound
Intervention Scenario]]</f>
        <v>2902939.8557163849</v>
      </c>
    </row>
    <row r="63" spans="2:49">
      <c r="B63" s="47">
        <v>5</v>
      </c>
      <c r="C63" s="48">
        <f t="shared" si="12"/>
        <v>2518000000</v>
      </c>
      <c r="D63" s="48">
        <f t="shared" si="13"/>
        <v>913000000</v>
      </c>
      <c r="E63" s="48">
        <f t="shared" si="14"/>
        <v>1443000000</v>
      </c>
      <c r="F63" s="48">
        <f t="shared" si="15"/>
        <v>162000000</v>
      </c>
      <c r="G63" s="232">
        <f t="shared" si="16"/>
        <v>8.1000000000000003E-2</v>
      </c>
      <c r="H63" s="46">
        <f t="shared" si="20"/>
        <v>6.9000000000000006E-2</v>
      </c>
      <c r="I63" s="46">
        <f t="shared" si="17"/>
        <v>0.13</v>
      </c>
      <c r="J63" s="43">
        <f>Table15364345462[[#This Row],[Total Healthcare Expenditures
(All Categories):
Base Scenario]]*Table15364345462[[#This Row],[Smoking-Attributable Fraction (SAF) of Healthcare Expenditures
Base Scenario]]</f>
        <v>203958000</v>
      </c>
      <c r="K63" s="43">
        <f>Table15364345462[[#This Row],[Total Healthcare Expenditures
(All Categories):
Base Scenario]]*Table15364345462[[#This Row],[Smoking-Attributable Fraction (SAF) of Healthcare Expenditures: Lower Bound
Base Scenario]]</f>
        <v>173742000</v>
      </c>
      <c r="L63" s="43">
        <f>Table15364345462[[#This Row],[Total Healthcare Expenditures
(All Categories):
Base Scenario]]*Table15364345462[[#This Row],[Smoking-Attributable Fraction (SAF) of Healthcare Expenditures: Upper Bound
Base Scenario]]</f>
        <v>327340000</v>
      </c>
      <c r="M63" s="43">
        <f>Table15364345462[[#This Row],[Total Government Healthcare Expenditures
(including national insurance):
Base Scenario]]*Table15364345462[[#This Row],[Smoking-Attributable Fraction (SAF) of Healthcare Expenditures
Base Scenario]]</f>
        <v>73953000</v>
      </c>
      <c r="N63" s="43">
        <f>Table15364345462[[#This Row],[Total Government Healthcare Expenditures
(including national insurance):
Base Scenario]]*Table15364345462[[#This Row],[Smoking-Attributable Fraction (SAF) of Healthcare Expenditures: Lower Bound
Base Scenario]]</f>
        <v>62997000.000000007</v>
      </c>
      <c r="O63" s="43">
        <f>Table15364345462[[#This Row],[Total Government Healthcare Expenditures
(including national insurance):
Base Scenario]]*Table15364345462[[#This Row],[Smoking-Attributable Fraction (SAF) of Healthcare Expenditures: Upper Bound
Base Scenario]]</f>
        <v>118690000</v>
      </c>
      <c r="P63" s="43">
        <f>Table15364345462[[#This Row],[Total Private (Out-of-Pocket) Healthcare Expenditures:
Base Scenario]]*Table15364345462[[#This Row],[Smoking-Attributable Fraction (SAF) of Healthcare Expenditures
Base Scenario]]</f>
        <v>116883000</v>
      </c>
      <c r="Q63" s="43">
        <f>Table15364345462[[#This Row],[Total Private (Out-of-Pocket) Healthcare Expenditures:
Base Scenario]]*Table15364345462[[#This Row],[Smoking-Attributable Fraction (SAF) of Healthcare Expenditures: Lower Bound
Base Scenario]]</f>
        <v>99567000.000000015</v>
      </c>
      <c r="R63" s="43">
        <f>Table15364345462[[#This Row],[Total Private (Out-of-Pocket) Healthcare Expenditures:
Base Scenario]]*Table15364345462[[#This Row],[Smoking-Attributable Fraction (SAF) of Healthcare Expenditures: Upper Bound
Base Scenario]]</f>
        <v>187590000</v>
      </c>
      <c r="S63" s="43">
        <f>Table15364345462[[#This Row],[Total Other Health Expenditures:
Base Scenario]]*Table15364345462[[#This Row],[Smoking-Attributable Fraction (SAF) of Healthcare Expenditures
Base Scenario]]</f>
        <v>13122000</v>
      </c>
      <c r="T63" s="43">
        <f>Table15364345462[[#This Row],[Total Other Health Expenditures:
Base Scenario]]*Table15364345462[[#This Row],[Smoking-Attributable Fraction (SAF) of Healthcare Expenditures: Lower Bound
Base Scenario]]</f>
        <v>11178000.000000002</v>
      </c>
      <c r="U63" s="43">
        <f>Table15364345462[[#This Row],[Total Other Health Expenditures:
Base Scenario]]*Table15364345462[[#This Row],[Smoking-Attributable Fraction (SAF) of Healthcare Expenditures: Upper Bound
Base Scenario]]</f>
        <v>21060000</v>
      </c>
      <c r="V63" s="61">
        <v>-3.6399999999999995E-2</v>
      </c>
      <c r="W63" s="60">
        <f>W62*(1+Table15364345462[[#This Row],[Relative Change in Smoking Prevalence:
Increase Cigarette Taxes]])</f>
        <v>6.7292858288583418E-2</v>
      </c>
      <c r="X63" s="60">
        <f>X62*(1+Table15364345462[[#This Row],[Relative Change in Smoking Prevalence:
Increase Cigarette Taxes]])</f>
        <v>5.7323545949534031E-2</v>
      </c>
      <c r="Y63" s="60">
        <f>Y62*(1+Table15364345462[[#This Row],[Relative Change in Smoking Prevalence:
Increase Cigarette Taxes]])</f>
        <v>0.10800088367303515</v>
      </c>
      <c r="Z63" s="66">
        <f>Table15364345462[[#This Row],[Total Healthcare Expenditures
(All Categories):
Base Scenario]]*Table15364345462[[#This Row],[Smoking-Attributable Fraction (SAF) of Healthcare Expenditures:
Adjusted for Intervention Impacts]]</f>
        <v>169443417.17065305</v>
      </c>
      <c r="AA63" s="64">
        <f>Table15364345462[[#This Row],[Total Healthcare Expenditures
(All Categories):
Base Scenario]]*Table15364345462[[#This Row],[Smoking-Attributable Fraction (SAF) of Healthcare Expenditures: Lower Bound
Adjusted for Intervention Impacts]]</f>
        <v>144340688.70092669</v>
      </c>
      <c r="AB63" s="66">
        <f>Table15364345462[[#This Row],[Total Healthcare Expenditures
(All Categories):
Base Scenario]]*Table15364345462[[#This Row],[Smoking-Attributable Fraction (SAF) of Healthcare Expenditures: Upper Bound
Adjusted for Intervention Impacts]]</f>
        <v>271946225.0887025</v>
      </c>
      <c r="AC63" s="66">
        <f>Table15364345462[[#This Row],[Total Government Healthcare Expenditures
(including national insurance):
Base Scenario]]*Table15364345462[[#This Row],[Smoking-Attributable Fraction (SAF) of Healthcare Expenditures:
Adjusted for Intervention Impacts]]</f>
        <v>61438379.617476657</v>
      </c>
      <c r="AD63" s="66">
        <f>Table15364345462[[#This Row],[Total Government Healthcare Expenditures
(including national insurance):
Base Scenario]]*Table15364345462[[#This Row],[Smoking-Attributable Fraction (SAF) of Healthcare Expenditures: Lower Bound
Adjusted for Intervention Impacts]]</f>
        <v>52336397.45192457</v>
      </c>
      <c r="AE63" s="66">
        <f>Table15364345462[[#This Row],[Total Government Healthcare Expenditures
(including national insurance):
Base Scenario]]*Table15364345462[[#This Row],[Smoking-Attributable Fraction (SAF) of Healthcare Expenditures: Upper Bound
Adjusted for Intervention Impacts]]</f>
        <v>98604806.793481097</v>
      </c>
      <c r="AF63" s="66">
        <f>Table15364345462[[#This Row],[Total Private (Out-of-Pocket) Healthcare Expenditures:
Base Scenario]]*Table15364345462[[#This Row],[Smoking-Attributable Fraction (SAF) of Healthcare Expenditures:
Adjusted for Intervention Impacts]]</f>
        <v>97103594.510425866</v>
      </c>
      <c r="AG63" s="66">
        <f>Table15364345462[[#This Row],[Total Private (Out-of-Pocket) Healthcare Expenditures:
Base Scenario]]*Table15364345462[[#This Row],[Smoking-Attributable Fraction (SAF) of Healthcare Expenditures: Lower Bound
Adjusted for Intervention Impacts]]</f>
        <v>82717876.805177614</v>
      </c>
      <c r="AH63" s="66">
        <f>Table15364345462[[#This Row],[Total Private (Out-of-Pocket) Healthcare Expenditures:
Base Scenario]]*Table15364345462[[#This Row],[Smoking-Attributable Fraction (SAF) of Healthcare Expenditures: Upper Bound
Adjusted for Intervention Impacts]]</f>
        <v>155845275.14018971</v>
      </c>
      <c r="AI63" s="65">
        <f>Table15364345462[[#This Row],[Total Other Health Expenditures:
Base Scenario]]*Table15364345462[[#This Row],[Smoking-Attributable Fraction (SAF) of Healthcare Expenditures:
Adjusted for Intervention Impacts]]</f>
        <v>10901443.042750513</v>
      </c>
      <c r="AJ63" s="65">
        <f>Table15364345462[[#This Row],[Total Other Health Expenditures:
Base Scenario]]*Table15364345462[[#This Row],[Smoking-Attributable Fraction (SAF) of Healthcare Expenditures: Lower Bound
Adjusted for Intervention Impacts]]</f>
        <v>9286414.4438245129</v>
      </c>
      <c r="AK63" s="65">
        <f>Table15364345462[[#This Row],[Total Other Health Expenditures:
Base Scenario]]*Table15364345462[[#This Row],[Smoking-Attributable Fraction (SAF) of Healthcare Expenditures: Upper Bound
Adjusted for Intervention Impacts]]</f>
        <v>17496143.155031692</v>
      </c>
      <c r="AL63" s="76">
        <f>Table15364345462[[#This Row],[Smoking-Attributable Total Healthcare Expenditures:
Base Scenario]]-Table15364345462[[#This Row],[Smoking-Attributable Total Healthcare Expenditures:
Intervention Scenario]]</f>
        <v>34514582.829346955</v>
      </c>
      <c r="AM63" s="76">
        <f>Table15364345462[[#This Row],[Smoking-Attributable Total Healthcare Expenditures: Lower Bound
Base Scenario]]-Table15364345462[[#This Row],[Smoking-Attributable Total Healthcare Expenditures: Lower Bound
Intervention Scenario]]</f>
        <v>29401311.299073309</v>
      </c>
      <c r="AN63" s="76">
        <f>Table15364345462[[#This Row],[Smoking-Attributable Total Healthcare Expenditures: Upper Bound
Base Scenario]]-Table15364345462[[#This Row],[Smoking-Attributable Total Healthcare Expenditures: Upper Bound
Intervention Scenario]]</f>
        <v>55393774.9112975</v>
      </c>
      <c r="AO63" s="76">
        <f>Table15364345462[[#This Row],[Smoking-Attributable Government Healthcare Expenditures
(including national insurance):
Base Scenario]]-Table15364345462[[#This Row],[Smoking-Attributable Government Healthcare Expenditures
(including national insurance):
Intervention Scenario]]</f>
        <v>12514620.382523343</v>
      </c>
      <c r="AP63"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10660602.548075438</v>
      </c>
      <c r="AQ63"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20085193.206518903</v>
      </c>
      <c r="AR63" s="76">
        <f>Table15364345462[[#This Row],[Smoking-Attributable Private Healthcare Expenditures:
Base Scenario]]-Table15364345462[[#This Row],[Smoking-Attributable Private Healthcare Expenditures:
Intervention Scenario]]</f>
        <v>19779405.489574134</v>
      </c>
      <c r="AS63" s="76">
        <f>Table15364345462[[#This Row],[Smoking-Attributable Private Healthcare Expenditures: Lower Bound
Base Scenario]]-Table15364345462[[#This Row],[Smoking-Attributable Private Healthcare Expenditures: Lower Bound
Intervention Scenario]]</f>
        <v>16849123.194822401</v>
      </c>
      <c r="AT63" s="76">
        <f>Table15364345462[[#This Row],[Smoking-Attributable Private Healthcare Expenditures: Upper Bound
Base Scenario]]-Table15364345462[[#This Row],[Smoking-Attributable Private Healthcare Expenditures: Upper Bound
Intervention Scenario]]</f>
        <v>31744724.859810293</v>
      </c>
      <c r="AU63" s="76">
        <f>Table15364345462[[#This Row],[Smoking-Attributable Other Health Expenditures:
Base Scenario]]-Table15364345462[[#This Row],[Smoking-Attributable Other Health Expenditures:
Intervention Scenario]]</f>
        <v>2220556.9572494868</v>
      </c>
      <c r="AV63" s="235">
        <f>Table15364345462[[#This Row],[Smoking-Attributable Other Health Expenditures: Lower Bound
Base Scenario]]-Table15364345462[[#This Row],[Smoking-Attributable Other Health Expenditures: Lower Bound
Intervention Scenario]]</f>
        <v>1891585.556175489</v>
      </c>
      <c r="AW63" s="235">
        <f>Table15364345462[[#This Row],[Smoking-Attributable Other Health Expenditures: Upper Bound
Base Scenario]]-Table15364345462[[#This Row],[Smoking-Attributable Other Health Expenditures: Upper Bound
Intervention Scenario]]</f>
        <v>3563856.8449683078</v>
      </c>
    </row>
    <row r="64" spans="2:49">
      <c r="B64" s="47">
        <v>6</v>
      </c>
      <c r="C64" s="48">
        <f t="shared" si="12"/>
        <v>2518000000</v>
      </c>
      <c r="D64" s="48">
        <f t="shared" si="13"/>
        <v>913000000</v>
      </c>
      <c r="E64" s="48">
        <f t="shared" si="14"/>
        <v>1443000000</v>
      </c>
      <c r="F64" s="48">
        <f t="shared" si="15"/>
        <v>162000000</v>
      </c>
      <c r="G64" s="232">
        <f t="shared" si="16"/>
        <v>8.1000000000000003E-2</v>
      </c>
      <c r="H64" s="46">
        <f t="shared" si="20"/>
        <v>6.9000000000000006E-2</v>
      </c>
      <c r="I64" s="46">
        <f t="shared" si="17"/>
        <v>0.13</v>
      </c>
      <c r="J64" s="43">
        <f>Table15364345462[[#This Row],[Total Healthcare Expenditures
(All Categories):
Base Scenario]]*Table15364345462[[#This Row],[Smoking-Attributable Fraction (SAF) of Healthcare Expenditures
Base Scenario]]</f>
        <v>203958000</v>
      </c>
      <c r="K64" s="43">
        <f>Table15364345462[[#This Row],[Total Healthcare Expenditures
(All Categories):
Base Scenario]]*Table15364345462[[#This Row],[Smoking-Attributable Fraction (SAF) of Healthcare Expenditures: Lower Bound
Base Scenario]]</f>
        <v>173742000</v>
      </c>
      <c r="L64" s="43">
        <f>Table15364345462[[#This Row],[Total Healthcare Expenditures
(All Categories):
Base Scenario]]*Table15364345462[[#This Row],[Smoking-Attributable Fraction (SAF) of Healthcare Expenditures: Upper Bound
Base Scenario]]</f>
        <v>327340000</v>
      </c>
      <c r="M64" s="43">
        <f>Table15364345462[[#This Row],[Total Government Healthcare Expenditures
(including national insurance):
Base Scenario]]*Table15364345462[[#This Row],[Smoking-Attributable Fraction (SAF) of Healthcare Expenditures
Base Scenario]]</f>
        <v>73953000</v>
      </c>
      <c r="N64" s="43">
        <f>Table15364345462[[#This Row],[Total Government Healthcare Expenditures
(including national insurance):
Base Scenario]]*Table15364345462[[#This Row],[Smoking-Attributable Fraction (SAF) of Healthcare Expenditures: Lower Bound
Base Scenario]]</f>
        <v>62997000.000000007</v>
      </c>
      <c r="O64" s="43">
        <f>Table15364345462[[#This Row],[Total Government Healthcare Expenditures
(including national insurance):
Base Scenario]]*Table15364345462[[#This Row],[Smoking-Attributable Fraction (SAF) of Healthcare Expenditures: Upper Bound
Base Scenario]]</f>
        <v>118690000</v>
      </c>
      <c r="P64" s="43">
        <f>Table15364345462[[#This Row],[Total Private (Out-of-Pocket) Healthcare Expenditures:
Base Scenario]]*Table15364345462[[#This Row],[Smoking-Attributable Fraction (SAF) of Healthcare Expenditures
Base Scenario]]</f>
        <v>116883000</v>
      </c>
      <c r="Q64" s="43">
        <f>Table15364345462[[#This Row],[Total Private (Out-of-Pocket) Healthcare Expenditures:
Base Scenario]]*Table15364345462[[#This Row],[Smoking-Attributable Fraction (SAF) of Healthcare Expenditures: Lower Bound
Base Scenario]]</f>
        <v>99567000.000000015</v>
      </c>
      <c r="R64" s="43">
        <f>Table15364345462[[#This Row],[Total Private (Out-of-Pocket) Healthcare Expenditures:
Base Scenario]]*Table15364345462[[#This Row],[Smoking-Attributable Fraction (SAF) of Healthcare Expenditures: Upper Bound
Base Scenario]]</f>
        <v>187590000</v>
      </c>
      <c r="S64" s="43">
        <f>Table15364345462[[#This Row],[Total Other Health Expenditures:
Base Scenario]]*Table15364345462[[#This Row],[Smoking-Attributable Fraction (SAF) of Healthcare Expenditures
Base Scenario]]</f>
        <v>13122000</v>
      </c>
      <c r="T64" s="43">
        <f>Table15364345462[[#This Row],[Total Other Health Expenditures:
Base Scenario]]*Table15364345462[[#This Row],[Smoking-Attributable Fraction (SAF) of Healthcare Expenditures: Lower Bound
Base Scenario]]</f>
        <v>11178000.000000002</v>
      </c>
      <c r="U64" s="43">
        <f>Table15364345462[[#This Row],[Total Other Health Expenditures:
Base Scenario]]*Table15364345462[[#This Row],[Smoking-Attributable Fraction (SAF) of Healthcare Expenditures: Upper Bound
Base Scenario]]</f>
        <v>21060000</v>
      </c>
      <c r="V64" s="62">
        <v>-9.1000000000000004E-3</v>
      </c>
      <c r="W64" s="60">
        <f>W63*(1+Table15364345462[[#This Row],[Relative Change in Smoking Prevalence:
Increase Cigarette Taxes]])</f>
        <v>6.668049327815731E-2</v>
      </c>
      <c r="X64" s="60">
        <f>X63*(1+Table15364345462[[#This Row],[Relative Change in Smoking Prevalence:
Increase Cigarette Taxes]])</f>
        <v>5.680190168139327E-2</v>
      </c>
      <c r="Y64" s="60">
        <f>Y63*(1+Table15364345462[[#This Row],[Relative Change in Smoking Prevalence:
Increase Cigarette Taxes]])</f>
        <v>0.10701807563161053</v>
      </c>
      <c r="Z64" s="66">
        <f>Table15364345462[[#This Row],[Total Healthcare Expenditures
(All Categories):
Base Scenario]]*Table15364345462[[#This Row],[Smoking-Attributable Fraction (SAF) of Healthcare Expenditures:
Adjusted for Intervention Impacts]]</f>
        <v>167901482.0744001</v>
      </c>
      <c r="AA64" s="64">
        <f>Table15364345462[[#This Row],[Total Healthcare Expenditures
(All Categories):
Base Scenario]]*Table15364345462[[#This Row],[Smoking-Attributable Fraction (SAF) of Healthcare Expenditures: Lower Bound
Adjusted for Intervention Impacts]]</f>
        <v>143027188.43374825</v>
      </c>
      <c r="AB64" s="66">
        <f>Table15364345462[[#This Row],[Total Healthcare Expenditures
(All Categories):
Base Scenario]]*Table15364345462[[#This Row],[Smoking-Attributable Fraction (SAF) of Healthcare Expenditures: Upper Bound
Adjusted for Intervention Impacts]]</f>
        <v>269471514.4403953</v>
      </c>
      <c r="AC64" s="66">
        <f>Table15364345462[[#This Row],[Total Government Healthcare Expenditures
(including national insurance):
Base Scenario]]*Table15364345462[[#This Row],[Smoking-Attributable Fraction (SAF) of Healthcare Expenditures:
Adjusted for Intervention Impacts]]</f>
        <v>60879290.362957627</v>
      </c>
      <c r="AD64" s="66">
        <f>Table15364345462[[#This Row],[Total Government Healthcare Expenditures
(including national insurance):
Base Scenario]]*Table15364345462[[#This Row],[Smoking-Attributable Fraction (SAF) of Healthcare Expenditures: Lower Bound
Adjusted for Intervention Impacts]]</f>
        <v>51860136.235112056</v>
      </c>
      <c r="AE64" s="66">
        <f>Table15364345462[[#This Row],[Total Government Healthcare Expenditures
(including national insurance):
Base Scenario]]*Table15364345462[[#This Row],[Smoking-Attributable Fraction (SAF) of Healthcare Expenditures: Upper Bound
Adjusted for Intervention Impacts]]</f>
        <v>97707503.051660419</v>
      </c>
      <c r="AF64" s="66">
        <f>Table15364345462[[#This Row],[Total Private (Out-of-Pocket) Healthcare Expenditures:
Base Scenario]]*Table15364345462[[#This Row],[Smoking-Attributable Fraction (SAF) of Healthcare Expenditures:
Adjusted for Intervention Impacts]]</f>
        <v>96219951.800381005</v>
      </c>
      <c r="AG64" s="66">
        <f>Table15364345462[[#This Row],[Total Private (Out-of-Pocket) Healthcare Expenditures:
Base Scenario]]*Table15364345462[[#This Row],[Smoking-Attributable Fraction (SAF) of Healthcare Expenditures: Lower Bound
Adjusted for Intervention Impacts]]</f>
        <v>81965144.126250491</v>
      </c>
      <c r="AH64" s="66">
        <f>Table15364345462[[#This Row],[Total Private (Out-of-Pocket) Healthcare Expenditures:
Base Scenario]]*Table15364345462[[#This Row],[Smoking-Attributable Fraction (SAF) of Healthcare Expenditures: Upper Bound
Adjusted for Intervention Impacts]]</f>
        <v>154427083.13641399</v>
      </c>
      <c r="AI64" s="65">
        <f>Table15364345462[[#This Row],[Total Other Health Expenditures:
Base Scenario]]*Table15364345462[[#This Row],[Smoking-Attributable Fraction (SAF) of Healthcare Expenditures:
Adjusted for Intervention Impacts]]</f>
        <v>10802239.911061484</v>
      </c>
      <c r="AJ64" s="65">
        <f>Table15364345462[[#This Row],[Total Other Health Expenditures:
Base Scenario]]*Table15364345462[[#This Row],[Smoking-Attributable Fraction (SAF) of Healthcare Expenditures: Lower Bound
Adjusted for Intervention Impacts]]</f>
        <v>9201908.0723857097</v>
      </c>
      <c r="AK64" s="65">
        <f>Table15364345462[[#This Row],[Total Other Health Expenditures:
Base Scenario]]*Table15364345462[[#This Row],[Smoking-Attributable Fraction (SAF) of Healthcare Expenditures: Upper Bound
Adjusted for Intervention Impacts]]</f>
        <v>17336928.252320908</v>
      </c>
      <c r="AL64" s="76">
        <f>Table15364345462[[#This Row],[Smoking-Attributable Total Healthcare Expenditures:
Base Scenario]]-Table15364345462[[#This Row],[Smoking-Attributable Total Healthcare Expenditures:
Intervention Scenario]]</f>
        <v>36056517.925599903</v>
      </c>
      <c r="AM64" s="76">
        <f>Table15364345462[[#This Row],[Smoking-Attributable Total Healthcare Expenditures: Lower Bound
Base Scenario]]-Table15364345462[[#This Row],[Smoking-Attributable Total Healthcare Expenditures: Lower Bound
Intervention Scenario]]</f>
        <v>30714811.566251755</v>
      </c>
      <c r="AN64" s="76">
        <f>Table15364345462[[#This Row],[Smoking-Attributable Total Healthcare Expenditures: Upper Bound
Base Scenario]]-Table15364345462[[#This Row],[Smoking-Attributable Total Healthcare Expenditures: Upper Bound
Intervention Scenario]]</f>
        <v>57868485.559604704</v>
      </c>
      <c r="AO64" s="76">
        <f>Table15364345462[[#This Row],[Smoking-Attributable Government Healthcare Expenditures
(including national insurance):
Base Scenario]]-Table15364345462[[#This Row],[Smoking-Attributable Government Healthcare Expenditures
(including national insurance):
Intervention Scenario]]</f>
        <v>13073709.637042373</v>
      </c>
      <c r="AP64"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11136863.764887951</v>
      </c>
      <c r="AQ64"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20982496.948339581</v>
      </c>
      <c r="AR64" s="76">
        <f>Table15364345462[[#This Row],[Smoking-Attributable Private Healthcare Expenditures:
Base Scenario]]-Table15364345462[[#This Row],[Smoking-Attributable Private Healthcare Expenditures:
Intervention Scenario]]</f>
        <v>20663048.199618995</v>
      </c>
      <c r="AS64" s="76">
        <f>Table15364345462[[#This Row],[Smoking-Attributable Private Healthcare Expenditures: Lower Bound
Base Scenario]]-Table15364345462[[#This Row],[Smoking-Attributable Private Healthcare Expenditures: Lower Bound
Intervention Scenario]]</f>
        <v>17601855.873749524</v>
      </c>
      <c r="AT64" s="76">
        <f>Table15364345462[[#This Row],[Smoking-Attributable Private Healthcare Expenditures: Upper Bound
Base Scenario]]-Table15364345462[[#This Row],[Smoking-Attributable Private Healthcare Expenditures: Upper Bound
Intervention Scenario]]</f>
        <v>33162916.863586009</v>
      </c>
      <c r="AU64" s="76">
        <f>Table15364345462[[#This Row],[Smoking-Attributable Other Health Expenditures:
Base Scenario]]-Table15364345462[[#This Row],[Smoking-Attributable Other Health Expenditures:
Intervention Scenario]]</f>
        <v>2319760.0889385156</v>
      </c>
      <c r="AV64" s="235">
        <f>Table15364345462[[#This Row],[Smoking-Attributable Other Health Expenditures: Lower Bound
Base Scenario]]-Table15364345462[[#This Row],[Smoking-Attributable Other Health Expenditures: Lower Bound
Intervention Scenario]]</f>
        <v>1976091.9276142921</v>
      </c>
      <c r="AW64" s="235">
        <f>Table15364345462[[#This Row],[Smoking-Attributable Other Health Expenditures: Upper Bound
Base Scenario]]-Table15364345462[[#This Row],[Smoking-Attributable Other Health Expenditures: Upper Bound
Intervention Scenario]]</f>
        <v>3723071.747679092</v>
      </c>
    </row>
    <row r="65" spans="2:49">
      <c r="B65" s="47">
        <v>7</v>
      </c>
      <c r="C65" s="48">
        <f t="shared" si="12"/>
        <v>2518000000</v>
      </c>
      <c r="D65" s="48">
        <f t="shared" si="13"/>
        <v>913000000</v>
      </c>
      <c r="E65" s="48">
        <f t="shared" si="14"/>
        <v>1443000000</v>
      </c>
      <c r="F65" s="48">
        <f t="shared" si="15"/>
        <v>162000000</v>
      </c>
      <c r="G65" s="232">
        <f t="shared" si="16"/>
        <v>8.1000000000000003E-2</v>
      </c>
      <c r="H65" s="46">
        <f t="shared" si="20"/>
        <v>6.9000000000000006E-2</v>
      </c>
      <c r="I65" s="46">
        <f t="shared" si="17"/>
        <v>0.13</v>
      </c>
      <c r="J65" s="43">
        <f>Table15364345462[[#This Row],[Total Healthcare Expenditures
(All Categories):
Base Scenario]]*Table15364345462[[#This Row],[Smoking-Attributable Fraction (SAF) of Healthcare Expenditures
Base Scenario]]</f>
        <v>203958000</v>
      </c>
      <c r="K65" s="43">
        <f>Table15364345462[[#This Row],[Total Healthcare Expenditures
(All Categories):
Base Scenario]]*Table15364345462[[#This Row],[Smoking-Attributable Fraction (SAF) of Healthcare Expenditures: Lower Bound
Base Scenario]]</f>
        <v>173742000</v>
      </c>
      <c r="L65" s="43">
        <f>Table15364345462[[#This Row],[Total Healthcare Expenditures
(All Categories):
Base Scenario]]*Table15364345462[[#This Row],[Smoking-Attributable Fraction (SAF) of Healthcare Expenditures: Upper Bound
Base Scenario]]</f>
        <v>327340000</v>
      </c>
      <c r="M65" s="43">
        <f>Table15364345462[[#This Row],[Total Government Healthcare Expenditures
(including national insurance):
Base Scenario]]*Table15364345462[[#This Row],[Smoking-Attributable Fraction (SAF) of Healthcare Expenditures
Base Scenario]]</f>
        <v>73953000</v>
      </c>
      <c r="N65" s="43">
        <f>Table15364345462[[#This Row],[Total Government Healthcare Expenditures
(including national insurance):
Base Scenario]]*Table15364345462[[#This Row],[Smoking-Attributable Fraction (SAF) of Healthcare Expenditures: Lower Bound
Base Scenario]]</f>
        <v>62997000.000000007</v>
      </c>
      <c r="O65" s="43">
        <f>Table15364345462[[#This Row],[Total Government Healthcare Expenditures
(including national insurance):
Base Scenario]]*Table15364345462[[#This Row],[Smoking-Attributable Fraction (SAF) of Healthcare Expenditures: Upper Bound
Base Scenario]]</f>
        <v>118690000</v>
      </c>
      <c r="P65" s="43">
        <f>Table15364345462[[#This Row],[Total Private (Out-of-Pocket) Healthcare Expenditures:
Base Scenario]]*Table15364345462[[#This Row],[Smoking-Attributable Fraction (SAF) of Healthcare Expenditures
Base Scenario]]</f>
        <v>116883000</v>
      </c>
      <c r="Q65" s="43">
        <f>Table15364345462[[#This Row],[Total Private (Out-of-Pocket) Healthcare Expenditures:
Base Scenario]]*Table15364345462[[#This Row],[Smoking-Attributable Fraction (SAF) of Healthcare Expenditures: Lower Bound
Base Scenario]]</f>
        <v>99567000.000000015</v>
      </c>
      <c r="R65" s="43">
        <f>Table15364345462[[#This Row],[Total Private (Out-of-Pocket) Healthcare Expenditures:
Base Scenario]]*Table15364345462[[#This Row],[Smoking-Attributable Fraction (SAF) of Healthcare Expenditures: Upper Bound
Base Scenario]]</f>
        <v>187590000</v>
      </c>
      <c r="S65" s="43">
        <f>Table15364345462[[#This Row],[Total Other Health Expenditures:
Base Scenario]]*Table15364345462[[#This Row],[Smoking-Attributable Fraction (SAF) of Healthcare Expenditures
Base Scenario]]</f>
        <v>13122000</v>
      </c>
      <c r="T65" s="43">
        <f>Table15364345462[[#This Row],[Total Other Health Expenditures:
Base Scenario]]*Table15364345462[[#This Row],[Smoking-Attributable Fraction (SAF) of Healthcare Expenditures: Lower Bound
Base Scenario]]</f>
        <v>11178000.000000002</v>
      </c>
      <c r="U65" s="43">
        <f>Table15364345462[[#This Row],[Total Other Health Expenditures:
Base Scenario]]*Table15364345462[[#This Row],[Smoking-Attributable Fraction (SAF) of Healthcare Expenditures: Upper Bound
Base Scenario]]</f>
        <v>21060000</v>
      </c>
      <c r="V65" s="62">
        <v>-9.1000000000000004E-3</v>
      </c>
      <c r="W65" s="60">
        <f>W64*(1+Table15364345462[[#This Row],[Relative Change in Smoking Prevalence:
Increase Cigarette Taxes]])</f>
        <v>6.6073700789326076E-2</v>
      </c>
      <c r="X65" s="60">
        <f>X64*(1+Table15364345462[[#This Row],[Relative Change in Smoking Prevalence:
Increase Cigarette Taxes]])</f>
        <v>5.6285004376092594E-2</v>
      </c>
      <c r="Y65" s="60">
        <f>Y64*(1+Table15364345462[[#This Row],[Relative Change in Smoking Prevalence:
Increase Cigarette Taxes]])</f>
        <v>0.10604421114336288</v>
      </c>
      <c r="Z65" s="66">
        <f>Table15364345462[[#This Row],[Total Healthcare Expenditures
(All Categories):
Base Scenario]]*Table15364345462[[#This Row],[Smoking-Attributable Fraction (SAF) of Healthcare Expenditures:
Adjusted for Intervention Impacts]]</f>
        <v>166373578.58752307</v>
      </c>
      <c r="AA65" s="64">
        <f>Table15364345462[[#This Row],[Total Healthcare Expenditures
(All Categories):
Base Scenario]]*Table15364345462[[#This Row],[Smoking-Attributable Fraction (SAF) of Healthcare Expenditures: Lower Bound
Adjusted for Intervention Impacts]]</f>
        <v>141725641.01900116</v>
      </c>
      <c r="AB65" s="66">
        <f>Table15364345462[[#This Row],[Total Healthcare Expenditures
(All Categories):
Base Scenario]]*Table15364345462[[#This Row],[Smoking-Attributable Fraction (SAF) of Healthcare Expenditures: Upper Bound
Adjusted for Intervention Impacts]]</f>
        <v>267019323.65898773</v>
      </c>
      <c r="AC65" s="66">
        <f>Table15364345462[[#This Row],[Total Government Healthcare Expenditures
(including national insurance):
Base Scenario]]*Table15364345462[[#This Row],[Smoking-Attributable Fraction (SAF) of Healthcare Expenditures:
Adjusted for Intervention Impacts]]</f>
        <v>60325288.820654705</v>
      </c>
      <c r="AD65" s="66">
        <f>Table15364345462[[#This Row],[Total Government Healthcare Expenditures
(including national insurance):
Base Scenario]]*Table15364345462[[#This Row],[Smoking-Attributable Fraction (SAF) of Healthcare Expenditures: Lower Bound
Adjusted for Intervention Impacts]]</f>
        <v>51388208.995372541</v>
      </c>
      <c r="AE65" s="66">
        <f>Table15364345462[[#This Row],[Total Government Healthcare Expenditures
(including national insurance):
Base Scenario]]*Table15364345462[[#This Row],[Smoking-Attributable Fraction (SAF) of Healthcare Expenditures: Upper Bound
Adjusted for Intervention Impacts]]</f>
        <v>96818364.773890302</v>
      </c>
      <c r="AF65" s="66">
        <f>Table15364345462[[#This Row],[Total Private (Out-of-Pocket) Healthcare Expenditures:
Base Scenario]]*Table15364345462[[#This Row],[Smoking-Attributable Fraction (SAF) of Healthcare Expenditures:
Adjusted for Intervention Impacts]]</f>
        <v>95344350.238997534</v>
      </c>
      <c r="AG65" s="66">
        <f>Table15364345462[[#This Row],[Total Private (Out-of-Pocket) Healthcare Expenditures:
Base Scenario]]*Table15364345462[[#This Row],[Smoking-Attributable Fraction (SAF) of Healthcare Expenditures: Lower Bound
Adjusted for Intervention Impacts]]</f>
        <v>81219261.314701617</v>
      </c>
      <c r="AH65" s="66">
        <f>Table15364345462[[#This Row],[Total Private (Out-of-Pocket) Healthcare Expenditures:
Base Scenario]]*Table15364345462[[#This Row],[Smoking-Attributable Fraction (SAF) of Healthcare Expenditures: Upper Bound
Adjusted for Intervention Impacts]]</f>
        <v>153021796.67987263</v>
      </c>
      <c r="AI65" s="65">
        <f>Table15364345462[[#This Row],[Total Other Health Expenditures:
Base Scenario]]*Table15364345462[[#This Row],[Smoking-Attributable Fraction (SAF) of Healthcare Expenditures:
Adjusted for Intervention Impacts]]</f>
        <v>10703939.527870825</v>
      </c>
      <c r="AJ65" s="65">
        <f>Table15364345462[[#This Row],[Total Other Health Expenditures:
Base Scenario]]*Table15364345462[[#This Row],[Smoking-Attributable Fraction (SAF) of Healthcare Expenditures: Lower Bound
Adjusted for Intervention Impacts]]</f>
        <v>9118170.7089269999</v>
      </c>
      <c r="AK65" s="65">
        <f>Table15364345462[[#This Row],[Total Other Health Expenditures:
Base Scenario]]*Table15364345462[[#This Row],[Smoking-Attributable Fraction (SAF) of Healthcare Expenditures: Upper Bound
Adjusted for Intervention Impacts]]</f>
        <v>17179162.205224786</v>
      </c>
      <c r="AL65" s="76">
        <f>Table15364345462[[#This Row],[Smoking-Attributable Total Healthcare Expenditures:
Base Scenario]]-Table15364345462[[#This Row],[Smoking-Attributable Total Healthcare Expenditures:
Intervention Scenario]]</f>
        <v>37584421.412476927</v>
      </c>
      <c r="AM65" s="76">
        <f>Table15364345462[[#This Row],[Smoking-Attributable Total Healthcare Expenditures: Lower Bound
Base Scenario]]-Table15364345462[[#This Row],[Smoking-Attributable Total Healthcare Expenditures: Lower Bound
Intervention Scenario]]</f>
        <v>32016358.980998844</v>
      </c>
      <c r="AN65" s="76">
        <f>Table15364345462[[#This Row],[Smoking-Attributable Total Healthcare Expenditures: Upper Bound
Base Scenario]]-Table15364345462[[#This Row],[Smoking-Attributable Total Healthcare Expenditures: Upper Bound
Intervention Scenario]]</f>
        <v>60320676.341012269</v>
      </c>
      <c r="AO65" s="76">
        <f>Table15364345462[[#This Row],[Smoking-Attributable Government Healthcare Expenditures
(including national insurance):
Base Scenario]]-Table15364345462[[#This Row],[Smoking-Attributable Government Healthcare Expenditures
(including national insurance):
Intervention Scenario]]</f>
        <v>13627711.179345295</v>
      </c>
      <c r="AP65"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11608791.004627466</v>
      </c>
      <c r="AQ65"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21871635.226109698</v>
      </c>
      <c r="AR65" s="76">
        <f>Table15364345462[[#This Row],[Smoking-Attributable Private Healthcare Expenditures:
Base Scenario]]-Table15364345462[[#This Row],[Smoking-Attributable Private Healthcare Expenditures:
Intervention Scenario]]</f>
        <v>21538649.761002466</v>
      </c>
      <c r="AS65" s="76">
        <f>Table15364345462[[#This Row],[Smoking-Attributable Private Healthcare Expenditures: Lower Bound
Base Scenario]]-Table15364345462[[#This Row],[Smoking-Attributable Private Healthcare Expenditures: Lower Bound
Intervention Scenario]]</f>
        <v>18347738.685298398</v>
      </c>
      <c r="AT65" s="76">
        <f>Table15364345462[[#This Row],[Smoking-Attributable Private Healthcare Expenditures: Upper Bound
Base Scenario]]-Table15364345462[[#This Row],[Smoking-Attributable Private Healthcare Expenditures: Upper Bound
Intervention Scenario]]</f>
        <v>34568203.320127368</v>
      </c>
      <c r="AU65" s="76">
        <f>Table15364345462[[#This Row],[Smoking-Attributable Other Health Expenditures:
Base Scenario]]-Table15364345462[[#This Row],[Smoking-Attributable Other Health Expenditures:
Intervention Scenario]]</f>
        <v>2418060.4721291754</v>
      </c>
      <c r="AV65" s="235">
        <f>Table15364345462[[#This Row],[Smoking-Attributable Other Health Expenditures: Lower Bound
Base Scenario]]-Table15364345462[[#This Row],[Smoking-Attributable Other Health Expenditures: Lower Bound
Intervention Scenario]]</f>
        <v>2059829.2910730019</v>
      </c>
      <c r="AW65" s="235">
        <f>Table15364345462[[#This Row],[Smoking-Attributable Other Health Expenditures: Upper Bound
Base Scenario]]-Table15364345462[[#This Row],[Smoking-Attributable Other Health Expenditures: Upper Bound
Intervention Scenario]]</f>
        <v>3880837.794775214</v>
      </c>
    </row>
    <row r="66" spans="2:49">
      <c r="B66" s="47">
        <v>8</v>
      </c>
      <c r="C66" s="48">
        <f t="shared" si="12"/>
        <v>2518000000</v>
      </c>
      <c r="D66" s="48">
        <f t="shared" si="13"/>
        <v>913000000</v>
      </c>
      <c r="E66" s="48">
        <f t="shared" si="14"/>
        <v>1443000000</v>
      </c>
      <c r="F66" s="48">
        <f t="shared" si="15"/>
        <v>162000000</v>
      </c>
      <c r="G66" s="232">
        <f t="shared" si="16"/>
        <v>8.1000000000000003E-2</v>
      </c>
      <c r="H66" s="46">
        <f t="shared" si="20"/>
        <v>6.9000000000000006E-2</v>
      </c>
      <c r="I66" s="46">
        <f t="shared" si="17"/>
        <v>0.13</v>
      </c>
      <c r="J66" s="43">
        <f>Table15364345462[[#This Row],[Total Healthcare Expenditures
(All Categories):
Base Scenario]]*Table15364345462[[#This Row],[Smoking-Attributable Fraction (SAF) of Healthcare Expenditures
Base Scenario]]</f>
        <v>203958000</v>
      </c>
      <c r="K66" s="43">
        <f>Table15364345462[[#This Row],[Total Healthcare Expenditures
(All Categories):
Base Scenario]]*Table15364345462[[#This Row],[Smoking-Attributable Fraction (SAF) of Healthcare Expenditures: Lower Bound
Base Scenario]]</f>
        <v>173742000</v>
      </c>
      <c r="L66" s="43">
        <f>Table15364345462[[#This Row],[Total Healthcare Expenditures
(All Categories):
Base Scenario]]*Table15364345462[[#This Row],[Smoking-Attributable Fraction (SAF) of Healthcare Expenditures: Upper Bound
Base Scenario]]</f>
        <v>327340000</v>
      </c>
      <c r="M66" s="43">
        <f>Table15364345462[[#This Row],[Total Government Healthcare Expenditures
(including national insurance):
Base Scenario]]*Table15364345462[[#This Row],[Smoking-Attributable Fraction (SAF) of Healthcare Expenditures
Base Scenario]]</f>
        <v>73953000</v>
      </c>
      <c r="N66" s="43">
        <f>Table15364345462[[#This Row],[Total Government Healthcare Expenditures
(including national insurance):
Base Scenario]]*Table15364345462[[#This Row],[Smoking-Attributable Fraction (SAF) of Healthcare Expenditures: Lower Bound
Base Scenario]]</f>
        <v>62997000.000000007</v>
      </c>
      <c r="O66" s="43">
        <f>Table15364345462[[#This Row],[Total Government Healthcare Expenditures
(including national insurance):
Base Scenario]]*Table15364345462[[#This Row],[Smoking-Attributable Fraction (SAF) of Healthcare Expenditures: Upper Bound
Base Scenario]]</f>
        <v>118690000</v>
      </c>
      <c r="P66" s="43">
        <f>Table15364345462[[#This Row],[Total Private (Out-of-Pocket) Healthcare Expenditures:
Base Scenario]]*Table15364345462[[#This Row],[Smoking-Attributable Fraction (SAF) of Healthcare Expenditures
Base Scenario]]</f>
        <v>116883000</v>
      </c>
      <c r="Q66" s="43">
        <f>Table15364345462[[#This Row],[Total Private (Out-of-Pocket) Healthcare Expenditures:
Base Scenario]]*Table15364345462[[#This Row],[Smoking-Attributable Fraction (SAF) of Healthcare Expenditures: Lower Bound
Base Scenario]]</f>
        <v>99567000.000000015</v>
      </c>
      <c r="R66" s="43">
        <f>Table15364345462[[#This Row],[Total Private (Out-of-Pocket) Healthcare Expenditures:
Base Scenario]]*Table15364345462[[#This Row],[Smoking-Attributable Fraction (SAF) of Healthcare Expenditures: Upper Bound
Base Scenario]]</f>
        <v>187590000</v>
      </c>
      <c r="S66" s="43">
        <f>Table15364345462[[#This Row],[Total Other Health Expenditures:
Base Scenario]]*Table15364345462[[#This Row],[Smoking-Attributable Fraction (SAF) of Healthcare Expenditures
Base Scenario]]</f>
        <v>13122000</v>
      </c>
      <c r="T66" s="43">
        <f>Table15364345462[[#This Row],[Total Other Health Expenditures:
Base Scenario]]*Table15364345462[[#This Row],[Smoking-Attributable Fraction (SAF) of Healthcare Expenditures: Lower Bound
Base Scenario]]</f>
        <v>11178000.000000002</v>
      </c>
      <c r="U66" s="43">
        <f>Table15364345462[[#This Row],[Total Other Health Expenditures:
Base Scenario]]*Table15364345462[[#This Row],[Smoking-Attributable Fraction (SAF) of Healthcare Expenditures: Upper Bound
Base Scenario]]</f>
        <v>21060000</v>
      </c>
      <c r="V66" s="62">
        <v>-9.1000000000000004E-3</v>
      </c>
      <c r="W66" s="60">
        <f>W65*(1+Table15364345462[[#This Row],[Relative Change in Smoking Prevalence:
Increase Cigarette Taxes]])</f>
        <v>6.547243011214321E-2</v>
      </c>
      <c r="X66" s="60">
        <f>X65*(1+Table15364345462[[#This Row],[Relative Change in Smoking Prevalence:
Increase Cigarette Taxes]])</f>
        <v>5.5772810836270149E-2</v>
      </c>
      <c r="Y66" s="60">
        <f>Y65*(1+Table15364345462[[#This Row],[Relative Change in Smoking Prevalence:
Increase Cigarette Taxes]])</f>
        <v>0.10507920882195827</v>
      </c>
      <c r="Z66" s="66">
        <f>Table15364345462[[#This Row],[Total Healthcare Expenditures
(All Categories):
Base Scenario]]*Table15364345462[[#This Row],[Smoking-Attributable Fraction (SAF) of Healthcare Expenditures:
Adjusted for Intervention Impacts]]</f>
        <v>164859579.0223766</v>
      </c>
      <c r="AA66" s="64">
        <f>Table15364345462[[#This Row],[Total Healthcare Expenditures
(All Categories):
Base Scenario]]*Table15364345462[[#This Row],[Smoking-Attributable Fraction (SAF) of Healthcare Expenditures: Lower Bound
Adjusted for Intervention Impacts]]</f>
        <v>140435937.68572822</v>
      </c>
      <c r="AB66" s="66">
        <f>Table15364345462[[#This Row],[Total Healthcare Expenditures
(All Categories):
Base Scenario]]*Table15364345462[[#This Row],[Smoking-Attributable Fraction (SAF) of Healthcare Expenditures: Upper Bound
Adjusted for Intervention Impacts]]</f>
        <v>264589447.81369093</v>
      </c>
      <c r="AC66" s="66">
        <f>Table15364345462[[#This Row],[Total Government Healthcare Expenditures
(including national insurance):
Base Scenario]]*Table15364345462[[#This Row],[Smoking-Attributable Fraction (SAF) of Healthcare Expenditures:
Adjusted for Intervention Impacts]]</f>
        <v>59776328.692386754</v>
      </c>
      <c r="AD66" s="66">
        <f>Table15364345462[[#This Row],[Total Government Healthcare Expenditures
(including national insurance):
Base Scenario]]*Table15364345462[[#This Row],[Smoking-Attributable Fraction (SAF) of Healthcare Expenditures: Lower Bound
Adjusted for Intervention Impacts]]</f>
        <v>50920576.293514647</v>
      </c>
      <c r="AE66" s="66">
        <f>Table15364345462[[#This Row],[Total Government Healthcare Expenditures
(including national insurance):
Base Scenario]]*Table15364345462[[#This Row],[Smoking-Attributable Fraction (SAF) of Healthcare Expenditures: Upper Bound
Adjusted for Intervention Impacts]]</f>
        <v>95937317.654447898</v>
      </c>
      <c r="AF66" s="66">
        <f>Table15364345462[[#This Row],[Total Private (Out-of-Pocket) Healthcare Expenditures:
Base Scenario]]*Table15364345462[[#This Row],[Smoking-Attributable Fraction (SAF) of Healthcare Expenditures:
Adjusted for Intervention Impacts]]</f>
        <v>94476716.651822656</v>
      </c>
      <c r="AG66" s="66">
        <f>Table15364345462[[#This Row],[Total Private (Out-of-Pocket) Healthcare Expenditures:
Base Scenario]]*Table15364345462[[#This Row],[Smoking-Attributable Fraction (SAF) of Healthcare Expenditures: Lower Bound
Adjusted for Intervention Impacts]]</f>
        <v>80480166.036737829</v>
      </c>
      <c r="AH66" s="66">
        <f>Table15364345462[[#This Row],[Total Private (Out-of-Pocket) Healthcare Expenditures:
Base Scenario]]*Table15364345462[[#This Row],[Smoking-Attributable Fraction (SAF) of Healthcare Expenditures: Upper Bound
Adjusted for Intervention Impacts]]</f>
        <v>151629298.33008578</v>
      </c>
      <c r="AI66" s="65">
        <f>Table15364345462[[#This Row],[Total Other Health Expenditures:
Base Scenario]]*Table15364345462[[#This Row],[Smoking-Attributable Fraction (SAF) of Healthcare Expenditures:
Adjusted for Intervention Impacts]]</f>
        <v>10606533.6781672</v>
      </c>
      <c r="AJ66" s="65">
        <f>Table15364345462[[#This Row],[Total Other Health Expenditures:
Base Scenario]]*Table15364345462[[#This Row],[Smoking-Attributable Fraction (SAF) of Healthcare Expenditures: Lower Bound
Adjusted for Intervention Impacts]]</f>
        <v>9035195.3554757647</v>
      </c>
      <c r="AK66" s="65">
        <f>Table15364345462[[#This Row],[Total Other Health Expenditures:
Base Scenario]]*Table15364345462[[#This Row],[Smoking-Attributable Fraction (SAF) of Healthcare Expenditures: Upper Bound
Adjusted for Intervention Impacts]]</f>
        <v>17022831.829157241</v>
      </c>
      <c r="AL66" s="76">
        <f>Table15364345462[[#This Row],[Smoking-Attributable Total Healthcare Expenditures:
Base Scenario]]-Table15364345462[[#This Row],[Smoking-Attributable Total Healthcare Expenditures:
Intervention Scenario]]</f>
        <v>39098420.977623403</v>
      </c>
      <c r="AM66" s="76">
        <f>Table15364345462[[#This Row],[Smoking-Attributable Total Healthcare Expenditures: Lower Bound
Base Scenario]]-Table15364345462[[#This Row],[Smoking-Attributable Total Healthcare Expenditures: Lower Bound
Intervention Scenario]]</f>
        <v>33306062.314271778</v>
      </c>
      <c r="AN66" s="76">
        <f>Table15364345462[[#This Row],[Smoking-Attributable Total Healthcare Expenditures: Upper Bound
Base Scenario]]-Table15364345462[[#This Row],[Smoking-Attributable Total Healthcare Expenditures: Upper Bound
Intervention Scenario]]</f>
        <v>62750552.186309069</v>
      </c>
      <c r="AO66" s="76">
        <f>Table15364345462[[#This Row],[Smoking-Attributable Government Healthcare Expenditures
(including national insurance):
Base Scenario]]-Table15364345462[[#This Row],[Smoking-Attributable Government Healthcare Expenditures
(including national insurance):
Intervention Scenario]]</f>
        <v>14176671.307613246</v>
      </c>
      <c r="AP66"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12076423.706485361</v>
      </c>
      <c r="AQ66"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22752682.345552102</v>
      </c>
      <c r="AR66" s="76">
        <f>Table15364345462[[#This Row],[Smoking-Attributable Private Healthcare Expenditures:
Base Scenario]]-Table15364345462[[#This Row],[Smoking-Attributable Private Healthcare Expenditures:
Intervention Scenario]]</f>
        <v>22406283.348177344</v>
      </c>
      <c r="AS66" s="76">
        <f>Table15364345462[[#This Row],[Smoking-Attributable Private Healthcare Expenditures: Lower Bound
Base Scenario]]-Table15364345462[[#This Row],[Smoking-Attributable Private Healthcare Expenditures: Lower Bound
Intervention Scenario]]</f>
        <v>19086833.963262185</v>
      </c>
      <c r="AT66" s="76">
        <f>Table15364345462[[#This Row],[Smoking-Attributable Private Healthcare Expenditures: Upper Bound
Base Scenario]]-Table15364345462[[#This Row],[Smoking-Attributable Private Healthcare Expenditures: Upper Bound
Intervention Scenario]]</f>
        <v>35960701.669914216</v>
      </c>
      <c r="AU66" s="76">
        <f>Table15364345462[[#This Row],[Smoking-Attributable Other Health Expenditures:
Base Scenario]]-Table15364345462[[#This Row],[Smoking-Attributable Other Health Expenditures:
Intervention Scenario]]</f>
        <v>2515466.3218328003</v>
      </c>
      <c r="AV66" s="235">
        <f>Table15364345462[[#This Row],[Smoking-Attributable Other Health Expenditures: Lower Bound
Base Scenario]]-Table15364345462[[#This Row],[Smoking-Attributable Other Health Expenditures: Lower Bound
Intervention Scenario]]</f>
        <v>2142804.6445242371</v>
      </c>
      <c r="AW66" s="235">
        <f>Table15364345462[[#This Row],[Smoking-Attributable Other Health Expenditures: Upper Bound
Base Scenario]]-Table15364345462[[#This Row],[Smoking-Attributable Other Health Expenditures: Upper Bound
Intervention Scenario]]</f>
        <v>4037168.1708427593</v>
      </c>
    </row>
    <row r="67" spans="2:49">
      <c r="B67" s="47">
        <v>9</v>
      </c>
      <c r="C67" s="48">
        <f t="shared" si="12"/>
        <v>2518000000</v>
      </c>
      <c r="D67" s="48">
        <f t="shared" si="13"/>
        <v>913000000</v>
      </c>
      <c r="E67" s="48">
        <f t="shared" si="14"/>
        <v>1443000000</v>
      </c>
      <c r="F67" s="48">
        <f t="shared" si="15"/>
        <v>162000000</v>
      </c>
      <c r="G67" s="232">
        <f t="shared" si="16"/>
        <v>8.1000000000000003E-2</v>
      </c>
      <c r="H67" s="46">
        <f t="shared" si="20"/>
        <v>6.9000000000000006E-2</v>
      </c>
      <c r="I67" s="46">
        <f t="shared" si="17"/>
        <v>0.13</v>
      </c>
      <c r="J67" s="43">
        <f>Table15364345462[[#This Row],[Total Healthcare Expenditures
(All Categories):
Base Scenario]]*Table15364345462[[#This Row],[Smoking-Attributable Fraction (SAF) of Healthcare Expenditures
Base Scenario]]</f>
        <v>203958000</v>
      </c>
      <c r="K67" s="43">
        <f>Table15364345462[[#This Row],[Total Healthcare Expenditures
(All Categories):
Base Scenario]]*Table15364345462[[#This Row],[Smoking-Attributable Fraction (SAF) of Healthcare Expenditures: Lower Bound
Base Scenario]]</f>
        <v>173742000</v>
      </c>
      <c r="L67" s="43">
        <f>Table15364345462[[#This Row],[Total Healthcare Expenditures
(All Categories):
Base Scenario]]*Table15364345462[[#This Row],[Smoking-Attributable Fraction (SAF) of Healthcare Expenditures: Upper Bound
Base Scenario]]</f>
        <v>327340000</v>
      </c>
      <c r="M67" s="43">
        <f>Table15364345462[[#This Row],[Total Government Healthcare Expenditures
(including national insurance):
Base Scenario]]*Table15364345462[[#This Row],[Smoking-Attributable Fraction (SAF) of Healthcare Expenditures
Base Scenario]]</f>
        <v>73953000</v>
      </c>
      <c r="N67" s="43">
        <f>Table15364345462[[#This Row],[Total Government Healthcare Expenditures
(including national insurance):
Base Scenario]]*Table15364345462[[#This Row],[Smoking-Attributable Fraction (SAF) of Healthcare Expenditures: Lower Bound
Base Scenario]]</f>
        <v>62997000.000000007</v>
      </c>
      <c r="O67" s="43">
        <f>Table15364345462[[#This Row],[Total Government Healthcare Expenditures
(including national insurance):
Base Scenario]]*Table15364345462[[#This Row],[Smoking-Attributable Fraction (SAF) of Healthcare Expenditures: Upper Bound
Base Scenario]]</f>
        <v>118690000</v>
      </c>
      <c r="P67" s="43">
        <f>Table15364345462[[#This Row],[Total Private (Out-of-Pocket) Healthcare Expenditures:
Base Scenario]]*Table15364345462[[#This Row],[Smoking-Attributable Fraction (SAF) of Healthcare Expenditures
Base Scenario]]</f>
        <v>116883000</v>
      </c>
      <c r="Q67" s="43">
        <f>Table15364345462[[#This Row],[Total Private (Out-of-Pocket) Healthcare Expenditures:
Base Scenario]]*Table15364345462[[#This Row],[Smoking-Attributable Fraction (SAF) of Healthcare Expenditures: Lower Bound
Base Scenario]]</f>
        <v>99567000.000000015</v>
      </c>
      <c r="R67" s="43">
        <f>Table15364345462[[#This Row],[Total Private (Out-of-Pocket) Healthcare Expenditures:
Base Scenario]]*Table15364345462[[#This Row],[Smoking-Attributable Fraction (SAF) of Healthcare Expenditures: Upper Bound
Base Scenario]]</f>
        <v>187590000</v>
      </c>
      <c r="S67" s="43">
        <f>Table15364345462[[#This Row],[Total Other Health Expenditures:
Base Scenario]]*Table15364345462[[#This Row],[Smoking-Attributable Fraction (SAF) of Healthcare Expenditures
Base Scenario]]</f>
        <v>13122000</v>
      </c>
      <c r="T67" s="43">
        <f>Table15364345462[[#This Row],[Total Other Health Expenditures:
Base Scenario]]*Table15364345462[[#This Row],[Smoking-Attributable Fraction (SAF) of Healthcare Expenditures: Lower Bound
Base Scenario]]</f>
        <v>11178000.000000002</v>
      </c>
      <c r="U67" s="43">
        <f>Table15364345462[[#This Row],[Total Other Health Expenditures:
Base Scenario]]*Table15364345462[[#This Row],[Smoking-Attributable Fraction (SAF) of Healthcare Expenditures: Upper Bound
Base Scenario]]</f>
        <v>21060000</v>
      </c>
      <c r="V67" s="62">
        <v>-9.1000000000000004E-3</v>
      </c>
      <c r="W67" s="60">
        <f>W66*(1+Table15364345462[[#This Row],[Relative Change in Smoking Prevalence:
Increase Cigarette Taxes]])</f>
        <v>6.48766309981227E-2</v>
      </c>
      <c r="X67" s="60">
        <f>X66*(1+Table15364345462[[#This Row],[Relative Change in Smoking Prevalence:
Increase Cigarette Taxes]])</f>
        <v>5.5265278257660089E-2</v>
      </c>
      <c r="Y67" s="60">
        <f>Y66*(1+Table15364345462[[#This Row],[Relative Change in Smoking Prevalence:
Increase Cigarette Taxes]])</f>
        <v>0.10412298802167845</v>
      </c>
      <c r="Z67" s="66">
        <f>Table15364345462[[#This Row],[Total Healthcare Expenditures
(All Categories):
Base Scenario]]*Table15364345462[[#This Row],[Smoking-Attributable Fraction (SAF) of Healthcare Expenditures:
Adjusted for Intervention Impacts]]</f>
        <v>163359356.85327294</v>
      </c>
      <c r="AA67" s="64">
        <f>Table15364345462[[#This Row],[Total Healthcare Expenditures
(All Categories):
Base Scenario]]*Table15364345462[[#This Row],[Smoking-Attributable Fraction (SAF) of Healthcare Expenditures: Lower Bound
Adjusted for Intervention Impacts]]</f>
        <v>139157970.6527881</v>
      </c>
      <c r="AB67" s="66">
        <f>Table15364345462[[#This Row],[Total Healthcare Expenditures
(All Categories):
Base Scenario]]*Table15364345462[[#This Row],[Smoking-Attributable Fraction (SAF) of Healthcare Expenditures: Upper Bound
Adjusted for Intervention Impacts]]</f>
        <v>262181683.83858633</v>
      </c>
      <c r="AC67" s="66">
        <f>Table15364345462[[#This Row],[Total Government Healthcare Expenditures
(including national insurance):
Base Scenario]]*Table15364345462[[#This Row],[Smoking-Attributable Fraction (SAF) of Healthcare Expenditures:
Adjusted for Intervention Impacts]]</f>
        <v>59232364.101286024</v>
      </c>
      <c r="AD67" s="66">
        <f>Table15364345462[[#This Row],[Total Government Healthcare Expenditures
(including national insurance):
Base Scenario]]*Table15364345462[[#This Row],[Smoking-Attributable Fraction (SAF) of Healthcare Expenditures: Lower Bound
Adjusted for Intervention Impacts]]</f>
        <v>50457199.049243659</v>
      </c>
      <c r="AE67" s="66">
        <f>Table15364345462[[#This Row],[Total Government Healthcare Expenditures
(including national insurance):
Base Scenario]]*Table15364345462[[#This Row],[Smoking-Attributable Fraction (SAF) of Healthcare Expenditures: Upper Bound
Adjusted for Intervention Impacts]]</f>
        <v>95064288.063792422</v>
      </c>
      <c r="AF67" s="66">
        <f>Table15364345462[[#This Row],[Total Private (Out-of-Pocket) Healthcare Expenditures:
Base Scenario]]*Table15364345462[[#This Row],[Smoking-Attributable Fraction (SAF) of Healthcare Expenditures:
Adjusted for Intervention Impacts]]</f>
        <v>93616978.530291051</v>
      </c>
      <c r="AG67" s="66">
        <f>Table15364345462[[#This Row],[Total Private (Out-of-Pocket) Healthcare Expenditures:
Base Scenario]]*Table15364345462[[#This Row],[Smoking-Attributable Fraction (SAF) of Healthcare Expenditures: Lower Bound
Adjusted for Intervention Impacts]]</f>
        <v>79747796.525803506</v>
      </c>
      <c r="AH67" s="66">
        <f>Table15364345462[[#This Row],[Total Private (Out-of-Pocket) Healthcare Expenditures:
Base Scenario]]*Table15364345462[[#This Row],[Smoking-Attributable Fraction (SAF) of Healthcare Expenditures: Upper Bound
Adjusted for Intervention Impacts]]</f>
        <v>150249471.71528199</v>
      </c>
      <c r="AI67" s="65">
        <f>Table15364345462[[#This Row],[Total Other Health Expenditures:
Base Scenario]]*Table15364345462[[#This Row],[Smoking-Attributable Fraction (SAF) of Healthcare Expenditures:
Adjusted for Intervention Impacts]]</f>
        <v>10510014.221695878</v>
      </c>
      <c r="AJ67" s="65">
        <f>Table15364345462[[#This Row],[Total Other Health Expenditures:
Base Scenario]]*Table15364345462[[#This Row],[Smoking-Attributable Fraction (SAF) of Healthcare Expenditures: Lower Bound
Adjusted for Intervention Impacts]]</f>
        <v>8952975.0777409337</v>
      </c>
      <c r="AK67" s="65">
        <f>Table15364345462[[#This Row],[Total Other Health Expenditures:
Base Scenario]]*Table15364345462[[#This Row],[Smoking-Attributable Fraction (SAF) of Healthcare Expenditures: Upper Bound
Adjusted for Intervention Impacts]]</f>
        <v>16867924.059511907</v>
      </c>
      <c r="AL67" s="76">
        <f>Table15364345462[[#This Row],[Smoking-Attributable Total Healthcare Expenditures:
Base Scenario]]-Table15364345462[[#This Row],[Smoking-Attributable Total Healthcare Expenditures:
Intervention Scenario]]</f>
        <v>40598643.146727055</v>
      </c>
      <c r="AM67" s="76">
        <f>Table15364345462[[#This Row],[Smoking-Attributable Total Healthcare Expenditures: Lower Bound
Base Scenario]]-Table15364345462[[#This Row],[Smoking-Attributable Total Healthcare Expenditures: Lower Bound
Intervention Scenario]]</f>
        <v>34584029.347211897</v>
      </c>
      <c r="AN67" s="76">
        <f>Table15364345462[[#This Row],[Smoking-Attributable Total Healthcare Expenditures: Upper Bound
Base Scenario]]-Table15364345462[[#This Row],[Smoking-Attributable Total Healthcare Expenditures: Upper Bound
Intervention Scenario]]</f>
        <v>65158316.16141367</v>
      </c>
      <c r="AO67" s="76">
        <f>Table15364345462[[#This Row],[Smoking-Attributable Government Healthcare Expenditures
(including national insurance):
Base Scenario]]-Table15364345462[[#This Row],[Smoking-Attributable Government Healthcare Expenditures
(including national insurance):
Intervention Scenario]]</f>
        <v>14720635.898713976</v>
      </c>
      <c r="AP67"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12539800.950756349</v>
      </c>
      <c r="AQ67"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23625711.936207578</v>
      </c>
      <c r="AR67" s="76">
        <f>Table15364345462[[#This Row],[Smoking-Attributable Private Healthcare Expenditures:
Base Scenario]]-Table15364345462[[#This Row],[Smoking-Attributable Private Healthcare Expenditures:
Intervention Scenario]]</f>
        <v>23266021.469708949</v>
      </c>
      <c r="AS67" s="76">
        <f>Table15364345462[[#This Row],[Smoking-Attributable Private Healthcare Expenditures: Lower Bound
Base Scenario]]-Table15364345462[[#This Row],[Smoking-Attributable Private Healthcare Expenditures: Lower Bound
Intervention Scenario]]</f>
        <v>19819203.474196509</v>
      </c>
      <c r="AT67" s="76">
        <f>Table15364345462[[#This Row],[Smoking-Attributable Private Healthcare Expenditures: Upper Bound
Base Scenario]]-Table15364345462[[#This Row],[Smoking-Attributable Private Healthcare Expenditures: Upper Bound
Intervention Scenario]]</f>
        <v>37340528.284718007</v>
      </c>
      <c r="AU67" s="76">
        <f>Table15364345462[[#This Row],[Smoking-Attributable Other Health Expenditures:
Base Scenario]]-Table15364345462[[#This Row],[Smoking-Attributable Other Health Expenditures:
Intervention Scenario]]</f>
        <v>2611985.7783041224</v>
      </c>
      <c r="AV67" s="235">
        <f>Table15364345462[[#This Row],[Smoking-Attributable Other Health Expenditures: Lower Bound
Base Scenario]]-Table15364345462[[#This Row],[Smoking-Attributable Other Health Expenditures: Lower Bound
Intervention Scenario]]</f>
        <v>2225024.9222590681</v>
      </c>
      <c r="AW67" s="235">
        <f>Table15364345462[[#This Row],[Smoking-Attributable Other Health Expenditures: Upper Bound
Base Scenario]]-Table15364345462[[#This Row],[Smoking-Attributable Other Health Expenditures: Upper Bound
Intervention Scenario]]</f>
        <v>4192075.9404880926</v>
      </c>
    </row>
    <row r="68" spans="2:49">
      <c r="B68" s="47">
        <v>10</v>
      </c>
      <c r="C68" s="48">
        <f t="shared" si="12"/>
        <v>2518000000</v>
      </c>
      <c r="D68" s="48">
        <f t="shared" si="13"/>
        <v>913000000</v>
      </c>
      <c r="E68" s="48">
        <f t="shared" si="14"/>
        <v>1443000000</v>
      </c>
      <c r="F68" s="48">
        <f t="shared" si="15"/>
        <v>162000000</v>
      </c>
      <c r="G68" s="232">
        <f t="shared" si="16"/>
        <v>8.1000000000000003E-2</v>
      </c>
      <c r="H68" s="46">
        <f t="shared" si="20"/>
        <v>6.9000000000000006E-2</v>
      </c>
      <c r="I68" s="46">
        <f t="shared" si="17"/>
        <v>0.13</v>
      </c>
      <c r="J68" s="43">
        <f>Table15364345462[[#This Row],[Total Healthcare Expenditures
(All Categories):
Base Scenario]]*Table15364345462[[#This Row],[Smoking-Attributable Fraction (SAF) of Healthcare Expenditures
Base Scenario]]</f>
        <v>203958000</v>
      </c>
      <c r="K68" s="43">
        <f>Table15364345462[[#This Row],[Total Healthcare Expenditures
(All Categories):
Base Scenario]]*Table15364345462[[#This Row],[Smoking-Attributable Fraction (SAF) of Healthcare Expenditures: Lower Bound
Base Scenario]]</f>
        <v>173742000</v>
      </c>
      <c r="L68" s="43">
        <f>Table15364345462[[#This Row],[Total Healthcare Expenditures
(All Categories):
Base Scenario]]*Table15364345462[[#This Row],[Smoking-Attributable Fraction (SAF) of Healthcare Expenditures: Upper Bound
Base Scenario]]</f>
        <v>327340000</v>
      </c>
      <c r="M68" s="43">
        <f>Table15364345462[[#This Row],[Total Government Healthcare Expenditures
(including national insurance):
Base Scenario]]*Table15364345462[[#This Row],[Smoking-Attributable Fraction (SAF) of Healthcare Expenditures
Base Scenario]]</f>
        <v>73953000</v>
      </c>
      <c r="N68" s="43">
        <f>Table15364345462[[#This Row],[Total Government Healthcare Expenditures
(including national insurance):
Base Scenario]]*Table15364345462[[#This Row],[Smoking-Attributable Fraction (SAF) of Healthcare Expenditures: Lower Bound
Base Scenario]]</f>
        <v>62997000.000000007</v>
      </c>
      <c r="O68" s="43">
        <f>Table15364345462[[#This Row],[Total Government Healthcare Expenditures
(including national insurance):
Base Scenario]]*Table15364345462[[#This Row],[Smoking-Attributable Fraction (SAF) of Healthcare Expenditures: Upper Bound
Base Scenario]]</f>
        <v>118690000</v>
      </c>
      <c r="P68" s="43">
        <f>Table15364345462[[#This Row],[Total Private (Out-of-Pocket) Healthcare Expenditures:
Base Scenario]]*Table15364345462[[#This Row],[Smoking-Attributable Fraction (SAF) of Healthcare Expenditures
Base Scenario]]</f>
        <v>116883000</v>
      </c>
      <c r="Q68" s="43">
        <f>Table15364345462[[#This Row],[Total Private (Out-of-Pocket) Healthcare Expenditures:
Base Scenario]]*Table15364345462[[#This Row],[Smoking-Attributable Fraction (SAF) of Healthcare Expenditures: Lower Bound
Base Scenario]]</f>
        <v>99567000.000000015</v>
      </c>
      <c r="R68" s="43">
        <f>Table15364345462[[#This Row],[Total Private (Out-of-Pocket) Healthcare Expenditures:
Base Scenario]]*Table15364345462[[#This Row],[Smoking-Attributable Fraction (SAF) of Healthcare Expenditures: Upper Bound
Base Scenario]]</f>
        <v>187590000</v>
      </c>
      <c r="S68" s="43">
        <f>Table15364345462[[#This Row],[Total Other Health Expenditures:
Base Scenario]]*Table15364345462[[#This Row],[Smoking-Attributable Fraction (SAF) of Healthcare Expenditures
Base Scenario]]</f>
        <v>13122000</v>
      </c>
      <c r="T68" s="43">
        <f>Table15364345462[[#This Row],[Total Other Health Expenditures:
Base Scenario]]*Table15364345462[[#This Row],[Smoking-Attributable Fraction (SAF) of Healthcare Expenditures: Lower Bound
Base Scenario]]</f>
        <v>11178000.000000002</v>
      </c>
      <c r="U68" s="43">
        <f>Table15364345462[[#This Row],[Total Other Health Expenditures:
Base Scenario]]*Table15364345462[[#This Row],[Smoking-Attributable Fraction (SAF) of Healthcare Expenditures: Upper Bound
Base Scenario]]</f>
        <v>21060000</v>
      </c>
      <c r="V68" s="62">
        <v>-9.1000000000000004E-3</v>
      </c>
      <c r="W68" s="60">
        <f>W67*(1+Table15364345462[[#This Row],[Relative Change in Smoking Prevalence:
Increase Cigarette Taxes]])</f>
        <v>6.428625365603978E-2</v>
      </c>
      <c r="X68" s="60">
        <f>X67*(1+Table15364345462[[#This Row],[Relative Change in Smoking Prevalence:
Increase Cigarette Taxes]])</f>
        <v>5.4762364225515385E-2</v>
      </c>
      <c r="Y68" s="60">
        <f>Y67*(1+Table15364345462[[#This Row],[Relative Change in Smoking Prevalence:
Increase Cigarette Taxes]])</f>
        <v>0.10317546883068118</v>
      </c>
      <c r="Z68" s="66">
        <f>Table15364345462[[#This Row],[Total Healthcare Expenditures
(All Categories):
Base Scenario]]*Table15364345462[[#This Row],[Smoking-Attributable Fraction (SAF) of Healthcare Expenditures:
Adjusted for Intervention Impacts]]</f>
        <v>161872786.70590818</v>
      </c>
      <c r="AA68" s="64">
        <f>Table15364345462[[#This Row],[Total Healthcare Expenditures
(All Categories):
Base Scenario]]*Table15364345462[[#This Row],[Smoking-Attributable Fraction (SAF) of Healthcare Expenditures: Lower Bound
Adjusted for Intervention Impacts]]</f>
        <v>137891633.11984774</v>
      </c>
      <c r="AB68" s="66">
        <f>Table15364345462[[#This Row],[Total Healthcare Expenditures
(All Categories):
Base Scenario]]*Table15364345462[[#This Row],[Smoking-Attributable Fraction (SAF) of Healthcare Expenditures: Upper Bound
Adjusted for Intervention Impacts]]</f>
        <v>259795830.51565522</v>
      </c>
      <c r="AC68" s="66">
        <f>Table15364345462[[#This Row],[Total Government Healthcare Expenditures
(including national insurance):
Base Scenario]]*Table15364345462[[#This Row],[Smoking-Attributable Fraction (SAF) of Healthcare Expenditures:
Adjusted for Intervention Impacts]]</f>
        <v>58693349.587964319</v>
      </c>
      <c r="AD68" s="66">
        <f>Table15364345462[[#This Row],[Total Government Healthcare Expenditures
(including national insurance):
Base Scenario]]*Table15364345462[[#This Row],[Smoking-Attributable Fraction (SAF) of Healthcare Expenditures: Lower Bound
Adjusted for Intervention Impacts]]</f>
        <v>49998038.537895545</v>
      </c>
      <c r="AE68" s="66">
        <f>Table15364345462[[#This Row],[Total Government Healthcare Expenditures
(including national insurance):
Base Scenario]]*Table15364345462[[#This Row],[Smoking-Attributable Fraction (SAF) of Healthcare Expenditures: Upper Bound
Adjusted for Intervention Impacts]]</f>
        <v>94199203.042411923</v>
      </c>
      <c r="AF68" s="66">
        <f>Table15364345462[[#This Row],[Total Private (Out-of-Pocket) Healthcare Expenditures:
Base Scenario]]*Table15364345462[[#This Row],[Smoking-Attributable Fraction (SAF) of Healthcare Expenditures:
Adjusted for Intervention Impacts]]</f>
        <v>92765064.025665402</v>
      </c>
      <c r="AG68" s="66">
        <f>Table15364345462[[#This Row],[Total Private (Out-of-Pocket) Healthcare Expenditures:
Base Scenario]]*Table15364345462[[#This Row],[Smoking-Attributable Fraction (SAF) of Healthcare Expenditures: Lower Bound
Adjusted for Intervention Impacts]]</f>
        <v>79022091.5774187</v>
      </c>
      <c r="AH68" s="66">
        <f>Table15364345462[[#This Row],[Total Private (Out-of-Pocket) Healthcare Expenditures:
Base Scenario]]*Table15364345462[[#This Row],[Smoking-Attributable Fraction (SAF) of Healthcare Expenditures: Upper Bound
Adjusted for Intervention Impacts]]</f>
        <v>148882201.52267295</v>
      </c>
      <c r="AI68" s="65">
        <f>Table15364345462[[#This Row],[Total Other Health Expenditures:
Base Scenario]]*Table15364345462[[#This Row],[Smoking-Attributable Fraction (SAF) of Healthcare Expenditures:
Adjusted for Intervention Impacts]]</f>
        <v>10414373.092278445</v>
      </c>
      <c r="AJ68" s="65">
        <f>Table15364345462[[#This Row],[Total Other Health Expenditures:
Base Scenario]]*Table15364345462[[#This Row],[Smoking-Attributable Fraction (SAF) of Healthcare Expenditures: Lower Bound
Adjusted for Intervention Impacts]]</f>
        <v>8871503.004533492</v>
      </c>
      <c r="AK68" s="65">
        <f>Table15364345462[[#This Row],[Total Other Health Expenditures:
Base Scenario]]*Table15364345462[[#This Row],[Smoking-Attributable Fraction (SAF) of Healthcare Expenditures: Upper Bound
Adjusted for Intervention Impacts]]</f>
        <v>16714425.950570352</v>
      </c>
      <c r="AL68" s="76">
        <f>Table15364345462[[#This Row],[Smoking-Attributable Total Healthcare Expenditures:
Base Scenario]]-Table15364345462[[#This Row],[Smoking-Attributable Total Healthcare Expenditures:
Intervention Scenario]]</f>
        <v>42085213.294091821</v>
      </c>
      <c r="AM68" s="76">
        <f>Table15364345462[[#This Row],[Smoking-Attributable Total Healthcare Expenditures: Lower Bound
Base Scenario]]-Table15364345462[[#This Row],[Smoking-Attributable Total Healthcare Expenditures: Lower Bound
Intervention Scenario]]</f>
        <v>35850366.880152255</v>
      </c>
      <c r="AN68" s="76">
        <f>Table15364345462[[#This Row],[Smoking-Attributable Total Healthcare Expenditures: Upper Bound
Base Scenario]]-Table15364345462[[#This Row],[Smoking-Attributable Total Healthcare Expenditures: Upper Bound
Intervention Scenario]]</f>
        <v>67544169.48434478</v>
      </c>
      <c r="AO68" s="76">
        <f>Table15364345462[[#This Row],[Smoking-Attributable Government Healthcare Expenditures
(including national insurance):
Base Scenario]]-Table15364345462[[#This Row],[Smoking-Attributable Government Healthcare Expenditures
(including national insurance):
Intervention Scenario]]</f>
        <v>15259650.412035681</v>
      </c>
      <c r="AP68"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12998961.462104462</v>
      </c>
      <c r="AQ68"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24490796.957588077</v>
      </c>
      <c r="AR68" s="76">
        <f>Table15364345462[[#This Row],[Smoking-Attributable Private Healthcare Expenditures:
Base Scenario]]-Table15364345462[[#This Row],[Smoking-Attributable Private Healthcare Expenditures:
Intervention Scenario]]</f>
        <v>24117935.974334598</v>
      </c>
      <c r="AS68" s="76">
        <f>Table15364345462[[#This Row],[Smoking-Attributable Private Healthcare Expenditures: Lower Bound
Base Scenario]]-Table15364345462[[#This Row],[Smoking-Attributable Private Healthcare Expenditures: Lower Bound
Intervention Scenario]]</f>
        <v>20544908.422581315</v>
      </c>
      <c r="AT68" s="76">
        <f>Table15364345462[[#This Row],[Smoking-Attributable Private Healthcare Expenditures: Upper Bound
Base Scenario]]-Table15364345462[[#This Row],[Smoking-Attributable Private Healthcare Expenditures: Upper Bound
Intervention Scenario]]</f>
        <v>38707798.477327049</v>
      </c>
      <c r="AU68" s="76">
        <f>Table15364345462[[#This Row],[Smoking-Attributable Other Health Expenditures:
Base Scenario]]-Table15364345462[[#This Row],[Smoking-Attributable Other Health Expenditures:
Intervention Scenario]]</f>
        <v>2707626.9077215549</v>
      </c>
      <c r="AV68" s="235">
        <f>Table15364345462[[#This Row],[Smoking-Attributable Other Health Expenditures: Lower Bound
Base Scenario]]-Table15364345462[[#This Row],[Smoking-Attributable Other Health Expenditures: Lower Bound
Intervention Scenario]]</f>
        <v>2306496.9954665098</v>
      </c>
      <c r="AW68" s="235">
        <f>Table15364345462[[#This Row],[Smoking-Attributable Other Health Expenditures: Upper Bound
Base Scenario]]-Table15364345462[[#This Row],[Smoking-Attributable Other Health Expenditures: Upper Bound
Intervention Scenario]]</f>
        <v>4345574.0494296476</v>
      </c>
    </row>
    <row r="69" spans="2:49">
      <c r="B69" s="47">
        <v>11</v>
      </c>
      <c r="C69" s="48">
        <f t="shared" si="12"/>
        <v>2518000000</v>
      </c>
      <c r="D69" s="48">
        <f t="shared" si="13"/>
        <v>913000000</v>
      </c>
      <c r="E69" s="48">
        <f t="shared" si="14"/>
        <v>1443000000</v>
      </c>
      <c r="F69" s="48">
        <f t="shared" si="15"/>
        <v>162000000</v>
      </c>
      <c r="G69" s="232">
        <f t="shared" si="16"/>
        <v>8.1000000000000003E-2</v>
      </c>
      <c r="H69" s="46">
        <f t="shared" si="20"/>
        <v>6.9000000000000006E-2</v>
      </c>
      <c r="I69" s="46">
        <f t="shared" si="17"/>
        <v>0.13</v>
      </c>
      <c r="J69" s="43">
        <f>Table15364345462[[#This Row],[Total Healthcare Expenditures
(All Categories):
Base Scenario]]*Table15364345462[[#This Row],[Smoking-Attributable Fraction (SAF) of Healthcare Expenditures
Base Scenario]]</f>
        <v>203958000</v>
      </c>
      <c r="K69" s="43">
        <f>Table15364345462[[#This Row],[Total Healthcare Expenditures
(All Categories):
Base Scenario]]*Table15364345462[[#This Row],[Smoking-Attributable Fraction (SAF) of Healthcare Expenditures: Lower Bound
Base Scenario]]</f>
        <v>173742000</v>
      </c>
      <c r="L69" s="43">
        <f>Table15364345462[[#This Row],[Total Healthcare Expenditures
(All Categories):
Base Scenario]]*Table15364345462[[#This Row],[Smoking-Attributable Fraction (SAF) of Healthcare Expenditures: Upper Bound
Base Scenario]]</f>
        <v>327340000</v>
      </c>
      <c r="M69" s="43">
        <f>Table15364345462[[#This Row],[Total Government Healthcare Expenditures
(including national insurance):
Base Scenario]]*Table15364345462[[#This Row],[Smoking-Attributable Fraction (SAF) of Healthcare Expenditures
Base Scenario]]</f>
        <v>73953000</v>
      </c>
      <c r="N69" s="43">
        <f>Table15364345462[[#This Row],[Total Government Healthcare Expenditures
(including national insurance):
Base Scenario]]*Table15364345462[[#This Row],[Smoking-Attributable Fraction (SAF) of Healthcare Expenditures: Lower Bound
Base Scenario]]</f>
        <v>62997000.000000007</v>
      </c>
      <c r="O69" s="43">
        <f>Table15364345462[[#This Row],[Total Government Healthcare Expenditures
(including national insurance):
Base Scenario]]*Table15364345462[[#This Row],[Smoking-Attributable Fraction (SAF) of Healthcare Expenditures: Upper Bound
Base Scenario]]</f>
        <v>118690000</v>
      </c>
      <c r="P69" s="43">
        <f>Table15364345462[[#This Row],[Total Private (Out-of-Pocket) Healthcare Expenditures:
Base Scenario]]*Table15364345462[[#This Row],[Smoking-Attributable Fraction (SAF) of Healthcare Expenditures
Base Scenario]]</f>
        <v>116883000</v>
      </c>
      <c r="Q69" s="43">
        <f>Table15364345462[[#This Row],[Total Private (Out-of-Pocket) Healthcare Expenditures:
Base Scenario]]*Table15364345462[[#This Row],[Smoking-Attributable Fraction (SAF) of Healthcare Expenditures: Lower Bound
Base Scenario]]</f>
        <v>99567000.000000015</v>
      </c>
      <c r="R69" s="43">
        <f>Table15364345462[[#This Row],[Total Private (Out-of-Pocket) Healthcare Expenditures:
Base Scenario]]*Table15364345462[[#This Row],[Smoking-Attributable Fraction (SAF) of Healthcare Expenditures: Upper Bound
Base Scenario]]</f>
        <v>187590000</v>
      </c>
      <c r="S69" s="43">
        <f>Table15364345462[[#This Row],[Total Other Health Expenditures:
Base Scenario]]*Table15364345462[[#This Row],[Smoking-Attributable Fraction (SAF) of Healthcare Expenditures
Base Scenario]]</f>
        <v>13122000</v>
      </c>
      <c r="T69" s="43">
        <f>Table15364345462[[#This Row],[Total Other Health Expenditures:
Base Scenario]]*Table15364345462[[#This Row],[Smoking-Attributable Fraction (SAF) of Healthcare Expenditures: Lower Bound
Base Scenario]]</f>
        <v>11178000.000000002</v>
      </c>
      <c r="U69" s="43">
        <f>Table15364345462[[#This Row],[Total Other Health Expenditures:
Base Scenario]]*Table15364345462[[#This Row],[Smoking-Attributable Fraction (SAF) of Healthcare Expenditures: Upper Bound
Base Scenario]]</f>
        <v>21060000</v>
      </c>
      <c r="V69" s="62">
        <v>-9.1000000000000004E-3</v>
      </c>
      <c r="W69" s="60">
        <f>W68*(1+Table15364345462[[#This Row],[Relative Change in Smoking Prevalence:
Increase Cigarette Taxes]])</f>
        <v>6.370124874776982E-2</v>
      </c>
      <c r="X69" s="60">
        <f>X68*(1+Table15364345462[[#This Row],[Relative Change in Smoking Prevalence:
Increase Cigarette Taxes]])</f>
        <v>5.4264026711063194E-2</v>
      </c>
      <c r="Y69" s="60">
        <f>Y68*(1+Table15364345462[[#This Row],[Relative Change in Smoking Prevalence:
Increase Cigarette Taxes]])</f>
        <v>0.10223657206432199</v>
      </c>
      <c r="Z69" s="66">
        <f>Table15364345462[[#This Row],[Total Healthcare Expenditures
(All Categories):
Base Scenario]]*Table15364345462[[#This Row],[Smoking-Attributable Fraction (SAF) of Healthcare Expenditures:
Adjusted for Intervention Impacts]]</f>
        <v>160399744.3468844</v>
      </c>
      <c r="AA69" s="64">
        <f>Table15364345462[[#This Row],[Total Healthcare Expenditures
(All Categories):
Base Scenario]]*Table15364345462[[#This Row],[Smoking-Attributable Fraction (SAF) of Healthcare Expenditures: Lower Bound
Adjusted for Intervention Impacts]]</f>
        <v>136636819.25845712</v>
      </c>
      <c r="AB69" s="66">
        <f>Table15364345462[[#This Row],[Total Healthcare Expenditures
(All Categories):
Base Scenario]]*Table15364345462[[#This Row],[Smoking-Attributable Fraction (SAF) of Healthcare Expenditures: Upper Bound
Adjusted for Intervention Impacts]]</f>
        <v>257431688.45796278</v>
      </c>
      <c r="AC69" s="66">
        <f>Table15364345462[[#This Row],[Total Government Healthcare Expenditures
(including national insurance):
Base Scenario]]*Table15364345462[[#This Row],[Smoking-Attributable Fraction (SAF) of Healthcare Expenditures:
Adjusted for Intervention Impacts]]</f>
        <v>58159240.106713846</v>
      </c>
      <c r="AD69" s="66">
        <f>Table15364345462[[#This Row],[Total Government Healthcare Expenditures
(including national insurance):
Base Scenario]]*Table15364345462[[#This Row],[Smoking-Attributable Fraction (SAF) of Healthcare Expenditures: Lower Bound
Adjusted for Intervention Impacts]]</f>
        <v>49543056.387200698</v>
      </c>
      <c r="AE69" s="66">
        <f>Table15364345462[[#This Row],[Total Government Healthcare Expenditures
(including national insurance):
Base Scenario]]*Table15364345462[[#This Row],[Smoking-Attributable Fraction (SAF) of Healthcare Expenditures: Upper Bound
Adjusted for Intervention Impacts]]</f>
        <v>93341990.294725969</v>
      </c>
      <c r="AF69" s="66">
        <f>Table15364345462[[#This Row],[Total Private (Out-of-Pocket) Healthcare Expenditures:
Base Scenario]]*Table15364345462[[#This Row],[Smoking-Attributable Fraction (SAF) of Healthcare Expenditures:
Adjusted for Intervention Impacts]]</f>
        <v>91920901.943031847</v>
      </c>
      <c r="AG69" s="66">
        <f>Table15364345462[[#This Row],[Total Private (Out-of-Pocket) Healthcare Expenditures:
Base Scenario]]*Table15364345462[[#This Row],[Smoking-Attributable Fraction (SAF) of Healthcare Expenditures: Lower Bound
Adjusted for Intervention Impacts]]</f>
        <v>78302990.544064194</v>
      </c>
      <c r="AH69" s="66">
        <f>Table15364345462[[#This Row],[Total Private (Out-of-Pocket) Healthcare Expenditures:
Base Scenario]]*Table15364345462[[#This Row],[Smoking-Attributable Fraction (SAF) of Healthcare Expenditures: Upper Bound
Adjusted for Intervention Impacts]]</f>
        <v>147527373.48881662</v>
      </c>
      <c r="AI69" s="65">
        <f>Table15364345462[[#This Row],[Total Other Health Expenditures:
Base Scenario]]*Table15364345462[[#This Row],[Smoking-Attributable Fraction (SAF) of Healthcare Expenditures:
Adjusted for Intervention Impacts]]</f>
        <v>10319602.297138711</v>
      </c>
      <c r="AJ69" s="65">
        <f>Table15364345462[[#This Row],[Total Other Health Expenditures:
Base Scenario]]*Table15364345462[[#This Row],[Smoking-Attributable Fraction (SAF) of Healthcare Expenditures: Lower Bound
Adjusted for Intervention Impacts]]</f>
        <v>8790772.3271922376</v>
      </c>
      <c r="AK69" s="65">
        <f>Table15364345462[[#This Row],[Total Other Health Expenditures:
Base Scenario]]*Table15364345462[[#This Row],[Smoking-Attributable Fraction (SAF) of Healthcare Expenditures: Upper Bound
Adjusted for Intervention Impacts]]</f>
        <v>16562324.674420163</v>
      </c>
      <c r="AL69" s="76">
        <f>Table15364345462[[#This Row],[Smoking-Attributable Total Healthcare Expenditures:
Base Scenario]]-Table15364345462[[#This Row],[Smoking-Attributable Total Healthcare Expenditures:
Intervention Scenario]]</f>
        <v>43558255.6531156</v>
      </c>
      <c r="AM69" s="76">
        <f>Table15364345462[[#This Row],[Smoking-Attributable Total Healthcare Expenditures: Lower Bound
Base Scenario]]-Table15364345462[[#This Row],[Smoking-Attributable Total Healthcare Expenditures: Lower Bound
Intervention Scenario]]</f>
        <v>37105180.741542876</v>
      </c>
      <c r="AN69" s="76">
        <f>Table15364345462[[#This Row],[Smoking-Attributable Total Healthcare Expenditures: Upper Bound
Base Scenario]]-Table15364345462[[#This Row],[Smoking-Attributable Total Healthcare Expenditures: Upper Bound
Intervention Scenario]]</f>
        <v>69908311.542037219</v>
      </c>
      <c r="AO69" s="76">
        <f>Table15364345462[[#This Row],[Smoking-Attributable Government Healthcare Expenditures
(including national insurance):
Base Scenario]]-Table15364345462[[#This Row],[Smoking-Attributable Government Healthcare Expenditures
(including national insurance):
Intervention Scenario]]</f>
        <v>15793759.893286154</v>
      </c>
      <c r="AP69"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13453943.612799309</v>
      </c>
      <c r="AQ69"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25348009.705274031</v>
      </c>
      <c r="AR69" s="76">
        <f>Table15364345462[[#This Row],[Smoking-Attributable Private Healthcare Expenditures:
Base Scenario]]-Table15364345462[[#This Row],[Smoking-Attributable Private Healthcare Expenditures:
Intervention Scenario]]</f>
        <v>24962098.056968153</v>
      </c>
      <c r="AS69" s="76">
        <f>Table15364345462[[#This Row],[Smoking-Attributable Private Healthcare Expenditures: Lower Bound
Base Scenario]]-Table15364345462[[#This Row],[Smoking-Attributable Private Healthcare Expenditures: Lower Bound
Intervention Scenario]]</f>
        <v>21264009.455935821</v>
      </c>
      <c r="AT69" s="76">
        <f>Table15364345462[[#This Row],[Smoking-Attributable Private Healthcare Expenditures: Upper Bound
Base Scenario]]-Table15364345462[[#This Row],[Smoking-Attributable Private Healthcare Expenditures: Upper Bound
Intervention Scenario]]</f>
        <v>40062626.511183381</v>
      </c>
      <c r="AU69" s="76">
        <f>Table15364345462[[#This Row],[Smoking-Attributable Other Health Expenditures:
Base Scenario]]-Table15364345462[[#This Row],[Smoking-Attributable Other Health Expenditures:
Intervention Scenario]]</f>
        <v>2802397.7028612886</v>
      </c>
      <c r="AV69" s="235">
        <f>Table15364345462[[#This Row],[Smoking-Attributable Other Health Expenditures: Lower Bound
Base Scenario]]-Table15364345462[[#This Row],[Smoking-Attributable Other Health Expenditures: Lower Bound
Intervention Scenario]]</f>
        <v>2387227.6728077643</v>
      </c>
      <c r="AW69" s="235">
        <f>Table15364345462[[#This Row],[Smoking-Attributable Other Health Expenditures: Upper Bound
Base Scenario]]-Table15364345462[[#This Row],[Smoking-Attributable Other Health Expenditures: Upper Bound
Intervention Scenario]]</f>
        <v>4497675.325579837</v>
      </c>
    </row>
    <row r="70" spans="2:49">
      <c r="B70" s="47">
        <v>12</v>
      </c>
      <c r="C70" s="48">
        <f t="shared" si="12"/>
        <v>2518000000</v>
      </c>
      <c r="D70" s="48">
        <f t="shared" si="13"/>
        <v>913000000</v>
      </c>
      <c r="E70" s="48">
        <f t="shared" si="14"/>
        <v>1443000000</v>
      </c>
      <c r="F70" s="48">
        <f t="shared" si="15"/>
        <v>162000000</v>
      </c>
      <c r="G70" s="232">
        <f t="shared" si="16"/>
        <v>8.1000000000000003E-2</v>
      </c>
      <c r="H70" s="46">
        <f t="shared" si="20"/>
        <v>6.9000000000000006E-2</v>
      </c>
      <c r="I70" s="46">
        <f t="shared" si="17"/>
        <v>0.13</v>
      </c>
      <c r="J70" s="43">
        <f>Table15364345462[[#This Row],[Total Healthcare Expenditures
(All Categories):
Base Scenario]]*Table15364345462[[#This Row],[Smoking-Attributable Fraction (SAF) of Healthcare Expenditures
Base Scenario]]</f>
        <v>203958000</v>
      </c>
      <c r="K70" s="43">
        <f>Table15364345462[[#This Row],[Total Healthcare Expenditures
(All Categories):
Base Scenario]]*Table15364345462[[#This Row],[Smoking-Attributable Fraction (SAF) of Healthcare Expenditures: Lower Bound
Base Scenario]]</f>
        <v>173742000</v>
      </c>
      <c r="L70" s="43">
        <f>Table15364345462[[#This Row],[Total Healthcare Expenditures
(All Categories):
Base Scenario]]*Table15364345462[[#This Row],[Smoking-Attributable Fraction (SAF) of Healthcare Expenditures: Upper Bound
Base Scenario]]</f>
        <v>327340000</v>
      </c>
      <c r="M70" s="43">
        <f>Table15364345462[[#This Row],[Total Government Healthcare Expenditures
(including national insurance):
Base Scenario]]*Table15364345462[[#This Row],[Smoking-Attributable Fraction (SAF) of Healthcare Expenditures
Base Scenario]]</f>
        <v>73953000</v>
      </c>
      <c r="N70" s="43">
        <f>Table15364345462[[#This Row],[Total Government Healthcare Expenditures
(including national insurance):
Base Scenario]]*Table15364345462[[#This Row],[Smoking-Attributable Fraction (SAF) of Healthcare Expenditures: Lower Bound
Base Scenario]]</f>
        <v>62997000.000000007</v>
      </c>
      <c r="O70" s="43">
        <f>Table15364345462[[#This Row],[Total Government Healthcare Expenditures
(including national insurance):
Base Scenario]]*Table15364345462[[#This Row],[Smoking-Attributable Fraction (SAF) of Healthcare Expenditures: Upper Bound
Base Scenario]]</f>
        <v>118690000</v>
      </c>
      <c r="P70" s="43">
        <f>Table15364345462[[#This Row],[Total Private (Out-of-Pocket) Healthcare Expenditures:
Base Scenario]]*Table15364345462[[#This Row],[Smoking-Attributable Fraction (SAF) of Healthcare Expenditures
Base Scenario]]</f>
        <v>116883000</v>
      </c>
      <c r="Q70" s="43">
        <f>Table15364345462[[#This Row],[Total Private (Out-of-Pocket) Healthcare Expenditures:
Base Scenario]]*Table15364345462[[#This Row],[Smoking-Attributable Fraction (SAF) of Healthcare Expenditures: Lower Bound
Base Scenario]]</f>
        <v>99567000.000000015</v>
      </c>
      <c r="R70" s="43">
        <f>Table15364345462[[#This Row],[Total Private (Out-of-Pocket) Healthcare Expenditures:
Base Scenario]]*Table15364345462[[#This Row],[Smoking-Attributable Fraction (SAF) of Healthcare Expenditures: Upper Bound
Base Scenario]]</f>
        <v>187590000</v>
      </c>
      <c r="S70" s="43">
        <f>Table15364345462[[#This Row],[Total Other Health Expenditures:
Base Scenario]]*Table15364345462[[#This Row],[Smoking-Attributable Fraction (SAF) of Healthcare Expenditures
Base Scenario]]</f>
        <v>13122000</v>
      </c>
      <c r="T70" s="43">
        <f>Table15364345462[[#This Row],[Total Other Health Expenditures:
Base Scenario]]*Table15364345462[[#This Row],[Smoking-Attributable Fraction (SAF) of Healthcare Expenditures: Lower Bound
Base Scenario]]</f>
        <v>11178000.000000002</v>
      </c>
      <c r="U70" s="43">
        <f>Table15364345462[[#This Row],[Total Other Health Expenditures:
Base Scenario]]*Table15364345462[[#This Row],[Smoking-Attributable Fraction (SAF) of Healthcare Expenditures: Upper Bound
Base Scenario]]</f>
        <v>21060000</v>
      </c>
      <c r="V70" s="62">
        <v>-9.1000000000000004E-3</v>
      </c>
      <c r="W70" s="60">
        <f>W69*(1+Table15364345462[[#This Row],[Relative Change in Smoking Prevalence:
Increase Cigarette Taxes]])</f>
        <v>6.312156738416512E-2</v>
      </c>
      <c r="X70" s="60">
        <f>X69*(1+Table15364345462[[#This Row],[Relative Change in Smoking Prevalence:
Increase Cigarette Taxes]])</f>
        <v>5.377022406799252E-2</v>
      </c>
      <c r="Y70" s="60">
        <f>Y69*(1+Table15364345462[[#This Row],[Relative Change in Smoking Prevalence:
Increase Cigarette Taxes]])</f>
        <v>0.10130621925853665</v>
      </c>
      <c r="Z70" s="66">
        <f>Table15364345462[[#This Row],[Total Healthcare Expenditures
(All Categories):
Base Scenario]]*Table15364345462[[#This Row],[Smoking-Attributable Fraction (SAF) of Healthcare Expenditures:
Adjusted for Intervention Impacts]]</f>
        <v>158940106.67332777</v>
      </c>
      <c r="AA70" s="64">
        <f>Table15364345462[[#This Row],[Total Healthcare Expenditures
(All Categories):
Base Scenario]]*Table15364345462[[#This Row],[Smoking-Attributable Fraction (SAF) of Healthcare Expenditures: Lower Bound
Adjusted for Intervention Impacts]]</f>
        <v>135393424.20320517</v>
      </c>
      <c r="AB70" s="66">
        <f>Table15364345462[[#This Row],[Total Healthcare Expenditures
(All Categories):
Base Scenario]]*Table15364345462[[#This Row],[Smoking-Attributable Fraction (SAF) of Healthcare Expenditures: Upper Bound
Adjusted for Intervention Impacts]]</f>
        <v>255089060.09299529</v>
      </c>
      <c r="AC70" s="66">
        <f>Table15364345462[[#This Row],[Total Government Healthcare Expenditures
(including national insurance):
Base Scenario]]*Table15364345462[[#This Row],[Smoking-Attributable Fraction (SAF) of Healthcare Expenditures:
Adjusted for Intervention Impacts]]</f>
        <v>57629991.021742754</v>
      </c>
      <c r="AD70" s="66">
        <f>Table15364345462[[#This Row],[Total Government Healthcare Expenditures
(including national insurance):
Base Scenario]]*Table15364345462[[#This Row],[Smoking-Attributable Fraction (SAF) of Healthcare Expenditures: Lower Bound
Adjusted for Intervention Impacts]]</f>
        <v>49092214.574077174</v>
      </c>
      <c r="AE70" s="66">
        <f>Table15364345462[[#This Row],[Total Government Healthcare Expenditures
(including national insurance):
Base Scenario]]*Table15364345462[[#This Row],[Smoking-Attributable Fraction (SAF) of Healthcare Expenditures: Upper Bound
Adjusted for Intervention Impacts]]</f>
        <v>92492578.183043972</v>
      </c>
      <c r="AF70" s="66">
        <f>Table15364345462[[#This Row],[Total Private (Out-of-Pocket) Healthcare Expenditures:
Base Scenario]]*Table15364345462[[#This Row],[Smoking-Attributable Fraction (SAF) of Healthcare Expenditures:
Adjusted for Intervention Impacts]]</f>
        <v>91084421.735350266</v>
      </c>
      <c r="AG70" s="66">
        <f>Table15364345462[[#This Row],[Total Private (Out-of-Pocket) Healthcare Expenditures:
Base Scenario]]*Table15364345462[[#This Row],[Smoking-Attributable Fraction (SAF) of Healthcare Expenditures: Lower Bound
Adjusted for Intervention Impacts]]</f>
        <v>77590433.330113202</v>
      </c>
      <c r="AH70" s="66">
        <f>Table15364345462[[#This Row],[Total Private (Out-of-Pocket) Healthcare Expenditures:
Base Scenario]]*Table15364345462[[#This Row],[Smoking-Attributable Fraction (SAF) of Healthcare Expenditures: Upper Bound
Adjusted for Intervention Impacts]]</f>
        <v>146184874.39006838</v>
      </c>
      <c r="AI70" s="65">
        <f>Table15364345462[[#This Row],[Total Other Health Expenditures:
Base Scenario]]*Table15364345462[[#This Row],[Smoking-Attributable Fraction (SAF) of Healthcare Expenditures:
Adjusted for Intervention Impacts]]</f>
        <v>10225693.91623475</v>
      </c>
      <c r="AJ70" s="65">
        <f>Table15364345462[[#This Row],[Total Other Health Expenditures:
Base Scenario]]*Table15364345462[[#This Row],[Smoking-Attributable Fraction (SAF) of Healthcare Expenditures: Lower Bound
Adjusted for Intervention Impacts]]</f>
        <v>8710776.2990147881</v>
      </c>
      <c r="AK70" s="65">
        <f>Table15364345462[[#This Row],[Total Other Health Expenditures:
Base Scenario]]*Table15364345462[[#This Row],[Smoking-Attributable Fraction (SAF) of Healthcare Expenditures: Upper Bound
Adjusted for Intervention Impacts]]</f>
        <v>16411607.519882938</v>
      </c>
      <c r="AL70" s="76">
        <f>Table15364345462[[#This Row],[Smoking-Attributable Total Healthcare Expenditures:
Base Scenario]]-Table15364345462[[#This Row],[Smoking-Attributable Total Healthcare Expenditures:
Intervention Scenario]]</f>
        <v>45017893.326672226</v>
      </c>
      <c r="AM70" s="76">
        <f>Table15364345462[[#This Row],[Smoking-Attributable Total Healthcare Expenditures: Lower Bound
Base Scenario]]-Table15364345462[[#This Row],[Smoking-Attributable Total Healthcare Expenditures: Lower Bound
Intervention Scenario]]</f>
        <v>38348575.796794832</v>
      </c>
      <c r="AN70" s="76">
        <f>Table15364345462[[#This Row],[Smoking-Attributable Total Healthcare Expenditures: Upper Bound
Base Scenario]]-Table15364345462[[#This Row],[Smoking-Attributable Total Healthcare Expenditures: Upper Bound
Intervention Scenario]]</f>
        <v>72250939.907004714</v>
      </c>
      <c r="AO70" s="76">
        <f>Table15364345462[[#This Row],[Smoking-Attributable Government Healthcare Expenditures
(including national insurance):
Base Scenario]]-Table15364345462[[#This Row],[Smoking-Attributable Government Healthcare Expenditures
(including national insurance):
Intervention Scenario]]</f>
        <v>16323008.978257246</v>
      </c>
      <c r="AP70"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13904785.425922833</v>
      </c>
      <c r="AQ70"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26197421.816956028</v>
      </c>
      <c r="AR70" s="76">
        <f>Table15364345462[[#This Row],[Smoking-Attributable Private Healthcare Expenditures:
Base Scenario]]-Table15364345462[[#This Row],[Smoking-Attributable Private Healthcare Expenditures:
Intervention Scenario]]</f>
        <v>25798578.264649734</v>
      </c>
      <c r="AS70" s="76">
        <f>Table15364345462[[#This Row],[Smoking-Attributable Private Healthcare Expenditures: Lower Bound
Base Scenario]]-Table15364345462[[#This Row],[Smoking-Attributable Private Healthcare Expenditures: Lower Bound
Intervention Scenario]]</f>
        <v>21976566.669886813</v>
      </c>
      <c r="AT70" s="76">
        <f>Table15364345462[[#This Row],[Smoking-Attributable Private Healthcare Expenditures: Upper Bound
Base Scenario]]-Table15364345462[[#This Row],[Smoking-Attributable Private Healthcare Expenditures: Upper Bound
Intervention Scenario]]</f>
        <v>41405125.609931618</v>
      </c>
      <c r="AU70" s="76">
        <f>Table15364345462[[#This Row],[Smoking-Attributable Other Health Expenditures:
Base Scenario]]-Table15364345462[[#This Row],[Smoking-Attributable Other Health Expenditures:
Intervention Scenario]]</f>
        <v>2896306.0837652497</v>
      </c>
      <c r="AV70" s="235">
        <f>Table15364345462[[#This Row],[Smoking-Attributable Other Health Expenditures: Lower Bound
Base Scenario]]-Table15364345462[[#This Row],[Smoking-Attributable Other Health Expenditures: Lower Bound
Intervention Scenario]]</f>
        <v>2467223.7009852137</v>
      </c>
      <c r="AW70" s="235">
        <f>Table15364345462[[#This Row],[Smoking-Attributable Other Health Expenditures: Upper Bound
Base Scenario]]-Table15364345462[[#This Row],[Smoking-Attributable Other Health Expenditures: Upper Bound
Intervention Scenario]]</f>
        <v>4648392.4801170621</v>
      </c>
    </row>
    <row r="71" spans="2:49">
      <c r="B71" s="47">
        <v>13</v>
      </c>
      <c r="C71" s="48">
        <f t="shared" si="12"/>
        <v>2518000000</v>
      </c>
      <c r="D71" s="48">
        <f t="shared" si="13"/>
        <v>913000000</v>
      </c>
      <c r="E71" s="48">
        <f t="shared" si="14"/>
        <v>1443000000</v>
      </c>
      <c r="F71" s="48">
        <f t="shared" si="15"/>
        <v>162000000</v>
      </c>
      <c r="G71" s="232">
        <f t="shared" si="16"/>
        <v>8.1000000000000003E-2</v>
      </c>
      <c r="H71" s="46">
        <f t="shared" si="20"/>
        <v>6.9000000000000006E-2</v>
      </c>
      <c r="I71" s="46">
        <f t="shared" si="17"/>
        <v>0.13</v>
      </c>
      <c r="J71" s="43">
        <f>Table15364345462[[#This Row],[Total Healthcare Expenditures
(All Categories):
Base Scenario]]*Table15364345462[[#This Row],[Smoking-Attributable Fraction (SAF) of Healthcare Expenditures
Base Scenario]]</f>
        <v>203958000</v>
      </c>
      <c r="K71" s="43">
        <f>Table15364345462[[#This Row],[Total Healthcare Expenditures
(All Categories):
Base Scenario]]*Table15364345462[[#This Row],[Smoking-Attributable Fraction (SAF) of Healthcare Expenditures: Lower Bound
Base Scenario]]</f>
        <v>173742000</v>
      </c>
      <c r="L71" s="43">
        <f>Table15364345462[[#This Row],[Total Healthcare Expenditures
(All Categories):
Base Scenario]]*Table15364345462[[#This Row],[Smoking-Attributable Fraction (SAF) of Healthcare Expenditures: Upper Bound
Base Scenario]]</f>
        <v>327340000</v>
      </c>
      <c r="M71" s="43">
        <f>Table15364345462[[#This Row],[Total Government Healthcare Expenditures
(including national insurance):
Base Scenario]]*Table15364345462[[#This Row],[Smoking-Attributable Fraction (SAF) of Healthcare Expenditures
Base Scenario]]</f>
        <v>73953000</v>
      </c>
      <c r="N71" s="43">
        <f>Table15364345462[[#This Row],[Total Government Healthcare Expenditures
(including national insurance):
Base Scenario]]*Table15364345462[[#This Row],[Smoking-Attributable Fraction (SAF) of Healthcare Expenditures: Lower Bound
Base Scenario]]</f>
        <v>62997000.000000007</v>
      </c>
      <c r="O71" s="43">
        <f>Table15364345462[[#This Row],[Total Government Healthcare Expenditures
(including national insurance):
Base Scenario]]*Table15364345462[[#This Row],[Smoking-Attributable Fraction (SAF) of Healthcare Expenditures: Upper Bound
Base Scenario]]</f>
        <v>118690000</v>
      </c>
      <c r="P71" s="43">
        <f>Table15364345462[[#This Row],[Total Private (Out-of-Pocket) Healthcare Expenditures:
Base Scenario]]*Table15364345462[[#This Row],[Smoking-Attributable Fraction (SAF) of Healthcare Expenditures
Base Scenario]]</f>
        <v>116883000</v>
      </c>
      <c r="Q71" s="43">
        <f>Table15364345462[[#This Row],[Total Private (Out-of-Pocket) Healthcare Expenditures:
Base Scenario]]*Table15364345462[[#This Row],[Smoking-Attributable Fraction (SAF) of Healthcare Expenditures: Lower Bound
Base Scenario]]</f>
        <v>99567000.000000015</v>
      </c>
      <c r="R71" s="43">
        <f>Table15364345462[[#This Row],[Total Private (Out-of-Pocket) Healthcare Expenditures:
Base Scenario]]*Table15364345462[[#This Row],[Smoking-Attributable Fraction (SAF) of Healthcare Expenditures: Upper Bound
Base Scenario]]</f>
        <v>187590000</v>
      </c>
      <c r="S71" s="43">
        <f>Table15364345462[[#This Row],[Total Other Health Expenditures:
Base Scenario]]*Table15364345462[[#This Row],[Smoking-Attributable Fraction (SAF) of Healthcare Expenditures
Base Scenario]]</f>
        <v>13122000</v>
      </c>
      <c r="T71" s="43">
        <f>Table15364345462[[#This Row],[Total Other Health Expenditures:
Base Scenario]]*Table15364345462[[#This Row],[Smoking-Attributable Fraction (SAF) of Healthcare Expenditures: Lower Bound
Base Scenario]]</f>
        <v>11178000.000000002</v>
      </c>
      <c r="U71" s="43">
        <f>Table15364345462[[#This Row],[Total Other Health Expenditures:
Base Scenario]]*Table15364345462[[#This Row],[Smoking-Attributable Fraction (SAF) of Healthcare Expenditures: Upper Bound
Base Scenario]]</f>
        <v>21060000</v>
      </c>
      <c r="V71" s="62">
        <v>-9.1000000000000004E-3</v>
      </c>
      <c r="W71" s="60">
        <f>W70*(1+Table15364345462[[#This Row],[Relative Change in Smoking Prevalence:
Increase Cigarette Taxes]])</f>
        <v>6.2547161120969211E-2</v>
      </c>
      <c r="X71" s="60">
        <f>X70*(1+Table15364345462[[#This Row],[Relative Change in Smoking Prevalence:
Increase Cigarette Taxes]])</f>
        <v>5.3280915028973787E-2</v>
      </c>
      <c r="Y71" s="60">
        <f>Y70*(1+Table15364345462[[#This Row],[Relative Change in Smoking Prevalence:
Increase Cigarette Taxes]])</f>
        <v>0.10038433266328398</v>
      </c>
      <c r="Z71" s="66">
        <f>Table15364345462[[#This Row],[Total Healthcare Expenditures
(All Categories):
Base Scenario]]*Table15364345462[[#This Row],[Smoking-Attributable Fraction (SAF) of Healthcare Expenditures:
Adjusted for Intervention Impacts]]</f>
        <v>157493751.70260048</v>
      </c>
      <c r="AA71" s="64">
        <f>Table15364345462[[#This Row],[Total Healthcare Expenditures
(All Categories):
Base Scenario]]*Table15364345462[[#This Row],[Smoking-Attributable Fraction (SAF) of Healthcare Expenditures: Lower Bound
Adjusted for Intervention Impacts]]</f>
        <v>134161344.04295599</v>
      </c>
      <c r="AB71" s="66">
        <f>Table15364345462[[#This Row],[Total Healthcare Expenditures
(All Categories):
Base Scenario]]*Table15364345462[[#This Row],[Smoking-Attributable Fraction (SAF) of Healthcare Expenditures: Upper Bound
Adjusted for Intervention Impacts]]</f>
        <v>252767749.64614904</v>
      </c>
      <c r="AC71" s="66">
        <f>Table15364345462[[#This Row],[Total Government Healthcare Expenditures
(including national insurance):
Base Scenario]]*Table15364345462[[#This Row],[Smoking-Attributable Fraction (SAF) of Healthcare Expenditures:
Adjusted for Intervention Impacts]]</f>
        <v>57105558.103444889</v>
      </c>
      <c r="AD71" s="66">
        <f>Table15364345462[[#This Row],[Total Government Healthcare Expenditures
(including national insurance):
Base Scenario]]*Table15364345462[[#This Row],[Smoking-Attributable Fraction (SAF) of Healthcare Expenditures: Lower Bound
Adjusted for Intervention Impacts]]</f>
        <v>48645475.421453066</v>
      </c>
      <c r="AE71" s="66">
        <f>Table15364345462[[#This Row],[Total Government Healthcare Expenditures
(including national insurance):
Base Scenario]]*Table15364345462[[#This Row],[Smoking-Attributable Fraction (SAF) of Healthcare Expenditures: Upper Bound
Adjusted for Intervention Impacts]]</f>
        <v>91650895.72157827</v>
      </c>
      <c r="AF71" s="66">
        <f>Table15364345462[[#This Row],[Total Private (Out-of-Pocket) Healthcare Expenditures:
Base Scenario]]*Table15364345462[[#This Row],[Smoking-Attributable Fraction (SAF) of Healthcare Expenditures:
Adjusted for Intervention Impacts]]</f>
        <v>90255553.497558564</v>
      </c>
      <c r="AG71" s="66">
        <f>Table15364345462[[#This Row],[Total Private (Out-of-Pocket) Healthcare Expenditures:
Base Scenario]]*Table15364345462[[#This Row],[Smoking-Attributable Fraction (SAF) of Healthcare Expenditures: Lower Bound
Adjusted for Intervention Impacts]]</f>
        <v>76884360.38680917</v>
      </c>
      <c r="AH71" s="66">
        <f>Table15364345462[[#This Row],[Total Private (Out-of-Pocket) Healthcare Expenditures:
Base Scenario]]*Table15364345462[[#This Row],[Smoking-Attributable Fraction (SAF) of Healthcare Expenditures: Upper Bound
Adjusted for Intervention Impacts]]</f>
        <v>144854592.03311878</v>
      </c>
      <c r="AI71" s="65">
        <f>Table15364345462[[#This Row],[Total Other Health Expenditures:
Base Scenario]]*Table15364345462[[#This Row],[Smoking-Attributable Fraction (SAF) of Healthcare Expenditures:
Adjusted for Intervention Impacts]]</f>
        <v>10132640.101597013</v>
      </c>
      <c r="AJ71" s="65">
        <f>Table15364345462[[#This Row],[Total Other Health Expenditures:
Base Scenario]]*Table15364345462[[#This Row],[Smoking-Attributable Fraction (SAF) of Healthcare Expenditures: Lower Bound
Adjusted for Intervention Impacts]]</f>
        <v>8631508.2346937526</v>
      </c>
      <c r="AK71" s="65">
        <f>Table15364345462[[#This Row],[Total Other Health Expenditures:
Base Scenario]]*Table15364345462[[#This Row],[Smoking-Attributable Fraction (SAF) of Healthcare Expenditures: Upper Bound
Adjusted for Intervention Impacts]]</f>
        <v>16262261.891452003</v>
      </c>
      <c r="AL71" s="76">
        <f>Table15364345462[[#This Row],[Smoking-Attributable Total Healthcare Expenditures:
Base Scenario]]-Table15364345462[[#This Row],[Smoking-Attributable Total Healthcare Expenditures:
Intervention Scenario]]</f>
        <v>46464248.297399521</v>
      </c>
      <c r="AM71" s="76">
        <f>Table15364345462[[#This Row],[Smoking-Attributable Total Healthcare Expenditures: Lower Bound
Base Scenario]]-Table15364345462[[#This Row],[Smoking-Attributable Total Healthcare Expenditures: Lower Bound
Intervention Scenario]]</f>
        <v>39580655.957044005</v>
      </c>
      <c r="AN71" s="76">
        <f>Table15364345462[[#This Row],[Smoking-Attributable Total Healthcare Expenditures: Upper Bound
Base Scenario]]-Table15364345462[[#This Row],[Smoking-Attributable Total Healthcare Expenditures: Upper Bound
Intervention Scenario]]</f>
        <v>74572250.353850961</v>
      </c>
      <c r="AO71" s="76">
        <f>Table15364345462[[#This Row],[Smoking-Attributable Government Healthcare Expenditures
(including national insurance):
Base Scenario]]-Table15364345462[[#This Row],[Smoking-Attributable Government Healthcare Expenditures
(including national insurance):
Intervention Scenario]]</f>
        <v>16847441.896555111</v>
      </c>
      <c r="AP71"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14351524.578546941</v>
      </c>
      <c r="AQ71"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27039104.27842173</v>
      </c>
      <c r="AR71" s="76">
        <f>Table15364345462[[#This Row],[Smoking-Attributable Private Healthcare Expenditures:
Base Scenario]]-Table15364345462[[#This Row],[Smoking-Attributable Private Healthcare Expenditures:
Intervention Scenario]]</f>
        <v>26627446.502441436</v>
      </c>
      <c r="AS71" s="76">
        <f>Table15364345462[[#This Row],[Smoking-Attributable Private Healthcare Expenditures: Lower Bound
Base Scenario]]-Table15364345462[[#This Row],[Smoking-Attributable Private Healthcare Expenditures: Lower Bound
Intervention Scenario]]</f>
        <v>22682639.613190845</v>
      </c>
      <c r="AT71" s="76">
        <f>Table15364345462[[#This Row],[Smoking-Attributable Private Healthcare Expenditures: Upper Bound
Base Scenario]]-Table15364345462[[#This Row],[Smoking-Attributable Private Healthcare Expenditures: Upper Bound
Intervention Scenario]]</f>
        <v>42735407.966881216</v>
      </c>
      <c r="AU71" s="76">
        <f>Table15364345462[[#This Row],[Smoking-Attributable Other Health Expenditures:
Base Scenario]]-Table15364345462[[#This Row],[Smoking-Attributable Other Health Expenditures:
Intervention Scenario]]</f>
        <v>2989359.898402987</v>
      </c>
      <c r="AV71" s="235">
        <f>Table15364345462[[#This Row],[Smoking-Attributable Other Health Expenditures: Lower Bound
Base Scenario]]-Table15364345462[[#This Row],[Smoking-Attributable Other Health Expenditures: Lower Bound
Intervention Scenario]]</f>
        <v>2546491.7653062493</v>
      </c>
      <c r="AW71" s="235">
        <f>Table15364345462[[#This Row],[Smoking-Attributable Other Health Expenditures: Upper Bound
Base Scenario]]-Table15364345462[[#This Row],[Smoking-Attributable Other Health Expenditures: Upper Bound
Intervention Scenario]]</f>
        <v>4797738.1085479967</v>
      </c>
    </row>
    <row r="72" spans="2:49">
      <c r="B72" s="47">
        <v>14</v>
      </c>
      <c r="C72" s="48">
        <f t="shared" si="12"/>
        <v>2518000000</v>
      </c>
      <c r="D72" s="48">
        <f t="shared" si="13"/>
        <v>913000000</v>
      </c>
      <c r="E72" s="48">
        <f t="shared" si="14"/>
        <v>1443000000</v>
      </c>
      <c r="F72" s="48">
        <f t="shared" si="15"/>
        <v>162000000</v>
      </c>
      <c r="G72" s="232">
        <f t="shared" si="16"/>
        <v>8.1000000000000003E-2</v>
      </c>
      <c r="H72" s="46">
        <f t="shared" si="20"/>
        <v>6.9000000000000006E-2</v>
      </c>
      <c r="I72" s="46">
        <f t="shared" si="17"/>
        <v>0.13</v>
      </c>
      <c r="J72" s="43">
        <f>Table15364345462[[#This Row],[Total Healthcare Expenditures
(All Categories):
Base Scenario]]*Table15364345462[[#This Row],[Smoking-Attributable Fraction (SAF) of Healthcare Expenditures
Base Scenario]]</f>
        <v>203958000</v>
      </c>
      <c r="K72" s="43">
        <f>Table15364345462[[#This Row],[Total Healthcare Expenditures
(All Categories):
Base Scenario]]*Table15364345462[[#This Row],[Smoking-Attributable Fraction (SAF) of Healthcare Expenditures: Lower Bound
Base Scenario]]</f>
        <v>173742000</v>
      </c>
      <c r="L72" s="43">
        <f>Table15364345462[[#This Row],[Total Healthcare Expenditures
(All Categories):
Base Scenario]]*Table15364345462[[#This Row],[Smoking-Attributable Fraction (SAF) of Healthcare Expenditures: Upper Bound
Base Scenario]]</f>
        <v>327340000</v>
      </c>
      <c r="M72" s="43">
        <f>Table15364345462[[#This Row],[Total Government Healthcare Expenditures
(including national insurance):
Base Scenario]]*Table15364345462[[#This Row],[Smoking-Attributable Fraction (SAF) of Healthcare Expenditures
Base Scenario]]</f>
        <v>73953000</v>
      </c>
      <c r="N72" s="43">
        <f>Table15364345462[[#This Row],[Total Government Healthcare Expenditures
(including national insurance):
Base Scenario]]*Table15364345462[[#This Row],[Smoking-Attributable Fraction (SAF) of Healthcare Expenditures: Lower Bound
Base Scenario]]</f>
        <v>62997000.000000007</v>
      </c>
      <c r="O72" s="43">
        <f>Table15364345462[[#This Row],[Total Government Healthcare Expenditures
(including national insurance):
Base Scenario]]*Table15364345462[[#This Row],[Smoking-Attributable Fraction (SAF) of Healthcare Expenditures: Upper Bound
Base Scenario]]</f>
        <v>118690000</v>
      </c>
      <c r="P72" s="43">
        <f>Table15364345462[[#This Row],[Total Private (Out-of-Pocket) Healthcare Expenditures:
Base Scenario]]*Table15364345462[[#This Row],[Smoking-Attributable Fraction (SAF) of Healthcare Expenditures
Base Scenario]]</f>
        <v>116883000</v>
      </c>
      <c r="Q72" s="43">
        <f>Table15364345462[[#This Row],[Total Private (Out-of-Pocket) Healthcare Expenditures:
Base Scenario]]*Table15364345462[[#This Row],[Smoking-Attributable Fraction (SAF) of Healthcare Expenditures: Lower Bound
Base Scenario]]</f>
        <v>99567000.000000015</v>
      </c>
      <c r="R72" s="43">
        <f>Table15364345462[[#This Row],[Total Private (Out-of-Pocket) Healthcare Expenditures:
Base Scenario]]*Table15364345462[[#This Row],[Smoking-Attributable Fraction (SAF) of Healthcare Expenditures: Upper Bound
Base Scenario]]</f>
        <v>187590000</v>
      </c>
      <c r="S72" s="43">
        <f>Table15364345462[[#This Row],[Total Other Health Expenditures:
Base Scenario]]*Table15364345462[[#This Row],[Smoking-Attributable Fraction (SAF) of Healthcare Expenditures
Base Scenario]]</f>
        <v>13122000</v>
      </c>
      <c r="T72" s="43">
        <f>Table15364345462[[#This Row],[Total Other Health Expenditures:
Base Scenario]]*Table15364345462[[#This Row],[Smoking-Attributable Fraction (SAF) of Healthcare Expenditures: Lower Bound
Base Scenario]]</f>
        <v>11178000.000000002</v>
      </c>
      <c r="U72" s="43">
        <f>Table15364345462[[#This Row],[Total Other Health Expenditures:
Base Scenario]]*Table15364345462[[#This Row],[Smoking-Attributable Fraction (SAF) of Healthcare Expenditures: Upper Bound
Base Scenario]]</f>
        <v>21060000</v>
      </c>
      <c r="V72" s="62">
        <v>-9.1000000000000004E-3</v>
      </c>
      <c r="W72" s="60">
        <f>W71*(1+Table15364345462[[#This Row],[Relative Change in Smoking Prevalence:
Increase Cigarette Taxes]])</f>
        <v>6.1977981954768391E-2</v>
      </c>
      <c r="X72" s="60">
        <f>X71*(1+Table15364345462[[#This Row],[Relative Change in Smoking Prevalence:
Increase Cigarette Taxes]])</f>
        <v>5.2796058702210123E-2</v>
      </c>
      <c r="Y72" s="60">
        <f>Y71*(1+Table15364345462[[#This Row],[Relative Change in Smoking Prevalence:
Increase Cigarette Taxes]])</f>
        <v>9.9470835236048091E-2</v>
      </c>
      <c r="Z72" s="66">
        <f>Table15364345462[[#This Row],[Total Healthcare Expenditures
(All Categories):
Base Scenario]]*Table15364345462[[#This Row],[Smoking-Attributable Fraction (SAF) of Healthcare Expenditures:
Adjusted for Intervention Impacts]]</f>
        <v>156060558.56210682</v>
      </c>
      <c r="AA72" s="64">
        <f>Table15364345462[[#This Row],[Total Healthcare Expenditures
(All Categories):
Base Scenario]]*Table15364345462[[#This Row],[Smoking-Attributable Fraction (SAF) of Healthcare Expenditures: Lower Bound
Adjusted for Intervention Impacts]]</f>
        <v>132940475.8121651</v>
      </c>
      <c r="AB72" s="66">
        <f>Table15364345462[[#This Row],[Total Healthcare Expenditures
(All Categories):
Base Scenario]]*Table15364345462[[#This Row],[Smoking-Attributable Fraction (SAF) of Healthcare Expenditures: Upper Bound
Adjusted for Intervention Impacts]]</f>
        <v>250467563.12436908</v>
      </c>
      <c r="AC72" s="66">
        <f>Table15364345462[[#This Row],[Total Government Healthcare Expenditures
(including national insurance):
Base Scenario]]*Table15364345462[[#This Row],[Smoking-Attributable Fraction (SAF) of Healthcare Expenditures:
Adjusted for Intervention Impacts]]</f>
        <v>56585897.52470354</v>
      </c>
      <c r="AD72" s="66">
        <f>Table15364345462[[#This Row],[Total Government Healthcare Expenditures
(including national insurance):
Base Scenario]]*Table15364345462[[#This Row],[Smoking-Attributable Fraction (SAF) of Healthcare Expenditures: Lower Bound
Adjusted for Intervention Impacts]]</f>
        <v>48202801.595117845</v>
      </c>
      <c r="AE72" s="66">
        <f>Table15364345462[[#This Row],[Total Government Healthcare Expenditures
(including national insurance):
Base Scenario]]*Table15364345462[[#This Row],[Smoking-Attributable Fraction (SAF) of Healthcare Expenditures: Upper Bound
Adjusted for Intervention Impacts]]</f>
        <v>90816872.570511907</v>
      </c>
      <c r="AF72" s="66">
        <f>Table15364345462[[#This Row],[Total Private (Out-of-Pocket) Healthcare Expenditures:
Base Scenario]]*Table15364345462[[#This Row],[Smoking-Attributable Fraction (SAF) of Healthcare Expenditures:
Adjusted for Intervention Impacts]]</f>
        <v>89434227.960730791</v>
      </c>
      <c r="AG72" s="66">
        <f>Table15364345462[[#This Row],[Total Private (Out-of-Pocket) Healthcare Expenditures:
Base Scenario]]*Table15364345462[[#This Row],[Smoking-Attributable Fraction (SAF) of Healthcare Expenditures: Lower Bound
Adjusted for Intervention Impacts]]</f>
        <v>76184712.707289204</v>
      </c>
      <c r="AH72" s="66">
        <f>Table15364345462[[#This Row],[Total Private (Out-of-Pocket) Healthcare Expenditures:
Base Scenario]]*Table15364345462[[#This Row],[Smoking-Attributable Fraction (SAF) of Healthcare Expenditures: Upper Bound
Adjusted for Intervention Impacts]]</f>
        <v>143536415.24561739</v>
      </c>
      <c r="AI72" s="65">
        <f>Table15364345462[[#This Row],[Total Other Health Expenditures:
Base Scenario]]*Table15364345462[[#This Row],[Smoking-Attributable Fraction (SAF) of Healthcare Expenditures:
Adjusted for Intervention Impacts]]</f>
        <v>10040433.07667248</v>
      </c>
      <c r="AJ72" s="65">
        <f>Table15364345462[[#This Row],[Total Other Health Expenditures:
Base Scenario]]*Table15364345462[[#This Row],[Smoking-Attributable Fraction (SAF) of Healthcare Expenditures: Lower Bound
Adjusted for Intervention Impacts]]</f>
        <v>8552961.5097580403</v>
      </c>
      <c r="AK72" s="65">
        <f>Table15364345462[[#This Row],[Total Other Health Expenditures:
Base Scenario]]*Table15364345462[[#This Row],[Smoking-Attributable Fraction (SAF) of Healthcare Expenditures: Upper Bound
Adjusted for Intervention Impacts]]</f>
        <v>16114275.308239792</v>
      </c>
      <c r="AL72" s="76">
        <f>Table15364345462[[#This Row],[Smoking-Attributable Total Healthcare Expenditures:
Base Scenario]]-Table15364345462[[#This Row],[Smoking-Attributable Total Healthcare Expenditures:
Intervention Scenario]]</f>
        <v>47897441.437893182</v>
      </c>
      <c r="AM72" s="76">
        <f>Table15364345462[[#This Row],[Smoking-Attributable Total Healthcare Expenditures: Lower Bound
Base Scenario]]-Table15364345462[[#This Row],[Smoking-Attributable Total Healthcare Expenditures: Lower Bound
Intervention Scenario]]</f>
        <v>40801524.187834904</v>
      </c>
      <c r="AN72" s="76">
        <f>Table15364345462[[#This Row],[Smoking-Attributable Total Healthcare Expenditures: Upper Bound
Base Scenario]]-Table15364345462[[#This Row],[Smoking-Attributable Total Healthcare Expenditures: Upper Bound
Intervention Scenario]]</f>
        <v>76872436.875630915</v>
      </c>
      <c r="AO72" s="76">
        <f>Table15364345462[[#This Row],[Smoking-Attributable Government Healthcare Expenditures
(including national insurance):
Base Scenario]]-Table15364345462[[#This Row],[Smoking-Attributable Government Healthcare Expenditures
(including national insurance):
Intervention Scenario]]</f>
        <v>17367102.47529646</v>
      </c>
      <c r="AP72"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14794198.404882163</v>
      </c>
      <c r="AQ72"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27873127.429488093</v>
      </c>
      <c r="AR72" s="76">
        <f>Table15364345462[[#This Row],[Smoking-Attributable Private Healthcare Expenditures:
Base Scenario]]-Table15364345462[[#This Row],[Smoking-Attributable Private Healthcare Expenditures:
Intervention Scenario]]</f>
        <v>27448772.039269209</v>
      </c>
      <c r="AS72" s="76">
        <f>Table15364345462[[#This Row],[Smoking-Attributable Private Healthcare Expenditures: Lower Bound
Base Scenario]]-Table15364345462[[#This Row],[Smoking-Attributable Private Healthcare Expenditures: Lower Bound
Intervention Scenario]]</f>
        <v>23382287.292710811</v>
      </c>
      <c r="AT72" s="76">
        <f>Table15364345462[[#This Row],[Smoking-Attributable Private Healthcare Expenditures: Upper Bound
Base Scenario]]-Table15364345462[[#This Row],[Smoking-Attributable Private Healthcare Expenditures: Upper Bound
Intervention Scenario]]</f>
        <v>44053584.75438261</v>
      </c>
      <c r="AU72" s="76">
        <f>Table15364345462[[#This Row],[Smoking-Attributable Other Health Expenditures:
Base Scenario]]-Table15364345462[[#This Row],[Smoking-Attributable Other Health Expenditures:
Intervention Scenario]]</f>
        <v>3081566.9233275205</v>
      </c>
      <c r="AV72" s="235">
        <f>Table15364345462[[#This Row],[Smoking-Attributable Other Health Expenditures: Lower Bound
Base Scenario]]-Table15364345462[[#This Row],[Smoking-Attributable Other Health Expenditures: Lower Bound
Intervention Scenario]]</f>
        <v>2625038.4902419616</v>
      </c>
      <c r="AW72" s="235">
        <f>Table15364345462[[#This Row],[Smoking-Attributable Other Health Expenditures: Upper Bound
Base Scenario]]-Table15364345462[[#This Row],[Smoking-Attributable Other Health Expenditures: Upper Bound
Intervention Scenario]]</f>
        <v>4945724.6917602085</v>
      </c>
    </row>
    <row r="73" spans="2:49">
      <c r="B73" s="47">
        <v>15</v>
      </c>
      <c r="C73" s="48">
        <f t="shared" si="12"/>
        <v>2518000000</v>
      </c>
      <c r="D73" s="48">
        <f t="shared" si="13"/>
        <v>913000000</v>
      </c>
      <c r="E73" s="48">
        <f t="shared" si="14"/>
        <v>1443000000</v>
      </c>
      <c r="F73" s="48">
        <f t="shared" si="15"/>
        <v>162000000</v>
      </c>
      <c r="G73" s="232">
        <f t="shared" si="16"/>
        <v>8.1000000000000003E-2</v>
      </c>
      <c r="H73" s="46">
        <f t="shared" si="20"/>
        <v>6.9000000000000006E-2</v>
      </c>
      <c r="I73" s="46">
        <f t="shared" si="17"/>
        <v>0.13</v>
      </c>
      <c r="J73" s="43">
        <f>Table15364345462[[#This Row],[Total Healthcare Expenditures
(All Categories):
Base Scenario]]*Table15364345462[[#This Row],[Smoking-Attributable Fraction (SAF) of Healthcare Expenditures
Base Scenario]]</f>
        <v>203958000</v>
      </c>
      <c r="K73" s="43">
        <f>Table15364345462[[#This Row],[Total Healthcare Expenditures
(All Categories):
Base Scenario]]*Table15364345462[[#This Row],[Smoking-Attributable Fraction (SAF) of Healthcare Expenditures: Lower Bound
Base Scenario]]</f>
        <v>173742000</v>
      </c>
      <c r="L73" s="43">
        <f>Table15364345462[[#This Row],[Total Healthcare Expenditures
(All Categories):
Base Scenario]]*Table15364345462[[#This Row],[Smoking-Attributable Fraction (SAF) of Healthcare Expenditures: Upper Bound
Base Scenario]]</f>
        <v>327340000</v>
      </c>
      <c r="M73" s="43">
        <f>Table15364345462[[#This Row],[Total Government Healthcare Expenditures
(including national insurance):
Base Scenario]]*Table15364345462[[#This Row],[Smoking-Attributable Fraction (SAF) of Healthcare Expenditures
Base Scenario]]</f>
        <v>73953000</v>
      </c>
      <c r="N73" s="43">
        <f>Table15364345462[[#This Row],[Total Government Healthcare Expenditures
(including national insurance):
Base Scenario]]*Table15364345462[[#This Row],[Smoking-Attributable Fraction (SAF) of Healthcare Expenditures: Lower Bound
Base Scenario]]</f>
        <v>62997000.000000007</v>
      </c>
      <c r="O73" s="43">
        <f>Table15364345462[[#This Row],[Total Government Healthcare Expenditures
(including national insurance):
Base Scenario]]*Table15364345462[[#This Row],[Smoking-Attributable Fraction (SAF) of Healthcare Expenditures: Upper Bound
Base Scenario]]</f>
        <v>118690000</v>
      </c>
      <c r="P73" s="43">
        <f>Table15364345462[[#This Row],[Total Private (Out-of-Pocket) Healthcare Expenditures:
Base Scenario]]*Table15364345462[[#This Row],[Smoking-Attributable Fraction (SAF) of Healthcare Expenditures
Base Scenario]]</f>
        <v>116883000</v>
      </c>
      <c r="Q73" s="43">
        <f>Table15364345462[[#This Row],[Total Private (Out-of-Pocket) Healthcare Expenditures:
Base Scenario]]*Table15364345462[[#This Row],[Smoking-Attributable Fraction (SAF) of Healthcare Expenditures: Lower Bound
Base Scenario]]</f>
        <v>99567000.000000015</v>
      </c>
      <c r="R73" s="43">
        <f>Table15364345462[[#This Row],[Total Private (Out-of-Pocket) Healthcare Expenditures:
Base Scenario]]*Table15364345462[[#This Row],[Smoking-Attributable Fraction (SAF) of Healthcare Expenditures: Upper Bound
Base Scenario]]</f>
        <v>187590000</v>
      </c>
      <c r="S73" s="43">
        <f>Table15364345462[[#This Row],[Total Other Health Expenditures:
Base Scenario]]*Table15364345462[[#This Row],[Smoking-Attributable Fraction (SAF) of Healthcare Expenditures
Base Scenario]]</f>
        <v>13122000</v>
      </c>
      <c r="T73" s="43">
        <f>Table15364345462[[#This Row],[Total Other Health Expenditures:
Base Scenario]]*Table15364345462[[#This Row],[Smoking-Attributable Fraction (SAF) of Healthcare Expenditures: Lower Bound
Base Scenario]]</f>
        <v>11178000.000000002</v>
      </c>
      <c r="U73" s="43">
        <f>Table15364345462[[#This Row],[Total Other Health Expenditures:
Base Scenario]]*Table15364345462[[#This Row],[Smoking-Attributable Fraction (SAF) of Healthcare Expenditures: Upper Bound
Base Scenario]]</f>
        <v>21060000</v>
      </c>
      <c r="V73" s="62">
        <v>-9.1000000000000004E-3</v>
      </c>
      <c r="W73" s="60">
        <f>W72*(1+Table15364345462[[#This Row],[Relative Change in Smoking Prevalence:
Increase Cigarette Taxes]])</f>
        <v>6.1413982318980001E-2</v>
      </c>
      <c r="X73" s="60">
        <f>X72*(1+Table15364345462[[#This Row],[Relative Change in Smoking Prevalence:
Increase Cigarette Taxes]])</f>
        <v>5.2315614568020009E-2</v>
      </c>
      <c r="Y73" s="60">
        <f>Y72*(1+Table15364345462[[#This Row],[Relative Change in Smoking Prevalence:
Increase Cigarette Taxes]])</f>
        <v>9.8565650635400057E-2</v>
      </c>
      <c r="Z73" s="66">
        <f>Table15364345462[[#This Row],[Total Healthcare Expenditures
(All Categories):
Base Scenario]]*Table15364345462[[#This Row],[Smoking-Attributable Fraction (SAF) of Healthcare Expenditures:
Adjusted for Intervention Impacts]]</f>
        <v>154640407.47919163</v>
      </c>
      <c r="AA73" s="64">
        <f>Table15364345462[[#This Row],[Total Healthcare Expenditures
(All Categories):
Base Scenario]]*Table15364345462[[#This Row],[Smoking-Attributable Fraction (SAF) of Healthcare Expenditures: Lower Bound
Adjusted for Intervention Impacts]]</f>
        <v>131730717.48227438</v>
      </c>
      <c r="AB73" s="66">
        <f>Table15364345462[[#This Row],[Total Healthcare Expenditures
(All Categories):
Base Scenario]]*Table15364345462[[#This Row],[Smoking-Attributable Fraction (SAF) of Healthcare Expenditures: Upper Bound
Adjusted for Intervention Impacts]]</f>
        <v>248188308.29993734</v>
      </c>
      <c r="AC73" s="66">
        <f>Table15364345462[[#This Row],[Total Government Healthcare Expenditures
(including national insurance):
Base Scenario]]*Table15364345462[[#This Row],[Smoking-Attributable Fraction (SAF) of Healthcare Expenditures:
Adjusted for Intervention Impacts]]</f>
        <v>56070965.857228741</v>
      </c>
      <c r="AD73" s="66">
        <f>Table15364345462[[#This Row],[Total Government Healthcare Expenditures
(including national insurance):
Base Scenario]]*Table15364345462[[#This Row],[Smoking-Attributable Fraction (SAF) of Healthcare Expenditures: Lower Bound
Adjusted for Intervention Impacts]]</f>
        <v>47764156.100602269</v>
      </c>
      <c r="AE73" s="66">
        <f>Table15364345462[[#This Row],[Total Government Healthcare Expenditures
(including national insurance):
Base Scenario]]*Table15364345462[[#This Row],[Smoking-Attributable Fraction (SAF) of Healthcare Expenditures: Upper Bound
Adjusted for Intervention Impacts]]</f>
        <v>89990439.030120254</v>
      </c>
      <c r="AF73" s="66">
        <f>Table15364345462[[#This Row],[Total Private (Out-of-Pocket) Healthcare Expenditures:
Base Scenario]]*Table15364345462[[#This Row],[Smoking-Attributable Fraction (SAF) of Healthcare Expenditures:
Adjusted for Intervention Impacts]]</f>
        <v>88620376.486288145</v>
      </c>
      <c r="AG73" s="66">
        <f>Table15364345462[[#This Row],[Total Private (Out-of-Pocket) Healthcare Expenditures:
Base Scenario]]*Table15364345462[[#This Row],[Smoking-Attributable Fraction (SAF) of Healthcare Expenditures: Lower Bound
Adjusted for Intervention Impacts]]</f>
        <v>75491431.821652874</v>
      </c>
      <c r="AH73" s="66">
        <f>Table15364345462[[#This Row],[Total Private (Out-of-Pocket) Healthcare Expenditures:
Base Scenario]]*Table15364345462[[#This Row],[Smoking-Attributable Fraction (SAF) of Healthcare Expenditures: Upper Bound
Adjusted for Intervention Impacts]]</f>
        <v>142230233.86688229</v>
      </c>
      <c r="AI73" s="65">
        <f>Table15364345462[[#This Row],[Total Other Health Expenditures:
Base Scenario]]*Table15364345462[[#This Row],[Smoking-Attributable Fraction (SAF) of Healthcare Expenditures:
Adjusted for Intervention Impacts]]</f>
        <v>9949065.1356747597</v>
      </c>
      <c r="AJ73" s="65">
        <f>Table15364345462[[#This Row],[Total Other Health Expenditures:
Base Scenario]]*Table15364345462[[#This Row],[Smoking-Attributable Fraction (SAF) of Healthcare Expenditures: Lower Bound
Adjusted for Intervention Impacts]]</f>
        <v>8475129.5600192416</v>
      </c>
      <c r="AK73" s="65">
        <f>Table15364345462[[#This Row],[Total Other Health Expenditures:
Base Scenario]]*Table15364345462[[#This Row],[Smoking-Attributable Fraction (SAF) of Healthcare Expenditures: Upper Bound
Adjusted for Intervention Impacts]]</f>
        <v>15967635.402934808</v>
      </c>
      <c r="AL73" s="76">
        <f>Table15364345462[[#This Row],[Smoking-Attributable Total Healthcare Expenditures:
Base Scenario]]-Table15364345462[[#This Row],[Smoking-Attributable Total Healthcare Expenditures:
Intervention Scenario]]</f>
        <v>49317592.520808369</v>
      </c>
      <c r="AM73" s="76">
        <f>Table15364345462[[#This Row],[Smoking-Attributable Total Healthcare Expenditures: Lower Bound
Base Scenario]]-Table15364345462[[#This Row],[Smoking-Attributable Total Healthcare Expenditures: Lower Bound
Intervention Scenario]]</f>
        <v>42011282.517725617</v>
      </c>
      <c r="AN73" s="76">
        <f>Table15364345462[[#This Row],[Smoking-Attributable Total Healthcare Expenditures: Upper Bound
Base Scenario]]-Table15364345462[[#This Row],[Smoking-Attributable Total Healthcare Expenditures: Upper Bound
Intervention Scenario]]</f>
        <v>79151691.700062662</v>
      </c>
      <c r="AO73" s="76">
        <f>Table15364345462[[#This Row],[Smoking-Attributable Government Healthcare Expenditures
(including national insurance):
Base Scenario]]-Table15364345462[[#This Row],[Smoking-Attributable Government Healthcare Expenditures
(including national insurance):
Intervention Scenario]]</f>
        <v>17882034.142771259</v>
      </c>
      <c r="AP73" s="76">
        <f>Table15364345462[[#This Row],[Smoking-Attributable Government Healthcare Expenditures
(including national insurance): Lower Bound
Base Scenario]]-Table15364345462[[#This Row],[Smoking-Attributable Government Healthcare Expenditures
(including national insurance): Lower Bound
Intervention Scenario]]</f>
        <v>15232843.899397738</v>
      </c>
      <c r="AQ73" s="76">
        <f>Table15364345462[[#This Row],[Smoking-Attributable Government Healthcare Expenditures
(including national insurance): Upper Bound
Base Scenario]]-Table15364345462[[#This Row],[Smoking-Attributable Government Healthcare Expenditures
(including national insurance): Upper Bound
Intervention Scenario]]</f>
        <v>28699560.969879746</v>
      </c>
      <c r="AR73" s="76">
        <f>Table15364345462[[#This Row],[Smoking-Attributable Private Healthcare Expenditures:
Base Scenario]]-Table15364345462[[#This Row],[Smoking-Attributable Private Healthcare Expenditures:
Intervention Scenario]]</f>
        <v>28262623.513711855</v>
      </c>
      <c r="AS73" s="76">
        <f>Table15364345462[[#This Row],[Smoking-Attributable Private Healthcare Expenditures: Lower Bound
Base Scenario]]-Table15364345462[[#This Row],[Smoking-Attributable Private Healthcare Expenditures: Lower Bound
Intervention Scenario]]</f>
        <v>24075568.178347141</v>
      </c>
      <c r="AT73" s="76">
        <f>Table15364345462[[#This Row],[Smoking-Attributable Private Healthcare Expenditures: Upper Bound
Base Scenario]]-Table15364345462[[#This Row],[Smoking-Attributable Private Healthcare Expenditures: Upper Bound
Intervention Scenario]]</f>
        <v>45359766.133117706</v>
      </c>
      <c r="AU73" s="76">
        <f>Table15364345462[[#This Row],[Smoking-Attributable Other Health Expenditures:
Base Scenario]]-Table15364345462[[#This Row],[Smoking-Attributable Other Health Expenditures:
Intervention Scenario]]</f>
        <v>3172934.8643252403</v>
      </c>
      <c r="AV73" s="236">
        <f>Table15364345462[[#This Row],[Smoking-Attributable Other Health Expenditures: Lower Bound
Base Scenario]]-Table15364345462[[#This Row],[Smoking-Attributable Other Health Expenditures: Lower Bound
Intervention Scenario]]</f>
        <v>2702870.4399807602</v>
      </c>
      <c r="AW73" s="236">
        <f>Table15364345462[[#This Row],[Smoking-Attributable Other Health Expenditures: Upper Bound
Base Scenario]]-Table15364345462[[#This Row],[Smoking-Attributable Other Health Expenditures: Upper Bound
Intervention Scenario]]</f>
        <v>5092364.5970651917</v>
      </c>
    </row>
    <row r="74" spans="2:49" customFormat="1"/>
    <row r="75" spans="2:49" customFormat="1"/>
    <row r="76" spans="2:49" customFormat="1"/>
    <row r="77" spans="2:49" ht="21">
      <c r="B77" s="81" t="s">
        <v>116</v>
      </c>
    </row>
    <row r="78" spans="2:49" ht="17.25">
      <c r="B78" s="41"/>
    </row>
    <row r="79" spans="2:49" ht="90.95" customHeight="1">
      <c r="B79" s="71"/>
      <c r="C79" s="167"/>
      <c r="D79" s="100"/>
      <c r="E79" s="100"/>
      <c r="F79" s="100"/>
      <c r="G79" s="69"/>
      <c r="I79" s="100"/>
      <c r="J79" s="167"/>
      <c r="K79" s="100"/>
      <c r="O79" s="72"/>
      <c r="P79" s="72"/>
      <c r="Q79" s="72"/>
      <c r="S79" s="233"/>
      <c r="T79" s="233"/>
      <c r="U79" s="233"/>
      <c r="V79" s="68" t="s">
        <v>110</v>
      </c>
      <c r="W79" s="364" t="s">
        <v>113</v>
      </c>
      <c r="X79" s="364"/>
      <c r="Y79" s="364"/>
      <c r="Z79" s="73" t="s">
        <v>112</v>
      </c>
      <c r="AL79" s="78" t="s">
        <v>114</v>
      </c>
    </row>
    <row r="80" spans="2:49" ht="17.25">
      <c r="B80" s="9"/>
    </row>
    <row r="81" spans="2:49" ht="110.25">
      <c r="B81" s="33" t="s">
        <v>81</v>
      </c>
      <c r="C81" s="57" t="s">
        <v>104</v>
      </c>
      <c r="D81" s="57" t="s">
        <v>103</v>
      </c>
      <c r="E81" s="57" t="s">
        <v>283</v>
      </c>
      <c r="F81" s="57" t="s">
        <v>105</v>
      </c>
      <c r="G81" s="33" t="s">
        <v>381</v>
      </c>
      <c r="H81" s="33" t="s">
        <v>373</v>
      </c>
      <c r="I81" s="33" t="s">
        <v>372</v>
      </c>
      <c r="J81" s="57" t="s">
        <v>94</v>
      </c>
      <c r="K81" s="57" t="s">
        <v>382</v>
      </c>
      <c r="L81" s="57" t="s">
        <v>383</v>
      </c>
      <c r="M81" s="57" t="s">
        <v>95</v>
      </c>
      <c r="N81" s="57" t="s">
        <v>384</v>
      </c>
      <c r="O81" s="57" t="s">
        <v>385</v>
      </c>
      <c r="P81" s="57" t="s">
        <v>96</v>
      </c>
      <c r="Q81" s="57" t="s">
        <v>386</v>
      </c>
      <c r="R81" s="57" t="s">
        <v>387</v>
      </c>
      <c r="S81" s="57" t="s">
        <v>97</v>
      </c>
      <c r="T81" s="57" t="s">
        <v>388</v>
      </c>
      <c r="U81" s="57" t="s">
        <v>389</v>
      </c>
      <c r="V81" s="63" t="s">
        <v>72</v>
      </c>
      <c r="W81" s="58" t="s">
        <v>98</v>
      </c>
      <c r="X81" s="58" t="s">
        <v>390</v>
      </c>
      <c r="Y81" s="58" t="s">
        <v>391</v>
      </c>
      <c r="Z81" s="33" t="s">
        <v>99</v>
      </c>
      <c r="AA81" s="33" t="s">
        <v>392</v>
      </c>
      <c r="AB81" s="33" t="s">
        <v>393</v>
      </c>
      <c r="AC81" s="33" t="s">
        <v>100</v>
      </c>
      <c r="AD81" s="33" t="s">
        <v>394</v>
      </c>
      <c r="AE81" s="33" t="s">
        <v>395</v>
      </c>
      <c r="AF81" s="33" t="s">
        <v>101</v>
      </c>
      <c r="AG81" s="33" t="s">
        <v>396</v>
      </c>
      <c r="AH81" s="33" t="s">
        <v>397</v>
      </c>
      <c r="AI81" s="33" t="s">
        <v>102</v>
      </c>
      <c r="AJ81" s="33" t="s">
        <v>398</v>
      </c>
      <c r="AK81" s="33" t="s">
        <v>399</v>
      </c>
      <c r="AL81" s="77" t="s">
        <v>106</v>
      </c>
      <c r="AM81" s="77" t="s">
        <v>400</v>
      </c>
      <c r="AN81" s="77" t="s">
        <v>401</v>
      </c>
      <c r="AO81" s="77" t="s">
        <v>107</v>
      </c>
      <c r="AP81" s="77" t="s">
        <v>402</v>
      </c>
      <c r="AQ81" s="77" t="s">
        <v>403</v>
      </c>
      <c r="AR81" s="77" t="s">
        <v>108</v>
      </c>
      <c r="AS81" s="77" t="s">
        <v>404</v>
      </c>
      <c r="AT81" s="77" t="s">
        <v>405</v>
      </c>
      <c r="AU81" s="77" t="s">
        <v>109</v>
      </c>
      <c r="AV81" s="77" t="s">
        <v>406</v>
      </c>
      <c r="AW81" s="77" t="s">
        <v>407</v>
      </c>
    </row>
    <row r="82" spans="2:49">
      <c r="B82" s="44">
        <v>0</v>
      </c>
      <c r="C82" s="45">
        <f t="shared" ref="C82:C97" si="21">$D$22</f>
        <v>2518000000</v>
      </c>
      <c r="D82" s="45">
        <f t="shared" ref="D82:D97" si="22">$D$23</f>
        <v>913000000</v>
      </c>
      <c r="E82" s="45">
        <f t="shared" ref="E82:E97" si="23">$D$24</f>
        <v>1443000000</v>
      </c>
      <c r="F82" s="45">
        <f t="shared" ref="F82:F97" si="24">$D$25</f>
        <v>162000000</v>
      </c>
      <c r="G82" s="46">
        <f t="shared" ref="G82:G97" si="25">$C$16</f>
        <v>8.1000000000000003E-2</v>
      </c>
      <c r="H82" s="46">
        <f>$C$17</f>
        <v>6.9000000000000006E-2</v>
      </c>
      <c r="I82" s="46">
        <f t="shared" ref="I82:I97" si="26">$C$18</f>
        <v>0.13</v>
      </c>
      <c r="J82" s="42">
        <f>Table15364345464[[#This Row],[Total Healthcare Expenditures
(All Categories):
Base Scenario]]*Table15364345464[[#This Row],[Smoking-Attributable Fraction (SAF) of Healthcare Expenditures
Base Scenario]]</f>
        <v>203958000</v>
      </c>
      <c r="K82" s="42">
        <f>Table15364345464[[#This Row],[Total Healthcare Expenditures
(All Categories):
Base Scenario]]*Table15364345464[[#This Row],[Smoking-Attributable Fraction (SAF) of Healthcare Expenditures: Lower Bound
Base Scenario]]</f>
        <v>173742000</v>
      </c>
      <c r="L82" s="42">
        <f>Table15364345464[[#This Row],[Total Healthcare Expenditures
(All Categories):
Base Scenario]]*Table15364345464[[#This Row],[Smoking-Attributable Fraction (SAF) of Healthcare Expenditures: Upper Bound
Base Scenario]]</f>
        <v>327340000</v>
      </c>
      <c r="M82" s="42">
        <f>Table15364345464[[#This Row],[Total Government Healthcare Expenditures
(including national insurance):
Base Scenario]]*Table15364345464[[#This Row],[Smoking-Attributable Fraction (SAF) of Healthcare Expenditures
Base Scenario]]</f>
        <v>73953000</v>
      </c>
      <c r="N82" s="42">
        <f>Table15364345464[[#This Row],[Total Government Healthcare Expenditures
(including national insurance):
Base Scenario]]*Table15364345464[[#This Row],[Smoking-Attributable Fraction (SAF) of Healthcare Expenditures: Lower Bound
Base Scenario]]</f>
        <v>62997000.000000007</v>
      </c>
      <c r="O82" s="42">
        <f>Table15364345464[[#This Row],[Total Government Healthcare Expenditures
(including national insurance):
Base Scenario]]*Table15364345464[[#This Row],[Smoking-Attributable Fraction (SAF) of Healthcare Expenditures: Upper Bound
Base Scenario]]</f>
        <v>118690000</v>
      </c>
      <c r="P82" s="42">
        <f>Table15364345464[[#This Row],[Total Private (Out-of-Pocket) Healthcare Expenditures:
Base Scenario]]*Table15364345464[[#This Row],[Smoking-Attributable Fraction (SAF) of Healthcare Expenditures
Base Scenario]]</f>
        <v>116883000</v>
      </c>
      <c r="Q82" s="42">
        <f>Table15364345464[[#This Row],[Total Private (Out-of-Pocket) Healthcare Expenditures:
Base Scenario]]*Table15364345464[[#This Row],[Smoking-Attributable Fraction (SAF) of Healthcare Expenditures: Lower Bound
Base Scenario]]</f>
        <v>99567000.000000015</v>
      </c>
      <c r="R82" s="42">
        <f>Table15364345464[[#This Row],[Total Private (Out-of-Pocket) Healthcare Expenditures:
Base Scenario]]*Table15364345464[[#This Row],[Smoking-Attributable Fraction (SAF) of Healthcare Expenditures: Upper Bound
Base Scenario]]</f>
        <v>187590000</v>
      </c>
      <c r="S82" s="42">
        <f>Table15364345464[[#This Row],[Total Other Health Expenditures:
Base Scenario]]*Table15364345464[[#This Row],[Smoking-Attributable Fraction (SAF) of Healthcare Expenditures
Base Scenario]]</f>
        <v>13122000</v>
      </c>
      <c r="T82" s="42">
        <f>Table15364345464[[#This Row],[Total Other Health Expenditures:
Base Scenario]]*Table15364345464[[#This Row],[Smoking-Attributable Fraction (SAF) of Healthcare Expenditures: Lower Bound
Base Scenario]]</f>
        <v>11178000.000000002</v>
      </c>
      <c r="U82" s="42">
        <f>Table15364345464[[#This Row],[Total Other Health Expenditures:
Base Scenario]]*Table15364345464[[#This Row],[Smoking-Attributable Fraction (SAF) of Healthcare Expenditures: Upper Bound
Base Scenario]]</f>
        <v>21060000</v>
      </c>
      <c r="V82" s="79"/>
      <c r="W82" s="59">
        <f>$C$16</f>
        <v>8.1000000000000003E-2</v>
      </c>
      <c r="X82" s="59">
        <f t="shared" ref="X82" si="27">$C$17</f>
        <v>6.9000000000000006E-2</v>
      </c>
      <c r="Y82" s="59">
        <f t="shared" ref="Y82" si="28">$C$18</f>
        <v>0.13</v>
      </c>
      <c r="Z82" s="64">
        <f>Table15364345464[[#This Row],[Total Healthcare Expenditures
(All Categories):
Base Scenario]]*Table15364345464[[#This Row],[Smoking-Attributable Fraction (SAF) of Healthcare Expenditures:
Adjusted for Intervention Impacts]]</f>
        <v>203958000</v>
      </c>
      <c r="AA82" s="64">
        <f>Table15364345464[[#This Row],[Total Healthcare Expenditures
(All Categories):
Base Scenario]]*Table15364345464[[#This Row],[Smoking-Attributable Fraction (SAF) of Healthcare Expenditures: Lower Bound
Adjusted for Intervention Impacts]]</f>
        <v>173742000</v>
      </c>
      <c r="AB82" s="64">
        <f>Table15364345464[[#This Row],[Total Healthcare Expenditures
(All Categories):
Base Scenario]]*Table15364345464[[#This Row],[Smoking-Attributable Fraction (SAF) of Healthcare Expenditures: Upper Bound
Adjusted for Intervention Impacts]]</f>
        <v>327340000</v>
      </c>
      <c r="AC82" s="64">
        <f>Table15364345464[[#This Row],[Total Government Healthcare Expenditures
(including national insurance):
Base Scenario]]*Table15364345464[[#This Row],[Smoking-Attributable Fraction (SAF) of Healthcare Expenditures:
Adjusted for Intervention Impacts]]</f>
        <v>73953000</v>
      </c>
      <c r="AD82" s="64">
        <f>Table15364345464[[#This Row],[Total Government Healthcare Expenditures
(including national insurance):
Base Scenario]]*Table15364345464[[#This Row],[Smoking-Attributable Fraction (SAF) of Healthcare Expenditures: Lower Bound
Adjusted for Intervention Impacts]]</f>
        <v>62997000.000000007</v>
      </c>
      <c r="AE82" s="64">
        <f>Table15364345464[[#This Row],[Total Government Healthcare Expenditures
(including national insurance):
Base Scenario]]*Table15364345464[[#This Row],[Smoking-Attributable Fraction (SAF) of Healthcare Expenditures: Upper Bound
Adjusted for Intervention Impacts]]</f>
        <v>118690000</v>
      </c>
      <c r="AF82" s="64">
        <f>Table15364345464[[#This Row],[Total Private (Out-of-Pocket) Healthcare Expenditures:
Base Scenario]]*Table15364345464[[#This Row],[Smoking-Attributable Fraction (SAF) of Healthcare Expenditures:
Adjusted for Intervention Impacts]]</f>
        <v>116883000</v>
      </c>
      <c r="AG82" s="64">
        <f>Table15364345464[[#This Row],[Total Private (Out-of-Pocket) Healthcare Expenditures:
Base Scenario]]*Table15364345464[[#This Row],[Smoking-Attributable Fraction (SAF) of Healthcare Expenditures: Lower Bound
Adjusted for Intervention Impacts]]</f>
        <v>99567000.000000015</v>
      </c>
      <c r="AH82" s="64">
        <f>Table15364345464[[#This Row],[Total Private (Out-of-Pocket) Healthcare Expenditures:
Base Scenario]]*Table15364345464[[#This Row],[Smoking-Attributable Fraction (SAF) of Healthcare Expenditures: Upper Bound
Adjusted for Intervention Impacts]]</f>
        <v>187590000</v>
      </c>
      <c r="AI82" s="65">
        <f>Table15364345464[[#This Row],[Total Other Health Expenditures:
Base Scenario]]*Table15364345464[[#This Row],[Smoking-Attributable Fraction (SAF) of Healthcare Expenditures:
Adjusted for Intervention Impacts]]</f>
        <v>13122000</v>
      </c>
      <c r="AJ82" s="65">
        <f>Table15364345464[[#This Row],[Total Other Health Expenditures:
Base Scenario]]*Table15364345464[[#This Row],[Smoking-Attributable Fraction (SAF) of Healthcare Expenditures: Lower Bound
Adjusted for Intervention Impacts]]</f>
        <v>11178000.000000002</v>
      </c>
      <c r="AK82" s="65">
        <f>Table15364345464[[#This Row],[Total Other Health Expenditures:
Base Scenario]]*Table15364345464[[#This Row],[Smoking-Attributable Fraction (SAF) of Healthcare Expenditures: Upper Bound
Adjusted for Intervention Impacts]]</f>
        <v>21060000</v>
      </c>
      <c r="AL82" s="76">
        <f>Table15364345464[[#This Row],[Smoking-Attributable Total Healthcare Expenditures:
Base Scenario]]-Table15364345464[[#This Row],[Smoking-Attributable Total Healthcare Expenditures:
Intervention Scenario]]</f>
        <v>0</v>
      </c>
      <c r="AM82" s="76">
        <f>Table15364345464[[#This Row],[Smoking-Attributable Total Healthcare Expenditures: Lower Bound
Base Scenario]]-Table15364345464[[#This Row],[Smoking-Attributable Total Healthcare Expenditures: Lower Bound
Intervention Scenario]]</f>
        <v>0</v>
      </c>
      <c r="AN82" s="76">
        <f>Table15364345464[[#This Row],[Smoking-Attributable Total Healthcare Expenditures: Upper Bound
Base Scenario]]-Table15364345464[[#This Row],[Smoking-Attributable Total Healthcare Expenditures: Upper Bound
Intervention Scenario]]</f>
        <v>0</v>
      </c>
      <c r="AO82" s="76">
        <f>Table15364345464[[#This Row],[Smoking-Attributable Government Healthcare Expenditures
(including national insurance):
Base Scenario]]-Table15364345464[[#This Row],[Smoking-Attributable Government Healthcare Expenditures
(including national insurance):
Intervention Scenario]]</f>
        <v>0</v>
      </c>
      <c r="AP82"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0</v>
      </c>
      <c r="AQ82"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0</v>
      </c>
      <c r="AR82" s="76">
        <f>Table15364345464[[#This Row],[Smoking-Attributable Private Healthcare Expenditures:
Base Scenario]]-Table15364345464[[#This Row],[Smoking-Attributable Private Healthcare Expenditures:
Intervention Scenario]]</f>
        <v>0</v>
      </c>
      <c r="AS82" s="76">
        <f>Table15364345464[[#This Row],[Smoking-Attributable Private Healthcare Expenditures: Lower Bound
Base Scenario]]-Table15364345464[[#This Row],[Smoking-Attributable Private Healthcare Expenditures: Lower Bound
Intervention Scenario]]</f>
        <v>0</v>
      </c>
      <c r="AT82" s="76">
        <f>Table15364345464[[#This Row],[Smoking-Attributable Private Healthcare Expenditures: Upper Bound
Base Scenario]]-Table15364345464[[#This Row],[Smoking-Attributable Private Healthcare Expenditures: Upper Bound
Intervention Scenario]]</f>
        <v>0</v>
      </c>
      <c r="AU82" s="76">
        <f>Table15364345464[[#This Row],[Smoking-Attributable Other Health Expenditures:
Base Scenario]]-Table15364345464[[#This Row],[Smoking-Attributable Other Health Expenditures:
Intervention Scenario]]</f>
        <v>0</v>
      </c>
      <c r="AV82" s="234">
        <f>Table15364345464[[#This Row],[Smoking-Attributable Other Health Expenditures: Lower Bound
Base Scenario]]-Table15364345464[[#This Row],[Smoking-Attributable Other Health Expenditures: Lower Bound
Intervention Scenario]]</f>
        <v>0</v>
      </c>
      <c r="AW82" s="234">
        <f>Table15364345464[[#This Row],[Smoking-Attributable Other Health Expenditures: Upper Bound
Base Scenario]]-Table15364345464[[#This Row],[Smoking-Attributable Other Health Expenditures: Upper Bound
Intervention Scenario]]</f>
        <v>0</v>
      </c>
    </row>
    <row r="83" spans="2:49">
      <c r="B83" s="47">
        <v>1</v>
      </c>
      <c r="C83" s="48">
        <f t="shared" si="21"/>
        <v>2518000000</v>
      </c>
      <c r="D83" s="48">
        <f t="shared" si="22"/>
        <v>913000000</v>
      </c>
      <c r="E83" s="48">
        <f t="shared" si="23"/>
        <v>1443000000</v>
      </c>
      <c r="F83" s="48">
        <f t="shared" si="24"/>
        <v>162000000</v>
      </c>
      <c r="G83" s="232">
        <f t="shared" si="25"/>
        <v>8.1000000000000003E-2</v>
      </c>
      <c r="H83" s="46">
        <f t="shared" ref="H83:H97" si="29">$C$17</f>
        <v>6.9000000000000006E-2</v>
      </c>
      <c r="I83" s="46">
        <f t="shared" si="26"/>
        <v>0.13</v>
      </c>
      <c r="J83" s="43">
        <f>Table15364345464[[#This Row],[Total Healthcare Expenditures
(All Categories):
Base Scenario]]*Table15364345464[[#This Row],[Smoking-Attributable Fraction (SAF) of Healthcare Expenditures
Base Scenario]]</f>
        <v>203958000</v>
      </c>
      <c r="K83" s="43">
        <f>Table15364345464[[#This Row],[Total Healthcare Expenditures
(All Categories):
Base Scenario]]*Table15364345464[[#This Row],[Smoking-Attributable Fraction (SAF) of Healthcare Expenditures: Lower Bound
Base Scenario]]</f>
        <v>173742000</v>
      </c>
      <c r="L83" s="43">
        <f>Table15364345464[[#This Row],[Total Healthcare Expenditures
(All Categories):
Base Scenario]]*Table15364345464[[#This Row],[Smoking-Attributable Fraction (SAF) of Healthcare Expenditures: Upper Bound
Base Scenario]]</f>
        <v>327340000</v>
      </c>
      <c r="M83" s="43">
        <f>Table15364345464[[#This Row],[Total Government Healthcare Expenditures
(including national insurance):
Base Scenario]]*Table15364345464[[#This Row],[Smoking-Attributable Fraction (SAF) of Healthcare Expenditures
Base Scenario]]</f>
        <v>73953000</v>
      </c>
      <c r="N83" s="43">
        <f>Table15364345464[[#This Row],[Total Government Healthcare Expenditures
(including national insurance):
Base Scenario]]*Table15364345464[[#This Row],[Smoking-Attributable Fraction (SAF) of Healthcare Expenditures: Lower Bound
Base Scenario]]</f>
        <v>62997000.000000007</v>
      </c>
      <c r="O83" s="43">
        <f>Table15364345464[[#This Row],[Total Government Healthcare Expenditures
(including national insurance):
Base Scenario]]*Table15364345464[[#This Row],[Smoking-Attributable Fraction (SAF) of Healthcare Expenditures: Upper Bound
Base Scenario]]</f>
        <v>118690000</v>
      </c>
      <c r="P83" s="43">
        <f>Table15364345464[[#This Row],[Total Private (Out-of-Pocket) Healthcare Expenditures:
Base Scenario]]*Table15364345464[[#This Row],[Smoking-Attributable Fraction (SAF) of Healthcare Expenditures
Base Scenario]]</f>
        <v>116883000</v>
      </c>
      <c r="Q83" s="43">
        <f>Table15364345464[[#This Row],[Total Private (Out-of-Pocket) Healthcare Expenditures:
Base Scenario]]*Table15364345464[[#This Row],[Smoking-Attributable Fraction (SAF) of Healthcare Expenditures: Lower Bound
Base Scenario]]</f>
        <v>99567000.000000015</v>
      </c>
      <c r="R83" s="43">
        <f>Table15364345464[[#This Row],[Total Private (Out-of-Pocket) Healthcare Expenditures:
Base Scenario]]*Table15364345464[[#This Row],[Smoking-Attributable Fraction (SAF) of Healthcare Expenditures: Upper Bound
Base Scenario]]</f>
        <v>187590000</v>
      </c>
      <c r="S83" s="43">
        <f>Table15364345464[[#This Row],[Total Other Health Expenditures:
Base Scenario]]*Table15364345464[[#This Row],[Smoking-Attributable Fraction (SAF) of Healthcare Expenditures
Base Scenario]]</f>
        <v>13122000</v>
      </c>
      <c r="T83" s="43">
        <f>Table15364345464[[#This Row],[Total Other Health Expenditures:
Base Scenario]]*Table15364345464[[#This Row],[Smoking-Attributable Fraction (SAF) of Healthcare Expenditures: Lower Bound
Base Scenario]]</f>
        <v>11178000.000000002</v>
      </c>
      <c r="U83" s="43">
        <f>Table15364345464[[#This Row],[Total Other Health Expenditures:
Base Scenario]]*Table15364345464[[#This Row],[Smoking-Attributable Fraction (SAF) of Healthcare Expenditures: Upper Bound
Base Scenario]]</f>
        <v>21060000</v>
      </c>
      <c r="V83" s="61">
        <v>-1.0800000000000002E-2</v>
      </c>
      <c r="W83" s="60">
        <f>W82*(1+Table15364345464[[#This Row],[Relative Change in Smoking Prevalence:
Smoke-Free Air Laws]])</f>
        <v>8.0125199999999994E-2</v>
      </c>
      <c r="X83" s="60">
        <f>X82*(1+Table15364345464[[#This Row],[Relative Change in Smoking Prevalence:
Smoke-Free Air Laws]])</f>
        <v>6.8254800000000004E-2</v>
      </c>
      <c r="Y83" s="60">
        <f>Y82*(1+Table15364345464[[#This Row],[Relative Change in Smoking Prevalence:
Smoke-Free Air Laws]])</f>
        <v>0.12859599999999999</v>
      </c>
      <c r="Z83" s="66">
        <f>Table15364345464[[#This Row],[Total Healthcare Expenditures
(All Categories):
Base Scenario]]*Table15364345464[[#This Row],[Smoking-Attributable Fraction (SAF) of Healthcare Expenditures:
Adjusted for Intervention Impacts]]</f>
        <v>201755253.59999999</v>
      </c>
      <c r="AA83" s="64">
        <f>Table15364345464[[#This Row],[Total Healthcare Expenditures
(All Categories):
Base Scenario]]*Table15364345464[[#This Row],[Smoking-Attributable Fraction (SAF) of Healthcare Expenditures: Lower Bound
Adjusted for Intervention Impacts]]</f>
        <v>171865586.40000001</v>
      </c>
      <c r="AB83" s="66">
        <f>Table15364345464[[#This Row],[Total Healthcare Expenditures
(All Categories):
Base Scenario]]*Table15364345464[[#This Row],[Smoking-Attributable Fraction (SAF) of Healthcare Expenditures: Upper Bound
Adjusted for Intervention Impacts]]</f>
        <v>323804727.99999994</v>
      </c>
      <c r="AC83" s="66">
        <f>Table15364345464[[#This Row],[Total Government Healthcare Expenditures
(including national insurance):
Base Scenario]]*Table15364345464[[#This Row],[Smoking-Attributable Fraction (SAF) of Healthcare Expenditures:
Adjusted for Intervention Impacts]]</f>
        <v>73154307.599999994</v>
      </c>
      <c r="AD83" s="66">
        <f>Table15364345464[[#This Row],[Total Government Healthcare Expenditures
(including national insurance):
Base Scenario]]*Table15364345464[[#This Row],[Smoking-Attributable Fraction (SAF) of Healthcare Expenditures: Lower Bound
Adjusted for Intervention Impacts]]</f>
        <v>62316632.400000006</v>
      </c>
      <c r="AE83" s="66">
        <f>Table15364345464[[#This Row],[Total Government Healthcare Expenditures
(including national insurance):
Base Scenario]]*Table15364345464[[#This Row],[Smoking-Attributable Fraction (SAF) of Healthcare Expenditures: Upper Bound
Adjusted for Intervention Impacts]]</f>
        <v>117408147.99999999</v>
      </c>
      <c r="AF83" s="66">
        <f>Table15364345464[[#This Row],[Total Private (Out-of-Pocket) Healthcare Expenditures:
Base Scenario]]*Table15364345464[[#This Row],[Smoking-Attributable Fraction (SAF) of Healthcare Expenditures:
Adjusted for Intervention Impacts]]</f>
        <v>115620663.59999999</v>
      </c>
      <c r="AG83" s="66">
        <f>Table15364345464[[#This Row],[Total Private (Out-of-Pocket) Healthcare Expenditures:
Base Scenario]]*Table15364345464[[#This Row],[Smoking-Attributable Fraction (SAF) of Healthcare Expenditures: Lower Bound
Adjusted for Intervention Impacts]]</f>
        <v>98491676.400000006</v>
      </c>
      <c r="AH83" s="66">
        <f>Table15364345464[[#This Row],[Total Private (Out-of-Pocket) Healthcare Expenditures:
Base Scenario]]*Table15364345464[[#This Row],[Smoking-Attributable Fraction (SAF) of Healthcare Expenditures: Upper Bound
Adjusted for Intervention Impacts]]</f>
        <v>185564027.99999997</v>
      </c>
      <c r="AI83" s="65">
        <f>Table15364345464[[#This Row],[Total Other Health Expenditures:
Base Scenario]]*Table15364345464[[#This Row],[Smoking-Attributable Fraction (SAF) of Healthcare Expenditures:
Adjusted for Intervention Impacts]]</f>
        <v>12980282.399999999</v>
      </c>
      <c r="AJ83" s="65">
        <f>Table15364345464[[#This Row],[Total Other Health Expenditures:
Base Scenario]]*Table15364345464[[#This Row],[Smoking-Attributable Fraction (SAF) of Healthcare Expenditures: Lower Bound
Adjusted for Intervention Impacts]]</f>
        <v>11057277.600000001</v>
      </c>
      <c r="AK83" s="65">
        <f>Table15364345464[[#This Row],[Total Other Health Expenditures:
Base Scenario]]*Table15364345464[[#This Row],[Smoking-Attributable Fraction (SAF) of Healthcare Expenditures: Upper Bound
Adjusted for Intervention Impacts]]</f>
        <v>20832551.999999996</v>
      </c>
      <c r="AL83" s="76">
        <f>Table15364345464[[#This Row],[Smoking-Attributable Total Healthcare Expenditures:
Base Scenario]]-Table15364345464[[#This Row],[Smoking-Attributable Total Healthcare Expenditures:
Intervention Scenario]]</f>
        <v>2202746.400000006</v>
      </c>
      <c r="AM83" s="76">
        <f>Table15364345464[[#This Row],[Smoking-Attributable Total Healthcare Expenditures: Lower Bound
Base Scenario]]-Table15364345464[[#This Row],[Smoking-Attributable Total Healthcare Expenditures: Lower Bound
Intervention Scenario]]</f>
        <v>1876413.599999994</v>
      </c>
      <c r="AN83" s="76">
        <f>Table15364345464[[#This Row],[Smoking-Attributable Total Healthcare Expenditures: Upper Bound
Base Scenario]]-Table15364345464[[#This Row],[Smoking-Attributable Total Healthcare Expenditures: Upper Bound
Intervention Scenario]]</f>
        <v>3535272.0000000596</v>
      </c>
      <c r="AO83" s="76">
        <f>Table15364345464[[#This Row],[Smoking-Attributable Government Healthcare Expenditures
(including national insurance):
Base Scenario]]-Table15364345464[[#This Row],[Smoking-Attributable Government Healthcare Expenditures
(including national insurance):
Intervention Scenario]]</f>
        <v>798692.40000000596</v>
      </c>
      <c r="AP83"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680367.60000000149</v>
      </c>
      <c r="AQ83"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1281852.0000000149</v>
      </c>
      <c r="AR83" s="76">
        <f>Table15364345464[[#This Row],[Smoking-Attributable Private Healthcare Expenditures:
Base Scenario]]-Table15364345464[[#This Row],[Smoking-Attributable Private Healthcare Expenditures:
Intervention Scenario]]</f>
        <v>1262336.400000006</v>
      </c>
      <c r="AS83" s="76">
        <f>Table15364345464[[#This Row],[Smoking-Attributable Private Healthcare Expenditures: Lower Bound
Base Scenario]]-Table15364345464[[#This Row],[Smoking-Attributable Private Healthcare Expenditures: Lower Bound
Intervention Scenario]]</f>
        <v>1075323.6000000089</v>
      </c>
      <c r="AT83" s="76">
        <f>Table15364345464[[#This Row],[Smoking-Attributable Private Healthcare Expenditures: Upper Bound
Base Scenario]]-Table15364345464[[#This Row],[Smoking-Attributable Private Healthcare Expenditures: Upper Bound
Intervention Scenario]]</f>
        <v>2025972.0000000298</v>
      </c>
      <c r="AU83" s="76">
        <f>Table15364345464[[#This Row],[Smoking-Attributable Other Health Expenditures:
Base Scenario]]-Table15364345464[[#This Row],[Smoking-Attributable Other Health Expenditures:
Intervention Scenario]]</f>
        <v>141717.60000000149</v>
      </c>
      <c r="AV83" s="235">
        <f>Table15364345464[[#This Row],[Smoking-Attributable Other Health Expenditures: Lower Bound
Base Scenario]]-Table15364345464[[#This Row],[Smoking-Attributable Other Health Expenditures: Lower Bound
Intervention Scenario]]</f>
        <v>120722.40000000037</v>
      </c>
      <c r="AW83" s="235">
        <f>Table15364345464[[#This Row],[Smoking-Attributable Other Health Expenditures: Upper Bound
Base Scenario]]-Table15364345464[[#This Row],[Smoking-Attributable Other Health Expenditures: Upper Bound
Intervention Scenario]]</f>
        <v>227448.00000000373</v>
      </c>
    </row>
    <row r="84" spans="2:49">
      <c r="B84" s="47">
        <v>2</v>
      </c>
      <c r="C84" s="48">
        <f t="shared" si="21"/>
        <v>2518000000</v>
      </c>
      <c r="D84" s="48">
        <f t="shared" si="22"/>
        <v>913000000</v>
      </c>
      <c r="E84" s="48">
        <f t="shared" si="23"/>
        <v>1443000000</v>
      </c>
      <c r="F84" s="48">
        <f t="shared" si="24"/>
        <v>162000000</v>
      </c>
      <c r="G84" s="232">
        <f t="shared" si="25"/>
        <v>8.1000000000000003E-2</v>
      </c>
      <c r="H84" s="46">
        <f t="shared" si="29"/>
        <v>6.9000000000000006E-2</v>
      </c>
      <c r="I84" s="46">
        <f t="shared" si="26"/>
        <v>0.13</v>
      </c>
      <c r="J84" s="43">
        <f>Table15364345464[[#This Row],[Total Healthcare Expenditures
(All Categories):
Base Scenario]]*Table15364345464[[#This Row],[Smoking-Attributable Fraction (SAF) of Healthcare Expenditures
Base Scenario]]</f>
        <v>203958000</v>
      </c>
      <c r="K84" s="43">
        <f>Table15364345464[[#This Row],[Total Healthcare Expenditures
(All Categories):
Base Scenario]]*Table15364345464[[#This Row],[Smoking-Attributable Fraction (SAF) of Healthcare Expenditures: Lower Bound
Base Scenario]]</f>
        <v>173742000</v>
      </c>
      <c r="L84" s="43">
        <f>Table15364345464[[#This Row],[Total Healthcare Expenditures
(All Categories):
Base Scenario]]*Table15364345464[[#This Row],[Smoking-Attributable Fraction (SAF) of Healthcare Expenditures: Upper Bound
Base Scenario]]</f>
        <v>327340000</v>
      </c>
      <c r="M84" s="43">
        <f>Table15364345464[[#This Row],[Total Government Healthcare Expenditures
(including national insurance):
Base Scenario]]*Table15364345464[[#This Row],[Smoking-Attributable Fraction (SAF) of Healthcare Expenditures
Base Scenario]]</f>
        <v>73953000</v>
      </c>
      <c r="N84" s="43">
        <f>Table15364345464[[#This Row],[Total Government Healthcare Expenditures
(including national insurance):
Base Scenario]]*Table15364345464[[#This Row],[Smoking-Attributable Fraction (SAF) of Healthcare Expenditures: Lower Bound
Base Scenario]]</f>
        <v>62997000.000000007</v>
      </c>
      <c r="O84" s="43">
        <f>Table15364345464[[#This Row],[Total Government Healthcare Expenditures
(including national insurance):
Base Scenario]]*Table15364345464[[#This Row],[Smoking-Attributable Fraction (SAF) of Healthcare Expenditures: Upper Bound
Base Scenario]]</f>
        <v>118690000</v>
      </c>
      <c r="P84" s="43">
        <f>Table15364345464[[#This Row],[Total Private (Out-of-Pocket) Healthcare Expenditures:
Base Scenario]]*Table15364345464[[#This Row],[Smoking-Attributable Fraction (SAF) of Healthcare Expenditures
Base Scenario]]</f>
        <v>116883000</v>
      </c>
      <c r="Q84" s="43">
        <f>Table15364345464[[#This Row],[Total Private (Out-of-Pocket) Healthcare Expenditures:
Base Scenario]]*Table15364345464[[#This Row],[Smoking-Attributable Fraction (SAF) of Healthcare Expenditures: Lower Bound
Base Scenario]]</f>
        <v>99567000.000000015</v>
      </c>
      <c r="R84" s="43">
        <f>Table15364345464[[#This Row],[Total Private (Out-of-Pocket) Healthcare Expenditures:
Base Scenario]]*Table15364345464[[#This Row],[Smoking-Attributable Fraction (SAF) of Healthcare Expenditures: Upper Bound
Base Scenario]]</f>
        <v>187590000</v>
      </c>
      <c r="S84" s="43">
        <f>Table15364345464[[#This Row],[Total Other Health Expenditures:
Base Scenario]]*Table15364345464[[#This Row],[Smoking-Attributable Fraction (SAF) of Healthcare Expenditures
Base Scenario]]</f>
        <v>13122000</v>
      </c>
      <c r="T84" s="43">
        <f>Table15364345464[[#This Row],[Total Other Health Expenditures:
Base Scenario]]*Table15364345464[[#This Row],[Smoking-Attributable Fraction (SAF) of Healthcare Expenditures: Lower Bound
Base Scenario]]</f>
        <v>11178000.000000002</v>
      </c>
      <c r="U84" s="43">
        <f>Table15364345464[[#This Row],[Total Other Health Expenditures:
Base Scenario]]*Table15364345464[[#This Row],[Smoking-Attributable Fraction (SAF) of Healthcare Expenditures: Upper Bound
Base Scenario]]</f>
        <v>21060000</v>
      </c>
      <c r="V84" s="61">
        <v>-1.0800000000000002E-2</v>
      </c>
      <c r="W84" s="60">
        <f>W83*(1+Table15364345464[[#This Row],[Relative Change in Smoking Prevalence:
Smoke-Free Air Laws]])</f>
        <v>7.9259847839999995E-2</v>
      </c>
      <c r="X84" s="60">
        <f>X83*(1+Table15364345464[[#This Row],[Relative Change in Smoking Prevalence:
Smoke-Free Air Laws]])</f>
        <v>6.7517648159999999E-2</v>
      </c>
      <c r="Y84" s="60">
        <f>Y83*(1+Table15364345464[[#This Row],[Relative Change in Smoking Prevalence:
Smoke-Free Air Laws]])</f>
        <v>0.12720716319999997</v>
      </c>
      <c r="Z84" s="66">
        <f>Table15364345464[[#This Row],[Total Healthcare Expenditures
(All Categories):
Base Scenario]]*Table15364345464[[#This Row],[Smoking-Attributable Fraction (SAF) of Healthcare Expenditures:
Adjusted for Intervention Impacts]]</f>
        <v>199576296.86111999</v>
      </c>
      <c r="AA84" s="64">
        <f>Table15364345464[[#This Row],[Total Healthcare Expenditures
(All Categories):
Base Scenario]]*Table15364345464[[#This Row],[Smoking-Attributable Fraction (SAF) of Healthcare Expenditures: Lower Bound
Adjusted for Intervention Impacts]]</f>
        <v>170009438.06687999</v>
      </c>
      <c r="AB84" s="66">
        <f>Table15364345464[[#This Row],[Total Healthcare Expenditures
(All Categories):
Base Scenario]]*Table15364345464[[#This Row],[Smoking-Attributable Fraction (SAF) of Healthcare Expenditures: Upper Bound
Adjusted for Intervention Impacts]]</f>
        <v>320307636.93759996</v>
      </c>
      <c r="AC84" s="66">
        <f>Table15364345464[[#This Row],[Total Government Healthcare Expenditures
(including national insurance):
Base Scenario]]*Table15364345464[[#This Row],[Smoking-Attributable Fraction (SAF) of Healthcare Expenditures:
Adjusted for Intervention Impacts]]</f>
        <v>72364241.07791999</v>
      </c>
      <c r="AD84" s="66">
        <f>Table15364345464[[#This Row],[Total Government Healthcare Expenditures
(including national insurance):
Base Scenario]]*Table15364345464[[#This Row],[Smoking-Attributable Fraction (SAF) of Healthcare Expenditures: Lower Bound
Adjusted for Intervention Impacts]]</f>
        <v>61643612.77008</v>
      </c>
      <c r="AE84" s="66">
        <f>Table15364345464[[#This Row],[Total Government Healthcare Expenditures
(including national insurance):
Base Scenario]]*Table15364345464[[#This Row],[Smoking-Attributable Fraction (SAF) of Healthcare Expenditures: Upper Bound
Adjusted for Intervention Impacts]]</f>
        <v>116140140.00159998</v>
      </c>
      <c r="AF84" s="66">
        <f>Table15364345464[[#This Row],[Total Private (Out-of-Pocket) Healthcare Expenditures:
Base Scenario]]*Table15364345464[[#This Row],[Smoking-Attributable Fraction (SAF) of Healthcare Expenditures:
Adjusted for Intervention Impacts]]</f>
        <v>114371960.43312</v>
      </c>
      <c r="AG84" s="66">
        <f>Table15364345464[[#This Row],[Total Private (Out-of-Pocket) Healthcare Expenditures:
Base Scenario]]*Table15364345464[[#This Row],[Smoking-Attributable Fraction (SAF) of Healthcare Expenditures: Lower Bound
Adjusted for Intervention Impacts]]</f>
        <v>97427966.294880003</v>
      </c>
      <c r="AH84" s="66">
        <f>Table15364345464[[#This Row],[Total Private (Out-of-Pocket) Healthcare Expenditures:
Base Scenario]]*Table15364345464[[#This Row],[Smoking-Attributable Fraction (SAF) of Healthcare Expenditures: Upper Bound
Adjusted for Intervention Impacts]]</f>
        <v>183559936.49759996</v>
      </c>
      <c r="AI84" s="65">
        <f>Table15364345464[[#This Row],[Total Other Health Expenditures:
Base Scenario]]*Table15364345464[[#This Row],[Smoking-Attributable Fraction (SAF) of Healthcare Expenditures:
Adjusted for Intervention Impacts]]</f>
        <v>12840095.350079998</v>
      </c>
      <c r="AJ84" s="65">
        <f>Table15364345464[[#This Row],[Total Other Health Expenditures:
Base Scenario]]*Table15364345464[[#This Row],[Smoking-Attributable Fraction (SAF) of Healthcare Expenditures: Lower Bound
Adjusted for Intervention Impacts]]</f>
        <v>10937859.00192</v>
      </c>
      <c r="AK84" s="65">
        <f>Table15364345464[[#This Row],[Total Other Health Expenditures:
Base Scenario]]*Table15364345464[[#This Row],[Smoking-Attributable Fraction (SAF) of Healthcare Expenditures: Upper Bound
Adjusted for Intervention Impacts]]</f>
        <v>20607560.438399997</v>
      </c>
      <c r="AL84" s="76">
        <f>Table15364345464[[#This Row],[Smoking-Attributable Total Healthcare Expenditures:
Base Scenario]]-Table15364345464[[#This Row],[Smoking-Attributable Total Healthcare Expenditures:
Intervention Scenario]]</f>
        <v>4381703.1388800144</v>
      </c>
      <c r="AM84" s="76">
        <f>Table15364345464[[#This Row],[Smoking-Attributable Total Healthcare Expenditures: Lower Bound
Base Scenario]]-Table15364345464[[#This Row],[Smoking-Attributable Total Healthcare Expenditures: Lower Bound
Intervention Scenario]]</f>
        <v>3732561.9331200123</v>
      </c>
      <c r="AN84" s="76">
        <f>Table15364345464[[#This Row],[Smoking-Attributable Total Healthcare Expenditures: Upper Bound
Base Scenario]]-Table15364345464[[#This Row],[Smoking-Attributable Total Healthcare Expenditures: Upper Bound
Intervention Scenario]]</f>
        <v>7032363.062400043</v>
      </c>
      <c r="AO84" s="76">
        <f>Table15364345464[[#This Row],[Smoking-Attributable Government Healthcare Expenditures
(including national insurance):
Base Scenario]]-Table15364345464[[#This Row],[Smoking-Attributable Government Healthcare Expenditures
(including national insurance):
Intervention Scenario]]</f>
        <v>1588758.9220800102</v>
      </c>
      <c r="AP84"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1353387.2299200073</v>
      </c>
      <c r="AQ84"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2549859.9984000176</v>
      </c>
      <c r="AR84" s="76">
        <f>Table15364345464[[#This Row],[Smoking-Attributable Private Healthcare Expenditures:
Base Scenario]]-Table15364345464[[#This Row],[Smoking-Attributable Private Healthcare Expenditures:
Intervention Scenario]]</f>
        <v>2511039.5668800026</v>
      </c>
      <c r="AS84" s="76">
        <f>Table15364345464[[#This Row],[Smoking-Attributable Private Healthcare Expenditures: Lower Bound
Base Scenario]]-Table15364345464[[#This Row],[Smoking-Attributable Private Healthcare Expenditures: Lower Bound
Intervention Scenario]]</f>
        <v>2139033.7051200122</v>
      </c>
      <c r="AT84" s="76">
        <f>Table15364345464[[#This Row],[Smoking-Attributable Private Healthcare Expenditures: Upper Bound
Base Scenario]]-Table15364345464[[#This Row],[Smoking-Attributable Private Healthcare Expenditures: Upper Bound
Intervention Scenario]]</f>
        <v>4030063.5024000406</v>
      </c>
      <c r="AU84" s="76">
        <f>Table15364345464[[#This Row],[Smoking-Attributable Other Health Expenditures:
Base Scenario]]-Table15364345464[[#This Row],[Smoking-Attributable Other Health Expenditures:
Intervention Scenario]]</f>
        <v>281904.64992000163</v>
      </c>
      <c r="AV84" s="235">
        <f>Table15364345464[[#This Row],[Smoking-Attributable Other Health Expenditures: Lower Bound
Base Scenario]]-Table15364345464[[#This Row],[Smoking-Attributable Other Health Expenditures: Lower Bound
Intervention Scenario]]</f>
        <v>240140.99808000214</v>
      </c>
      <c r="AW84" s="235">
        <f>Table15364345464[[#This Row],[Smoking-Attributable Other Health Expenditures: Upper Bound
Base Scenario]]-Table15364345464[[#This Row],[Smoking-Attributable Other Health Expenditures: Upper Bound
Intervention Scenario]]</f>
        <v>452439.56160000339</v>
      </c>
    </row>
    <row r="85" spans="2:49">
      <c r="B85" s="47">
        <v>3</v>
      </c>
      <c r="C85" s="48">
        <f t="shared" si="21"/>
        <v>2518000000</v>
      </c>
      <c r="D85" s="48">
        <f t="shared" si="22"/>
        <v>913000000</v>
      </c>
      <c r="E85" s="48">
        <f t="shared" si="23"/>
        <v>1443000000</v>
      </c>
      <c r="F85" s="48">
        <f t="shared" si="24"/>
        <v>162000000</v>
      </c>
      <c r="G85" s="232">
        <f t="shared" si="25"/>
        <v>8.1000000000000003E-2</v>
      </c>
      <c r="H85" s="46">
        <f t="shared" si="29"/>
        <v>6.9000000000000006E-2</v>
      </c>
      <c r="I85" s="46">
        <f t="shared" si="26"/>
        <v>0.13</v>
      </c>
      <c r="J85" s="43">
        <f>Table15364345464[[#This Row],[Total Healthcare Expenditures
(All Categories):
Base Scenario]]*Table15364345464[[#This Row],[Smoking-Attributable Fraction (SAF) of Healthcare Expenditures
Base Scenario]]</f>
        <v>203958000</v>
      </c>
      <c r="K85" s="43">
        <f>Table15364345464[[#This Row],[Total Healthcare Expenditures
(All Categories):
Base Scenario]]*Table15364345464[[#This Row],[Smoking-Attributable Fraction (SAF) of Healthcare Expenditures: Lower Bound
Base Scenario]]</f>
        <v>173742000</v>
      </c>
      <c r="L85" s="43">
        <f>Table15364345464[[#This Row],[Total Healthcare Expenditures
(All Categories):
Base Scenario]]*Table15364345464[[#This Row],[Smoking-Attributable Fraction (SAF) of Healthcare Expenditures: Upper Bound
Base Scenario]]</f>
        <v>327340000</v>
      </c>
      <c r="M85" s="43">
        <f>Table15364345464[[#This Row],[Total Government Healthcare Expenditures
(including national insurance):
Base Scenario]]*Table15364345464[[#This Row],[Smoking-Attributable Fraction (SAF) of Healthcare Expenditures
Base Scenario]]</f>
        <v>73953000</v>
      </c>
      <c r="N85" s="43">
        <f>Table15364345464[[#This Row],[Total Government Healthcare Expenditures
(including national insurance):
Base Scenario]]*Table15364345464[[#This Row],[Smoking-Attributable Fraction (SAF) of Healthcare Expenditures: Lower Bound
Base Scenario]]</f>
        <v>62997000.000000007</v>
      </c>
      <c r="O85" s="43">
        <f>Table15364345464[[#This Row],[Total Government Healthcare Expenditures
(including national insurance):
Base Scenario]]*Table15364345464[[#This Row],[Smoking-Attributable Fraction (SAF) of Healthcare Expenditures: Upper Bound
Base Scenario]]</f>
        <v>118690000</v>
      </c>
      <c r="P85" s="43">
        <f>Table15364345464[[#This Row],[Total Private (Out-of-Pocket) Healthcare Expenditures:
Base Scenario]]*Table15364345464[[#This Row],[Smoking-Attributable Fraction (SAF) of Healthcare Expenditures
Base Scenario]]</f>
        <v>116883000</v>
      </c>
      <c r="Q85" s="43">
        <f>Table15364345464[[#This Row],[Total Private (Out-of-Pocket) Healthcare Expenditures:
Base Scenario]]*Table15364345464[[#This Row],[Smoking-Attributable Fraction (SAF) of Healthcare Expenditures: Lower Bound
Base Scenario]]</f>
        <v>99567000.000000015</v>
      </c>
      <c r="R85" s="43">
        <f>Table15364345464[[#This Row],[Total Private (Out-of-Pocket) Healthcare Expenditures:
Base Scenario]]*Table15364345464[[#This Row],[Smoking-Attributable Fraction (SAF) of Healthcare Expenditures: Upper Bound
Base Scenario]]</f>
        <v>187590000</v>
      </c>
      <c r="S85" s="43">
        <f>Table15364345464[[#This Row],[Total Other Health Expenditures:
Base Scenario]]*Table15364345464[[#This Row],[Smoking-Attributable Fraction (SAF) of Healthcare Expenditures
Base Scenario]]</f>
        <v>13122000</v>
      </c>
      <c r="T85" s="43">
        <f>Table15364345464[[#This Row],[Total Other Health Expenditures:
Base Scenario]]*Table15364345464[[#This Row],[Smoking-Attributable Fraction (SAF) of Healthcare Expenditures: Lower Bound
Base Scenario]]</f>
        <v>11178000.000000002</v>
      </c>
      <c r="U85" s="43">
        <f>Table15364345464[[#This Row],[Total Other Health Expenditures:
Base Scenario]]*Table15364345464[[#This Row],[Smoking-Attributable Fraction (SAF) of Healthcare Expenditures: Upper Bound
Base Scenario]]</f>
        <v>21060000</v>
      </c>
      <c r="V85" s="61">
        <v>-1.0800000000000002E-2</v>
      </c>
      <c r="W85" s="60">
        <f>W84*(1+Table15364345464[[#This Row],[Relative Change in Smoking Prevalence:
Smoke-Free Air Laws]])</f>
        <v>7.8403841483327991E-2</v>
      </c>
      <c r="X85" s="60">
        <f>X84*(1+Table15364345464[[#This Row],[Relative Change in Smoking Prevalence:
Smoke-Free Air Laws]])</f>
        <v>6.6788457559871992E-2</v>
      </c>
      <c r="Y85" s="60">
        <f>Y84*(1+Table15364345464[[#This Row],[Relative Change in Smoking Prevalence:
Smoke-Free Air Laws]])</f>
        <v>0.12583332583743997</v>
      </c>
      <c r="Z85" s="66">
        <f>Table15364345464[[#This Row],[Total Healthcare Expenditures
(All Categories):
Base Scenario]]*Table15364345464[[#This Row],[Smoking-Attributable Fraction (SAF) of Healthcare Expenditures:
Adjusted for Intervention Impacts]]</f>
        <v>197420872.85501987</v>
      </c>
      <c r="AA85" s="64">
        <f>Table15364345464[[#This Row],[Total Healthcare Expenditures
(All Categories):
Base Scenario]]*Table15364345464[[#This Row],[Smoking-Attributable Fraction (SAF) of Healthcare Expenditures: Lower Bound
Adjusted for Intervention Impacts]]</f>
        <v>168173336.13575768</v>
      </c>
      <c r="AB85" s="66">
        <f>Table15364345464[[#This Row],[Total Healthcare Expenditures
(All Categories):
Base Scenario]]*Table15364345464[[#This Row],[Smoking-Attributable Fraction (SAF) of Healthcare Expenditures: Upper Bound
Adjusted for Intervention Impacts]]</f>
        <v>316848314.45867383</v>
      </c>
      <c r="AC85" s="66">
        <f>Table15364345464[[#This Row],[Total Government Healthcare Expenditures
(including national insurance):
Base Scenario]]*Table15364345464[[#This Row],[Smoking-Attributable Fraction (SAF) of Healthcare Expenditures:
Adjusted for Intervention Impacts]]</f>
        <v>71582707.274278462</v>
      </c>
      <c r="AD85" s="66">
        <f>Table15364345464[[#This Row],[Total Government Healthcare Expenditures
(including national insurance):
Base Scenario]]*Table15364345464[[#This Row],[Smoking-Attributable Fraction (SAF) of Healthcare Expenditures: Lower Bound
Adjusted for Intervention Impacts]]</f>
        <v>60977861.752163127</v>
      </c>
      <c r="AE85" s="66">
        <f>Table15364345464[[#This Row],[Total Government Healthcare Expenditures
(including national insurance):
Base Scenario]]*Table15364345464[[#This Row],[Smoking-Attributable Fraction (SAF) of Healthcare Expenditures: Upper Bound
Adjusted for Intervention Impacts]]</f>
        <v>114885826.4895827</v>
      </c>
      <c r="AF85" s="66">
        <f>Table15364345464[[#This Row],[Total Private (Out-of-Pocket) Healthcare Expenditures:
Base Scenario]]*Table15364345464[[#This Row],[Smoking-Attributable Fraction (SAF) of Healthcare Expenditures:
Adjusted for Intervention Impacts]]</f>
        <v>113136743.26044229</v>
      </c>
      <c r="AG85" s="66">
        <f>Table15364345464[[#This Row],[Total Private (Out-of-Pocket) Healthcare Expenditures:
Base Scenario]]*Table15364345464[[#This Row],[Smoking-Attributable Fraction (SAF) of Healthcare Expenditures: Lower Bound
Adjusted for Intervention Impacts]]</f>
        <v>96375744.258895278</v>
      </c>
      <c r="AH85" s="66">
        <f>Table15364345464[[#This Row],[Total Private (Out-of-Pocket) Healthcare Expenditures:
Base Scenario]]*Table15364345464[[#This Row],[Smoking-Attributable Fraction (SAF) of Healthcare Expenditures: Upper Bound
Adjusted for Intervention Impacts]]</f>
        <v>181577489.18342587</v>
      </c>
      <c r="AI85" s="65">
        <f>Table15364345464[[#This Row],[Total Other Health Expenditures:
Base Scenario]]*Table15364345464[[#This Row],[Smoking-Attributable Fraction (SAF) of Healthcare Expenditures:
Adjusted for Intervention Impacts]]</f>
        <v>12701422.320299134</v>
      </c>
      <c r="AJ85" s="65">
        <f>Table15364345464[[#This Row],[Total Other Health Expenditures:
Base Scenario]]*Table15364345464[[#This Row],[Smoking-Attributable Fraction (SAF) of Healthcare Expenditures: Lower Bound
Adjusted for Intervention Impacts]]</f>
        <v>10819730.124699263</v>
      </c>
      <c r="AK85" s="65">
        <f>Table15364345464[[#This Row],[Total Other Health Expenditures:
Base Scenario]]*Table15364345464[[#This Row],[Smoking-Attributable Fraction (SAF) of Healthcare Expenditures: Upper Bound
Adjusted for Intervention Impacts]]</f>
        <v>20384998.785665277</v>
      </c>
      <c r="AL85" s="76">
        <f>Table15364345464[[#This Row],[Smoking-Attributable Total Healthcare Expenditures:
Base Scenario]]-Table15364345464[[#This Row],[Smoking-Attributable Total Healthcare Expenditures:
Intervention Scenario]]</f>
        <v>6537127.1449801326</v>
      </c>
      <c r="AM85" s="76">
        <f>Table15364345464[[#This Row],[Smoking-Attributable Total Healthcare Expenditures: Lower Bound
Base Scenario]]-Table15364345464[[#This Row],[Smoking-Attributable Total Healthcare Expenditures: Lower Bound
Intervention Scenario]]</f>
        <v>5568663.8642423153</v>
      </c>
      <c r="AN85" s="76">
        <f>Table15364345464[[#This Row],[Smoking-Attributable Total Healthcare Expenditures: Upper Bound
Base Scenario]]-Table15364345464[[#This Row],[Smoking-Attributable Total Healthcare Expenditures: Upper Bound
Intervention Scenario]]</f>
        <v>10491685.541326165</v>
      </c>
      <c r="AO85" s="76">
        <f>Table15364345464[[#This Row],[Smoking-Attributable Government Healthcare Expenditures
(including national insurance):
Base Scenario]]-Table15364345464[[#This Row],[Smoking-Attributable Government Healthcare Expenditures
(including national insurance):
Intervention Scenario]]</f>
        <v>2370292.7257215381</v>
      </c>
      <c r="AP85"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2019138.2478368804</v>
      </c>
      <c r="AQ85"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3804173.5104172975</v>
      </c>
      <c r="AR85" s="76">
        <f>Table15364345464[[#This Row],[Smoking-Attributable Private Healthcare Expenditures:
Base Scenario]]-Table15364345464[[#This Row],[Smoking-Attributable Private Healthcare Expenditures:
Intervention Scenario]]</f>
        <v>3746256.7395577133</v>
      </c>
      <c r="AS85" s="76">
        <f>Table15364345464[[#This Row],[Smoking-Attributable Private Healthcare Expenditures: Lower Bound
Base Scenario]]-Table15364345464[[#This Row],[Smoking-Attributable Private Healthcare Expenditures: Lower Bound
Intervention Scenario]]</f>
        <v>3191255.7411047369</v>
      </c>
      <c r="AT85" s="76">
        <f>Table15364345464[[#This Row],[Smoking-Attributable Private Healthcare Expenditures: Upper Bound
Base Scenario]]-Table15364345464[[#This Row],[Smoking-Attributable Private Healthcare Expenditures: Upper Bound
Intervention Scenario]]</f>
        <v>6012510.8165741265</v>
      </c>
      <c r="AU85" s="76">
        <f>Table15364345464[[#This Row],[Smoking-Attributable Other Health Expenditures:
Base Scenario]]-Table15364345464[[#This Row],[Smoking-Attributable Other Health Expenditures:
Intervention Scenario]]</f>
        <v>420577.67970086634</v>
      </c>
      <c r="AV85" s="235">
        <f>Table15364345464[[#This Row],[Smoking-Attributable Other Health Expenditures: Lower Bound
Base Scenario]]-Table15364345464[[#This Row],[Smoking-Attributable Other Health Expenditures: Lower Bound
Intervention Scenario]]</f>
        <v>358269.87530073896</v>
      </c>
      <c r="AW85" s="235">
        <f>Table15364345464[[#This Row],[Smoking-Attributable Other Health Expenditures: Upper Bound
Base Scenario]]-Table15364345464[[#This Row],[Smoking-Attributable Other Health Expenditures: Upper Bound
Intervention Scenario]]</f>
        <v>675001.21433472261</v>
      </c>
    </row>
    <row r="86" spans="2:49">
      <c r="B86" s="47">
        <v>4</v>
      </c>
      <c r="C86" s="48">
        <f t="shared" si="21"/>
        <v>2518000000</v>
      </c>
      <c r="D86" s="48">
        <f t="shared" si="22"/>
        <v>913000000</v>
      </c>
      <c r="E86" s="48">
        <f t="shared" si="23"/>
        <v>1443000000</v>
      </c>
      <c r="F86" s="48">
        <f t="shared" si="24"/>
        <v>162000000</v>
      </c>
      <c r="G86" s="232">
        <f t="shared" si="25"/>
        <v>8.1000000000000003E-2</v>
      </c>
      <c r="H86" s="46">
        <f t="shared" si="29"/>
        <v>6.9000000000000006E-2</v>
      </c>
      <c r="I86" s="46">
        <f t="shared" si="26"/>
        <v>0.13</v>
      </c>
      <c r="J86" s="43">
        <f>Table15364345464[[#This Row],[Total Healthcare Expenditures
(All Categories):
Base Scenario]]*Table15364345464[[#This Row],[Smoking-Attributable Fraction (SAF) of Healthcare Expenditures
Base Scenario]]</f>
        <v>203958000</v>
      </c>
      <c r="K86" s="43">
        <f>Table15364345464[[#This Row],[Total Healthcare Expenditures
(All Categories):
Base Scenario]]*Table15364345464[[#This Row],[Smoking-Attributable Fraction (SAF) of Healthcare Expenditures: Lower Bound
Base Scenario]]</f>
        <v>173742000</v>
      </c>
      <c r="L86" s="43">
        <f>Table15364345464[[#This Row],[Total Healthcare Expenditures
(All Categories):
Base Scenario]]*Table15364345464[[#This Row],[Smoking-Attributable Fraction (SAF) of Healthcare Expenditures: Upper Bound
Base Scenario]]</f>
        <v>327340000</v>
      </c>
      <c r="M86" s="43">
        <f>Table15364345464[[#This Row],[Total Government Healthcare Expenditures
(including national insurance):
Base Scenario]]*Table15364345464[[#This Row],[Smoking-Attributable Fraction (SAF) of Healthcare Expenditures
Base Scenario]]</f>
        <v>73953000</v>
      </c>
      <c r="N86" s="43">
        <f>Table15364345464[[#This Row],[Total Government Healthcare Expenditures
(including national insurance):
Base Scenario]]*Table15364345464[[#This Row],[Smoking-Attributable Fraction (SAF) of Healthcare Expenditures: Lower Bound
Base Scenario]]</f>
        <v>62997000.000000007</v>
      </c>
      <c r="O86" s="43">
        <f>Table15364345464[[#This Row],[Total Government Healthcare Expenditures
(including national insurance):
Base Scenario]]*Table15364345464[[#This Row],[Smoking-Attributable Fraction (SAF) of Healthcare Expenditures: Upper Bound
Base Scenario]]</f>
        <v>118690000</v>
      </c>
      <c r="P86" s="43">
        <f>Table15364345464[[#This Row],[Total Private (Out-of-Pocket) Healthcare Expenditures:
Base Scenario]]*Table15364345464[[#This Row],[Smoking-Attributable Fraction (SAF) of Healthcare Expenditures
Base Scenario]]</f>
        <v>116883000</v>
      </c>
      <c r="Q86" s="43">
        <f>Table15364345464[[#This Row],[Total Private (Out-of-Pocket) Healthcare Expenditures:
Base Scenario]]*Table15364345464[[#This Row],[Smoking-Attributable Fraction (SAF) of Healthcare Expenditures: Lower Bound
Base Scenario]]</f>
        <v>99567000.000000015</v>
      </c>
      <c r="R86" s="43">
        <f>Table15364345464[[#This Row],[Total Private (Out-of-Pocket) Healthcare Expenditures:
Base Scenario]]*Table15364345464[[#This Row],[Smoking-Attributable Fraction (SAF) of Healthcare Expenditures: Upper Bound
Base Scenario]]</f>
        <v>187590000</v>
      </c>
      <c r="S86" s="43">
        <f>Table15364345464[[#This Row],[Total Other Health Expenditures:
Base Scenario]]*Table15364345464[[#This Row],[Smoking-Attributable Fraction (SAF) of Healthcare Expenditures
Base Scenario]]</f>
        <v>13122000</v>
      </c>
      <c r="T86" s="43">
        <f>Table15364345464[[#This Row],[Total Other Health Expenditures:
Base Scenario]]*Table15364345464[[#This Row],[Smoking-Attributable Fraction (SAF) of Healthcare Expenditures: Lower Bound
Base Scenario]]</f>
        <v>11178000.000000002</v>
      </c>
      <c r="U86" s="43">
        <f>Table15364345464[[#This Row],[Total Other Health Expenditures:
Base Scenario]]*Table15364345464[[#This Row],[Smoking-Attributable Fraction (SAF) of Healthcare Expenditures: Upper Bound
Base Scenario]]</f>
        <v>21060000</v>
      </c>
      <c r="V86" s="61">
        <v>-1.0800000000000002E-2</v>
      </c>
      <c r="W86" s="60">
        <f>W85*(1+Table15364345464[[#This Row],[Relative Change in Smoking Prevalence:
Smoke-Free Air Laws]])</f>
        <v>7.7557079995308045E-2</v>
      </c>
      <c r="X86" s="60">
        <f>X85*(1+Table15364345464[[#This Row],[Relative Change in Smoking Prevalence:
Smoke-Free Air Laws]])</f>
        <v>6.6067142218225378E-2</v>
      </c>
      <c r="Y86" s="60">
        <f>Y85*(1+Table15364345464[[#This Row],[Relative Change in Smoking Prevalence:
Smoke-Free Air Laws]])</f>
        <v>0.12447432591839562</v>
      </c>
      <c r="Z86" s="66">
        <f>Table15364345464[[#This Row],[Total Healthcare Expenditures
(All Categories):
Base Scenario]]*Table15364345464[[#This Row],[Smoking-Attributable Fraction (SAF) of Healthcare Expenditures:
Adjusted for Intervention Impacts]]</f>
        <v>195288727.42818567</v>
      </c>
      <c r="AA86" s="64">
        <f>Table15364345464[[#This Row],[Total Healthcare Expenditures
(All Categories):
Base Scenario]]*Table15364345464[[#This Row],[Smoking-Attributable Fraction (SAF) of Healthcare Expenditures: Lower Bound
Adjusted for Intervention Impacts]]</f>
        <v>166357064.10549149</v>
      </c>
      <c r="AB86" s="66">
        <f>Table15364345464[[#This Row],[Total Healthcare Expenditures
(All Categories):
Base Scenario]]*Table15364345464[[#This Row],[Smoking-Attributable Fraction (SAF) of Healthcare Expenditures: Upper Bound
Adjusted for Intervention Impacts]]</f>
        <v>313426352.66252017</v>
      </c>
      <c r="AC86" s="66">
        <f>Table15364345464[[#This Row],[Total Government Healthcare Expenditures
(including national insurance):
Base Scenario]]*Table15364345464[[#This Row],[Smoking-Attributable Fraction (SAF) of Healthcare Expenditures:
Adjusted for Intervention Impacts]]</f>
        <v>70809614.035716251</v>
      </c>
      <c r="AD86" s="66">
        <f>Table15364345464[[#This Row],[Total Government Healthcare Expenditures
(including national insurance):
Base Scenario]]*Table15364345464[[#This Row],[Smoking-Attributable Fraction (SAF) of Healthcare Expenditures: Lower Bound
Adjusted for Intervention Impacts]]</f>
        <v>60319300.845239773</v>
      </c>
      <c r="AE86" s="66">
        <f>Table15364345464[[#This Row],[Total Government Healthcare Expenditures
(including national insurance):
Base Scenario]]*Table15364345464[[#This Row],[Smoking-Attributable Fraction (SAF) of Healthcare Expenditures: Upper Bound
Adjusted for Intervention Impacts]]</f>
        <v>113645059.5634952</v>
      </c>
      <c r="AF86" s="66">
        <f>Table15364345464[[#This Row],[Total Private (Out-of-Pocket) Healthcare Expenditures:
Base Scenario]]*Table15364345464[[#This Row],[Smoking-Attributable Fraction (SAF) of Healthcare Expenditures:
Adjusted for Intervention Impacts]]</f>
        <v>111914866.43322951</v>
      </c>
      <c r="AG86" s="66">
        <f>Table15364345464[[#This Row],[Total Private (Out-of-Pocket) Healthcare Expenditures:
Base Scenario]]*Table15364345464[[#This Row],[Smoking-Attributable Fraction (SAF) of Healthcare Expenditures: Lower Bound
Adjusted for Intervention Impacts]]</f>
        <v>95334886.220899224</v>
      </c>
      <c r="AH86" s="66">
        <f>Table15364345464[[#This Row],[Total Private (Out-of-Pocket) Healthcare Expenditures:
Base Scenario]]*Table15364345464[[#This Row],[Smoking-Attributable Fraction (SAF) of Healthcare Expenditures: Upper Bound
Adjusted for Intervention Impacts]]</f>
        <v>179616452.30024487</v>
      </c>
      <c r="AI86" s="65">
        <f>Table15364345464[[#This Row],[Total Other Health Expenditures:
Base Scenario]]*Table15364345464[[#This Row],[Smoking-Attributable Fraction (SAF) of Healthcare Expenditures:
Adjusted for Intervention Impacts]]</f>
        <v>12564246.959239904</v>
      </c>
      <c r="AJ86" s="65">
        <f>Table15364345464[[#This Row],[Total Other Health Expenditures:
Base Scenario]]*Table15364345464[[#This Row],[Smoking-Attributable Fraction (SAF) of Healthcare Expenditures: Lower Bound
Adjusted for Intervention Impacts]]</f>
        <v>10702877.039352512</v>
      </c>
      <c r="AK86" s="65">
        <f>Table15364345464[[#This Row],[Total Other Health Expenditures:
Base Scenario]]*Table15364345464[[#This Row],[Smoking-Attributable Fraction (SAF) of Healthcare Expenditures: Upper Bound
Adjusted for Intervention Impacts]]</f>
        <v>20164840.798780091</v>
      </c>
      <c r="AL86" s="76">
        <f>Table15364345464[[#This Row],[Smoking-Attributable Total Healthcare Expenditures:
Base Scenario]]-Table15364345464[[#This Row],[Smoking-Attributable Total Healthcare Expenditures:
Intervention Scenario]]</f>
        <v>8669272.5718143284</v>
      </c>
      <c r="AM86" s="76">
        <f>Table15364345464[[#This Row],[Smoking-Attributable Total Healthcare Expenditures: Lower Bound
Base Scenario]]-Table15364345464[[#This Row],[Smoking-Attributable Total Healthcare Expenditures: Lower Bound
Intervention Scenario]]</f>
        <v>7384935.8945085108</v>
      </c>
      <c r="AN86" s="76">
        <f>Table15364345464[[#This Row],[Smoking-Attributable Total Healthcare Expenditures: Upper Bound
Base Scenario]]-Table15364345464[[#This Row],[Smoking-Attributable Total Healthcare Expenditures: Upper Bound
Intervention Scenario]]</f>
        <v>13913647.33747983</v>
      </c>
      <c r="AO86" s="76">
        <f>Table15364345464[[#This Row],[Smoking-Attributable Government Healthcare Expenditures
(including national insurance):
Base Scenario]]-Table15364345464[[#This Row],[Smoking-Attributable Government Healthcare Expenditures
(including national insurance):
Intervention Scenario]]</f>
        <v>3143385.9642837495</v>
      </c>
      <c r="AP86"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2677699.1547602341</v>
      </c>
      <c r="AQ86"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5044940.4365047961</v>
      </c>
      <c r="AR86" s="76">
        <f>Table15364345464[[#This Row],[Smoking-Attributable Private Healthcare Expenditures:
Base Scenario]]-Table15364345464[[#This Row],[Smoking-Attributable Private Healthcare Expenditures:
Intervention Scenario]]</f>
        <v>4968133.566770494</v>
      </c>
      <c r="AS86" s="76">
        <f>Table15364345464[[#This Row],[Smoking-Attributable Private Healthcare Expenditures: Lower Bound
Base Scenario]]-Table15364345464[[#This Row],[Smoking-Attributable Private Healthcare Expenditures: Lower Bound
Intervention Scenario]]</f>
        <v>4232113.7791007906</v>
      </c>
      <c r="AT86" s="76">
        <f>Table15364345464[[#This Row],[Smoking-Attributable Private Healthcare Expenditures: Upper Bound
Base Scenario]]-Table15364345464[[#This Row],[Smoking-Attributable Private Healthcare Expenditures: Upper Bound
Intervention Scenario]]</f>
        <v>7973547.6997551322</v>
      </c>
      <c r="AU86" s="76">
        <f>Table15364345464[[#This Row],[Smoking-Attributable Other Health Expenditures:
Base Scenario]]-Table15364345464[[#This Row],[Smoking-Attributable Other Health Expenditures:
Intervention Scenario]]</f>
        <v>557753.04076009616</v>
      </c>
      <c r="AV86" s="235">
        <f>Table15364345464[[#This Row],[Smoking-Attributable Other Health Expenditures: Lower Bound
Base Scenario]]-Table15364345464[[#This Row],[Smoking-Attributable Other Health Expenditures: Lower Bound
Intervention Scenario]]</f>
        <v>475122.96064748988</v>
      </c>
      <c r="AW86" s="235">
        <f>Table15364345464[[#This Row],[Smoking-Attributable Other Health Expenditures: Upper Bound
Base Scenario]]-Table15364345464[[#This Row],[Smoking-Attributable Other Health Expenditures: Upper Bound
Intervention Scenario]]</f>
        <v>895159.20121990889</v>
      </c>
    </row>
    <row r="87" spans="2:49">
      <c r="B87" s="47">
        <v>5</v>
      </c>
      <c r="C87" s="48">
        <f t="shared" si="21"/>
        <v>2518000000</v>
      </c>
      <c r="D87" s="48">
        <f t="shared" si="22"/>
        <v>913000000</v>
      </c>
      <c r="E87" s="48">
        <f t="shared" si="23"/>
        <v>1443000000</v>
      </c>
      <c r="F87" s="48">
        <f t="shared" si="24"/>
        <v>162000000</v>
      </c>
      <c r="G87" s="232">
        <f t="shared" si="25"/>
        <v>8.1000000000000003E-2</v>
      </c>
      <c r="H87" s="46">
        <f t="shared" si="29"/>
        <v>6.9000000000000006E-2</v>
      </c>
      <c r="I87" s="46">
        <f t="shared" si="26"/>
        <v>0.13</v>
      </c>
      <c r="J87" s="43">
        <f>Table15364345464[[#This Row],[Total Healthcare Expenditures
(All Categories):
Base Scenario]]*Table15364345464[[#This Row],[Smoking-Attributable Fraction (SAF) of Healthcare Expenditures
Base Scenario]]</f>
        <v>203958000</v>
      </c>
      <c r="K87" s="43">
        <f>Table15364345464[[#This Row],[Total Healthcare Expenditures
(All Categories):
Base Scenario]]*Table15364345464[[#This Row],[Smoking-Attributable Fraction (SAF) of Healthcare Expenditures: Lower Bound
Base Scenario]]</f>
        <v>173742000</v>
      </c>
      <c r="L87" s="43">
        <f>Table15364345464[[#This Row],[Total Healthcare Expenditures
(All Categories):
Base Scenario]]*Table15364345464[[#This Row],[Smoking-Attributable Fraction (SAF) of Healthcare Expenditures: Upper Bound
Base Scenario]]</f>
        <v>327340000</v>
      </c>
      <c r="M87" s="43">
        <f>Table15364345464[[#This Row],[Total Government Healthcare Expenditures
(including national insurance):
Base Scenario]]*Table15364345464[[#This Row],[Smoking-Attributable Fraction (SAF) of Healthcare Expenditures
Base Scenario]]</f>
        <v>73953000</v>
      </c>
      <c r="N87" s="43">
        <f>Table15364345464[[#This Row],[Total Government Healthcare Expenditures
(including national insurance):
Base Scenario]]*Table15364345464[[#This Row],[Smoking-Attributable Fraction (SAF) of Healthcare Expenditures: Lower Bound
Base Scenario]]</f>
        <v>62997000.000000007</v>
      </c>
      <c r="O87" s="43">
        <f>Table15364345464[[#This Row],[Total Government Healthcare Expenditures
(including national insurance):
Base Scenario]]*Table15364345464[[#This Row],[Smoking-Attributable Fraction (SAF) of Healthcare Expenditures: Upper Bound
Base Scenario]]</f>
        <v>118690000</v>
      </c>
      <c r="P87" s="43">
        <f>Table15364345464[[#This Row],[Total Private (Out-of-Pocket) Healthcare Expenditures:
Base Scenario]]*Table15364345464[[#This Row],[Smoking-Attributable Fraction (SAF) of Healthcare Expenditures
Base Scenario]]</f>
        <v>116883000</v>
      </c>
      <c r="Q87" s="43">
        <f>Table15364345464[[#This Row],[Total Private (Out-of-Pocket) Healthcare Expenditures:
Base Scenario]]*Table15364345464[[#This Row],[Smoking-Attributable Fraction (SAF) of Healthcare Expenditures: Lower Bound
Base Scenario]]</f>
        <v>99567000.000000015</v>
      </c>
      <c r="R87" s="43">
        <f>Table15364345464[[#This Row],[Total Private (Out-of-Pocket) Healthcare Expenditures:
Base Scenario]]*Table15364345464[[#This Row],[Smoking-Attributable Fraction (SAF) of Healthcare Expenditures: Upper Bound
Base Scenario]]</f>
        <v>187590000</v>
      </c>
      <c r="S87" s="43">
        <f>Table15364345464[[#This Row],[Total Other Health Expenditures:
Base Scenario]]*Table15364345464[[#This Row],[Smoking-Attributable Fraction (SAF) of Healthcare Expenditures
Base Scenario]]</f>
        <v>13122000</v>
      </c>
      <c r="T87" s="43">
        <f>Table15364345464[[#This Row],[Total Other Health Expenditures:
Base Scenario]]*Table15364345464[[#This Row],[Smoking-Attributable Fraction (SAF) of Healthcare Expenditures: Lower Bound
Base Scenario]]</f>
        <v>11178000.000000002</v>
      </c>
      <c r="U87" s="43">
        <f>Table15364345464[[#This Row],[Total Other Health Expenditures:
Base Scenario]]*Table15364345464[[#This Row],[Smoking-Attributable Fraction (SAF) of Healthcare Expenditures: Upper Bound
Base Scenario]]</f>
        <v>21060000</v>
      </c>
      <c r="V87" s="61">
        <v>-1.0800000000000002E-2</v>
      </c>
      <c r="W87" s="60">
        <f>W86*(1+Table15364345464[[#This Row],[Relative Change in Smoking Prevalence:
Smoke-Free Air Laws]])</f>
        <v>7.6719463531358723E-2</v>
      </c>
      <c r="X87" s="60">
        <f>X86*(1+Table15364345464[[#This Row],[Relative Change in Smoking Prevalence:
Smoke-Free Air Laws]])</f>
        <v>6.5353617082268542E-2</v>
      </c>
      <c r="Y87" s="60">
        <f>Y86*(1+Table15364345464[[#This Row],[Relative Change in Smoking Prevalence:
Smoke-Free Air Laws]])</f>
        <v>0.12313000319847694</v>
      </c>
      <c r="Z87" s="66">
        <f>Table15364345464[[#This Row],[Total Healthcare Expenditures
(All Categories):
Base Scenario]]*Table15364345464[[#This Row],[Smoking-Attributable Fraction (SAF) of Healthcare Expenditures:
Adjusted for Intervention Impacts]]</f>
        <v>193179609.17196128</v>
      </c>
      <c r="AA87" s="64">
        <f>Table15364345464[[#This Row],[Total Healthcare Expenditures
(All Categories):
Base Scenario]]*Table15364345464[[#This Row],[Smoking-Attributable Fraction (SAF) of Healthcare Expenditures: Lower Bound
Adjusted for Intervention Impacts]]</f>
        <v>164560407.81315219</v>
      </c>
      <c r="AB87" s="66">
        <f>Table15364345464[[#This Row],[Total Healthcare Expenditures
(All Categories):
Base Scenario]]*Table15364345464[[#This Row],[Smoking-Attributable Fraction (SAF) of Healthcare Expenditures: Upper Bound
Adjusted for Intervention Impacts]]</f>
        <v>310041348.05376494</v>
      </c>
      <c r="AC87" s="66">
        <f>Table15364345464[[#This Row],[Total Government Healthcare Expenditures
(including national insurance):
Base Scenario]]*Table15364345464[[#This Row],[Smoking-Attributable Fraction (SAF) of Healthcare Expenditures:
Adjusted for Intervention Impacts]]</f>
        <v>70044870.204130515</v>
      </c>
      <c r="AD87" s="66">
        <f>Table15364345464[[#This Row],[Total Government Healthcare Expenditures
(including national insurance):
Base Scenario]]*Table15364345464[[#This Row],[Smoking-Attributable Fraction (SAF) of Healthcare Expenditures: Lower Bound
Adjusted for Intervention Impacts]]</f>
        <v>59667852.396111175</v>
      </c>
      <c r="AE87" s="66">
        <f>Table15364345464[[#This Row],[Total Government Healthcare Expenditures
(including national insurance):
Base Scenario]]*Table15364345464[[#This Row],[Smoking-Attributable Fraction (SAF) of Healthcare Expenditures: Upper Bound
Adjusted for Intervention Impacts]]</f>
        <v>112417692.92020945</v>
      </c>
      <c r="AF87" s="66">
        <f>Table15364345464[[#This Row],[Total Private (Out-of-Pocket) Healthcare Expenditures:
Base Scenario]]*Table15364345464[[#This Row],[Smoking-Attributable Fraction (SAF) of Healthcare Expenditures:
Adjusted for Intervention Impacts]]</f>
        <v>110706185.87575063</v>
      </c>
      <c r="AG87" s="66">
        <f>Table15364345464[[#This Row],[Total Private (Out-of-Pocket) Healthcare Expenditures:
Base Scenario]]*Table15364345464[[#This Row],[Smoking-Attributable Fraction (SAF) of Healthcare Expenditures: Lower Bound
Adjusted for Intervention Impacts]]</f>
        <v>94305269.449713513</v>
      </c>
      <c r="AH87" s="66">
        <f>Table15364345464[[#This Row],[Total Private (Out-of-Pocket) Healthcare Expenditures:
Base Scenario]]*Table15364345464[[#This Row],[Smoking-Attributable Fraction (SAF) of Healthcare Expenditures: Upper Bound
Adjusted for Intervention Impacts]]</f>
        <v>177676594.61540222</v>
      </c>
      <c r="AI87" s="65">
        <f>Table15364345464[[#This Row],[Total Other Health Expenditures:
Base Scenario]]*Table15364345464[[#This Row],[Smoking-Attributable Fraction (SAF) of Healthcare Expenditures:
Adjusted for Intervention Impacts]]</f>
        <v>12428553.092080113</v>
      </c>
      <c r="AJ87" s="65">
        <f>Table15364345464[[#This Row],[Total Other Health Expenditures:
Base Scenario]]*Table15364345464[[#This Row],[Smoking-Attributable Fraction (SAF) of Healthcare Expenditures: Lower Bound
Adjusted for Intervention Impacts]]</f>
        <v>10587285.967327503</v>
      </c>
      <c r="AK87" s="65">
        <f>Table15364345464[[#This Row],[Total Other Health Expenditures:
Base Scenario]]*Table15364345464[[#This Row],[Smoking-Attributable Fraction (SAF) of Healthcare Expenditures: Upper Bound
Adjusted for Intervention Impacts]]</f>
        <v>19947060.518153265</v>
      </c>
      <c r="AL87" s="76">
        <f>Table15364345464[[#This Row],[Smoking-Attributable Total Healthcare Expenditures:
Base Scenario]]-Table15364345464[[#This Row],[Smoking-Attributable Total Healthcare Expenditures:
Intervention Scenario]]</f>
        <v>10778390.828038722</v>
      </c>
      <c r="AM87" s="76">
        <f>Table15364345464[[#This Row],[Smoking-Attributable Total Healthcare Expenditures: Lower Bound
Base Scenario]]-Table15364345464[[#This Row],[Smoking-Attributable Total Healthcare Expenditures: Lower Bound
Intervention Scenario]]</f>
        <v>9181592.186847806</v>
      </c>
      <c r="AN87" s="76">
        <f>Table15364345464[[#This Row],[Smoking-Attributable Total Healthcare Expenditures: Upper Bound
Base Scenario]]-Table15364345464[[#This Row],[Smoking-Attributable Total Healthcare Expenditures: Upper Bound
Intervention Scenario]]</f>
        <v>17298651.946235061</v>
      </c>
      <c r="AO87" s="76">
        <f>Table15364345464[[#This Row],[Smoking-Attributable Government Healthcare Expenditures
(including national insurance):
Base Scenario]]-Table15364345464[[#This Row],[Smoking-Attributable Government Healthcare Expenditures
(including national insurance):
Intervention Scenario]]</f>
        <v>3908129.7958694845</v>
      </c>
      <c r="AP87"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3329147.603888832</v>
      </c>
      <c r="AQ87"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6272307.0797905475</v>
      </c>
      <c r="AR87" s="76">
        <f>Table15364345464[[#This Row],[Smoking-Attributable Private Healthcare Expenditures:
Base Scenario]]-Table15364345464[[#This Row],[Smoking-Attributable Private Healthcare Expenditures:
Intervention Scenario]]</f>
        <v>6176814.1242493689</v>
      </c>
      <c r="AS87" s="76">
        <f>Table15364345464[[#This Row],[Smoking-Attributable Private Healthcare Expenditures: Lower Bound
Base Scenario]]-Table15364345464[[#This Row],[Smoking-Attributable Private Healthcare Expenditures: Lower Bound
Intervention Scenario]]</f>
        <v>5261730.5502865016</v>
      </c>
      <c r="AT87" s="76">
        <f>Table15364345464[[#This Row],[Smoking-Attributable Private Healthcare Expenditures: Upper Bound
Base Scenario]]-Table15364345464[[#This Row],[Smoking-Attributable Private Healthcare Expenditures: Upper Bound
Intervention Scenario]]</f>
        <v>9913405.3845977783</v>
      </c>
      <c r="AU87" s="76">
        <f>Table15364345464[[#This Row],[Smoking-Attributable Other Health Expenditures:
Base Scenario]]-Table15364345464[[#This Row],[Smoking-Attributable Other Health Expenditures:
Intervention Scenario]]</f>
        <v>693446.90791988745</v>
      </c>
      <c r="AV87" s="235">
        <f>Table15364345464[[#This Row],[Smoking-Attributable Other Health Expenditures: Lower Bound
Base Scenario]]-Table15364345464[[#This Row],[Smoking-Attributable Other Health Expenditures: Lower Bound
Intervention Scenario]]</f>
        <v>590714.03267249838</v>
      </c>
      <c r="AW87" s="235">
        <f>Table15364345464[[#This Row],[Smoking-Attributable Other Health Expenditures: Upper Bound
Base Scenario]]-Table15364345464[[#This Row],[Smoking-Attributable Other Health Expenditures: Upper Bound
Intervention Scenario]]</f>
        <v>1112939.4818467349</v>
      </c>
    </row>
    <row r="88" spans="2:49">
      <c r="B88" s="47">
        <v>6</v>
      </c>
      <c r="C88" s="48">
        <f t="shared" si="21"/>
        <v>2518000000</v>
      </c>
      <c r="D88" s="48">
        <f t="shared" si="22"/>
        <v>913000000</v>
      </c>
      <c r="E88" s="48">
        <f t="shared" si="23"/>
        <v>1443000000</v>
      </c>
      <c r="F88" s="48">
        <f t="shared" si="24"/>
        <v>162000000</v>
      </c>
      <c r="G88" s="232">
        <f t="shared" si="25"/>
        <v>8.1000000000000003E-2</v>
      </c>
      <c r="H88" s="46">
        <f t="shared" si="29"/>
        <v>6.9000000000000006E-2</v>
      </c>
      <c r="I88" s="46">
        <f t="shared" si="26"/>
        <v>0.13</v>
      </c>
      <c r="J88" s="43">
        <f>Table15364345464[[#This Row],[Total Healthcare Expenditures
(All Categories):
Base Scenario]]*Table15364345464[[#This Row],[Smoking-Attributable Fraction (SAF) of Healthcare Expenditures
Base Scenario]]</f>
        <v>203958000</v>
      </c>
      <c r="K88" s="43">
        <f>Table15364345464[[#This Row],[Total Healthcare Expenditures
(All Categories):
Base Scenario]]*Table15364345464[[#This Row],[Smoking-Attributable Fraction (SAF) of Healthcare Expenditures: Lower Bound
Base Scenario]]</f>
        <v>173742000</v>
      </c>
      <c r="L88" s="43">
        <f>Table15364345464[[#This Row],[Total Healthcare Expenditures
(All Categories):
Base Scenario]]*Table15364345464[[#This Row],[Smoking-Attributable Fraction (SAF) of Healthcare Expenditures: Upper Bound
Base Scenario]]</f>
        <v>327340000</v>
      </c>
      <c r="M88" s="43">
        <f>Table15364345464[[#This Row],[Total Government Healthcare Expenditures
(including national insurance):
Base Scenario]]*Table15364345464[[#This Row],[Smoking-Attributable Fraction (SAF) of Healthcare Expenditures
Base Scenario]]</f>
        <v>73953000</v>
      </c>
      <c r="N88" s="43">
        <f>Table15364345464[[#This Row],[Total Government Healthcare Expenditures
(including national insurance):
Base Scenario]]*Table15364345464[[#This Row],[Smoking-Attributable Fraction (SAF) of Healthcare Expenditures: Lower Bound
Base Scenario]]</f>
        <v>62997000.000000007</v>
      </c>
      <c r="O88" s="43">
        <f>Table15364345464[[#This Row],[Total Government Healthcare Expenditures
(including national insurance):
Base Scenario]]*Table15364345464[[#This Row],[Smoking-Attributable Fraction (SAF) of Healthcare Expenditures: Upper Bound
Base Scenario]]</f>
        <v>118690000</v>
      </c>
      <c r="P88" s="43">
        <f>Table15364345464[[#This Row],[Total Private (Out-of-Pocket) Healthcare Expenditures:
Base Scenario]]*Table15364345464[[#This Row],[Smoking-Attributable Fraction (SAF) of Healthcare Expenditures
Base Scenario]]</f>
        <v>116883000</v>
      </c>
      <c r="Q88" s="43">
        <f>Table15364345464[[#This Row],[Total Private (Out-of-Pocket) Healthcare Expenditures:
Base Scenario]]*Table15364345464[[#This Row],[Smoking-Attributable Fraction (SAF) of Healthcare Expenditures: Lower Bound
Base Scenario]]</f>
        <v>99567000.000000015</v>
      </c>
      <c r="R88" s="43">
        <f>Table15364345464[[#This Row],[Total Private (Out-of-Pocket) Healthcare Expenditures:
Base Scenario]]*Table15364345464[[#This Row],[Smoking-Attributable Fraction (SAF) of Healthcare Expenditures: Upper Bound
Base Scenario]]</f>
        <v>187590000</v>
      </c>
      <c r="S88" s="43">
        <f>Table15364345464[[#This Row],[Total Other Health Expenditures:
Base Scenario]]*Table15364345464[[#This Row],[Smoking-Attributable Fraction (SAF) of Healthcare Expenditures
Base Scenario]]</f>
        <v>13122000</v>
      </c>
      <c r="T88" s="43">
        <f>Table15364345464[[#This Row],[Total Other Health Expenditures:
Base Scenario]]*Table15364345464[[#This Row],[Smoking-Attributable Fraction (SAF) of Healthcare Expenditures: Lower Bound
Base Scenario]]</f>
        <v>11178000.000000002</v>
      </c>
      <c r="U88" s="43">
        <f>Table15364345464[[#This Row],[Total Other Health Expenditures:
Base Scenario]]*Table15364345464[[#This Row],[Smoking-Attributable Fraction (SAF) of Healthcare Expenditures: Upper Bound
Base Scenario]]</f>
        <v>21060000</v>
      </c>
      <c r="V88" s="62">
        <v>-8.0000000000000026E-4</v>
      </c>
      <c r="W88" s="60">
        <f>W87*(1+Table15364345464[[#This Row],[Relative Change in Smoking Prevalence:
Smoke-Free Air Laws]])</f>
        <v>7.6658087960533638E-2</v>
      </c>
      <c r="X88" s="60">
        <f>X87*(1+Table15364345464[[#This Row],[Relative Change in Smoking Prevalence:
Smoke-Free Air Laws]])</f>
        <v>6.5301334188602719E-2</v>
      </c>
      <c r="Y88" s="60">
        <f>Y87*(1+Table15364345464[[#This Row],[Relative Change in Smoking Prevalence:
Smoke-Free Air Laws]])</f>
        <v>0.12303149919591816</v>
      </c>
      <c r="Z88" s="66">
        <f>Table15364345464[[#This Row],[Total Healthcare Expenditures
(All Categories):
Base Scenario]]*Table15364345464[[#This Row],[Smoking-Attributable Fraction (SAF) of Healthcare Expenditures:
Adjusted for Intervention Impacts]]</f>
        <v>193025065.4846237</v>
      </c>
      <c r="AA88" s="64">
        <f>Table15364345464[[#This Row],[Total Healthcare Expenditures
(All Categories):
Base Scenario]]*Table15364345464[[#This Row],[Smoking-Attributable Fraction (SAF) of Healthcare Expenditures: Lower Bound
Adjusted for Intervention Impacts]]</f>
        <v>164428759.48690164</v>
      </c>
      <c r="AB88" s="66">
        <f>Table15364345464[[#This Row],[Total Healthcare Expenditures
(All Categories):
Base Scenario]]*Table15364345464[[#This Row],[Smoking-Attributable Fraction (SAF) of Healthcare Expenditures: Upper Bound
Adjusted for Intervention Impacts]]</f>
        <v>309793314.97532195</v>
      </c>
      <c r="AC88" s="66">
        <f>Table15364345464[[#This Row],[Total Government Healthcare Expenditures
(including national insurance):
Base Scenario]]*Table15364345464[[#This Row],[Smoking-Attributable Fraction (SAF) of Healthcare Expenditures:
Adjusted for Intervention Impacts]]</f>
        <v>69988834.307967216</v>
      </c>
      <c r="AD88" s="66">
        <f>Table15364345464[[#This Row],[Total Government Healthcare Expenditures
(including national insurance):
Base Scenario]]*Table15364345464[[#This Row],[Smoking-Attributable Fraction (SAF) of Healthcare Expenditures: Lower Bound
Adjusted for Intervention Impacts]]</f>
        <v>59620118.114194281</v>
      </c>
      <c r="AE88" s="66">
        <f>Table15364345464[[#This Row],[Total Government Healthcare Expenditures
(including national insurance):
Base Scenario]]*Table15364345464[[#This Row],[Smoking-Attributable Fraction (SAF) of Healthcare Expenditures: Upper Bound
Adjusted for Intervention Impacts]]</f>
        <v>112327758.76587328</v>
      </c>
      <c r="AF88" s="66">
        <f>Table15364345464[[#This Row],[Total Private (Out-of-Pocket) Healthcare Expenditures:
Base Scenario]]*Table15364345464[[#This Row],[Smoking-Attributable Fraction (SAF) of Healthcare Expenditures:
Adjusted for Intervention Impacts]]</f>
        <v>110617620.92705004</v>
      </c>
      <c r="AG88" s="66">
        <f>Table15364345464[[#This Row],[Total Private (Out-of-Pocket) Healthcare Expenditures:
Base Scenario]]*Table15364345464[[#This Row],[Smoking-Attributable Fraction (SAF) of Healthcare Expenditures: Lower Bound
Adjusted for Intervention Impacts]]</f>
        <v>94229825.234153718</v>
      </c>
      <c r="AH88" s="66">
        <f>Table15364345464[[#This Row],[Total Private (Out-of-Pocket) Healthcare Expenditures:
Base Scenario]]*Table15364345464[[#This Row],[Smoking-Attributable Fraction (SAF) of Healthcare Expenditures: Upper Bound
Adjusted for Intervention Impacts]]</f>
        <v>177534453.33970991</v>
      </c>
      <c r="AI88" s="65">
        <f>Table15364345464[[#This Row],[Total Other Health Expenditures:
Base Scenario]]*Table15364345464[[#This Row],[Smoking-Attributable Fraction (SAF) of Healthcare Expenditures:
Adjusted for Intervention Impacts]]</f>
        <v>12418610.249606449</v>
      </c>
      <c r="AJ88" s="65">
        <f>Table15364345464[[#This Row],[Total Other Health Expenditures:
Base Scenario]]*Table15364345464[[#This Row],[Smoking-Attributable Fraction (SAF) of Healthcare Expenditures: Lower Bound
Adjusted for Intervention Impacts]]</f>
        <v>10578816.13855364</v>
      </c>
      <c r="AK88" s="65">
        <f>Table15364345464[[#This Row],[Total Other Health Expenditures:
Base Scenario]]*Table15364345464[[#This Row],[Smoking-Attributable Fraction (SAF) of Healthcare Expenditures: Upper Bound
Adjusted for Intervention Impacts]]</f>
        <v>19931102.869738743</v>
      </c>
      <c r="AL88" s="76">
        <f>Table15364345464[[#This Row],[Smoking-Attributable Total Healthcare Expenditures:
Base Scenario]]-Table15364345464[[#This Row],[Smoking-Attributable Total Healthcare Expenditures:
Intervention Scenario]]</f>
        <v>10932934.5153763</v>
      </c>
      <c r="AM88" s="76">
        <f>Table15364345464[[#This Row],[Smoking-Attributable Total Healthcare Expenditures: Lower Bound
Base Scenario]]-Table15364345464[[#This Row],[Smoking-Attributable Total Healthcare Expenditures: Lower Bound
Intervention Scenario]]</f>
        <v>9313240.5130983591</v>
      </c>
      <c r="AN88" s="76">
        <f>Table15364345464[[#This Row],[Smoking-Attributable Total Healthcare Expenditures: Upper Bound
Base Scenario]]-Table15364345464[[#This Row],[Smoking-Attributable Total Healthcare Expenditures: Upper Bound
Intervention Scenario]]</f>
        <v>17546685.024678051</v>
      </c>
      <c r="AO88" s="76">
        <f>Table15364345464[[#This Row],[Smoking-Attributable Government Healthcare Expenditures
(including national insurance):
Base Scenario]]-Table15364345464[[#This Row],[Smoking-Attributable Government Healthcare Expenditures
(including national insurance):
Intervention Scenario]]</f>
        <v>3964165.6920327842</v>
      </c>
      <c r="AP88"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3376881.8858057261</v>
      </c>
      <c r="AQ88"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6362241.2341267169</v>
      </c>
      <c r="AR88" s="76">
        <f>Table15364345464[[#This Row],[Smoking-Attributable Private Healthcare Expenditures:
Base Scenario]]-Table15364345464[[#This Row],[Smoking-Attributable Private Healthcare Expenditures:
Intervention Scenario]]</f>
        <v>6265379.0729499608</v>
      </c>
      <c r="AS88" s="76">
        <f>Table15364345464[[#This Row],[Smoking-Attributable Private Healthcare Expenditures: Lower Bound
Base Scenario]]-Table15364345464[[#This Row],[Smoking-Attributable Private Healthcare Expenditures: Lower Bound
Intervention Scenario]]</f>
        <v>5337174.7658462971</v>
      </c>
      <c r="AT88" s="76">
        <f>Table15364345464[[#This Row],[Smoking-Attributable Private Healthcare Expenditures: Upper Bound
Base Scenario]]-Table15364345464[[#This Row],[Smoking-Attributable Private Healthcare Expenditures: Upper Bound
Intervention Scenario]]</f>
        <v>10055546.660290092</v>
      </c>
      <c r="AU88" s="76">
        <f>Table15364345464[[#This Row],[Smoking-Attributable Other Health Expenditures:
Base Scenario]]-Table15364345464[[#This Row],[Smoking-Attributable Other Health Expenditures:
Intervention Scenario]]</f>
        <v>703389.75039355084</v>
      </c>
      <c r="AV88" s="235">
        <f>Table15364345464[[#This Row],[Smoking-Attributable Other Health Expenditures: Lower Bound
Base Scenario]]-Table15364345464[[#This Row],[Smoking-Attributable Other Health Expenditures: Lower Bound
Intervention Scenario]]</f>
        <v>599183.86144636199</v>
      </c>
      <c r="AW88" s="235">
        <f>Table15364345464[[#This Row],[Smoking-Attributable Other Health Expenditures: Upper Bound
Base Scenario]]-Table15364345464[[#This Row],[Smoking-Attributable Other Health Expenditures: Upper Bound
Intervention Scenario]]</f>
        <v>1128897.1302612573</v>
      </c>
    </row>
    <row r="89" spans="2:49">
      <c r="B89" s="47">
        <v>7</v>
      </c>
      <c r="C89" s="48">
        <f t="shared" si="21"/>
        <v>2518000000</v>
      </c>
      <c r="D89" s="48">
        <f t="shared" si="22"/>
        <v>913000000</v>
      </c>
      <c r="E89" s="48">
        <f t="shared" si="23"/>
        <v>1443000000</v>
      </c>
      <c r="F89" s="48">
        <f t="shared" si="24"/>
        <v>162000000</v>
      </c>
      <c r="G89" s="232">
        <f t="shared" si="25"/>
        <v>8.1000000000000003E-2</v>
      </c>
      <c r="H89" s="46">
        <f t="shared" si="29"/>
        <v>6.9000000000000006E-2</v>
      </c>
      <c r="I89" s="46">
        <f t="shared" si="26"/>
        <v>0.13</v>
      </c>
      <c r="J89" s="43">
        <f>Table15364345464[[#This Row],[Total Healthcare Expenditures
(All Categories):
Base Scenario]]*Table15364345464[[#This Row],[Smoking-Attributable Fraction (SAF) of Healthcare Expenditures
Base Scenario]]</f>
        <v>203958000</v>
      </c>
      <c r="K89" s="43">
        <f>Table15364345464[[#This Row],[Total Healthcare Expenditures
(All Categories):
Base Scenario]]*Table15364345464[[#This Row],[Smoking-Attributable Fraction (SAF) of Healthcare Expenditures: Lower Bound
Base Scenario]]</f>
        <v>173742000</v>
      </c>
      <c r="L89" s="43">
        <f>Table15364345464[[#This Row],[Total Healthcare Expenditures
(All Categories):
Base Scenario]]*Table15364345464[[#This Row],[Smoking-Attributable Fraction (SAF) of Healthcare Expenditures: Upper Bound
Base Scenario]]</f>
        <v>327340000</v>
      </c>
      <c r="M89" s="43">
        <f>Table15364345464[[#This Row],[Total Government Healthcare Expenditures
(including national insurance):
Base Scenario]]*Table15364345464[[#This Row],[Smoking-Attributable Fraction (SAF) of Healthcare Expenditures
Base Scenario]]</f>
        <v>73953000</v>
      </c>
      <c r="N89" s="43">
        <f>Table15364345464[[#This Row],[Total Government Healthcare Expenditures
(including national insurance):
Base Scenario]]*Table15364345464[[#This Row],[Smoking-Attributable Fraction (SAF) of Healthcare Expenditures: Lower Bound
Base Scenario]]</f>
        <v>62997000.000000007</v>
      </c>
      <c r="O89" s="43">
        <f>Table15364345464[[#This Row],[Total Government Healthcare Expenditures
(including national insurance):
Base Scenario]]*Table15364345464[[#This Row],[Smoking-Attributable Fraction (SAF) of Healthcare Expenditures: Upper Bound
Base Scenario]]</f>
        <v>118690000</v>
      </c>
      <c r="P89" s="43">
        <f>Table15364345464[[#This Row],[Total Private (Out-of-Pocket) Healthcare Expenditures:
Base Scenario]]*Table15364345464[[#This Row],[Smoking-Attributable Fraction (SAF) of Healthcare Expenditures
Base Scenario]]</f>
        <v>116883000</v>
      </c>
      <c r="Q89" s="43">
        <f>Table15364345464[[#This Row],[Total Private (Out-of-Pocket) Healthcare Expenditures:
Base Scenario]]*Table15364345464[[#This Row],[Smoking-Attributable Fraction (SAF) of Healthcare Expenditures: Lower Bound
Base Scenario]]</f>
        <v>99567000.000000015</v>
      </c>
      <c r="R89" s="43">
        <f>Table15364345464[[#This Row],[Total Private (Out-of-Pocket) Healthcare Expenditures:
Base Scenario]]*Table15364345464[[#This Row],[Smoking-Attributable Fraction (SAF) of Healthcare Expenditures: Upper Bound
Base Scenario]]</f>
        <v>187590000</v>
      </c>
      <c r="S89" s="43">
        <f>Table15364345464[[#This Row],[Total Other Health Expenditures:
Base Scenario]]*Table15364345464[[#This Row],[Smoking-Attributable Fraction (SAF) of Healthcare Expenditures
Base Scenario]]</f>
        <v>13122000</v>
      </c>
      <c r="T89" s="43">
        <f>Table15364345464[[#This Row],[Total Other Health Expenditures:
Base Scenario]]*Table15364345464[[#This Row],[Smoking-Attributable Fraction (SAF) of Healthcare Expenditures: Lower Bound
Base Scenario]]</f>
        <v>11178000.000000002</v>
      </c>
      <c r="U89" s="43">
        <f>Table15364345464[[#This Row],[Total Other Health Expenditures:
Base Scenario]]*Table15364345464[[#This Row],[Smoking-Attributable Fraction (SAF) of Healthcare Expenditures: Upper Bound
Base Scenario]]</f>
        <v>21060000</v>
      </c>
      <c r="V89" s="62">
        <v>-8.0000000000000026E-4</v>
      </c>
      <c r="W89" s="60">
        <f>W88*(1+Table15364345464[[#This Row],[Relative Change in Smoking Prevalence:
Smoke-Free Air Laws]])</f>
        <v>7.6596761490165213E-2</v>
      </c>
      <c r="X89" s="60">
        <f>X88*(1+Table15364345464[[#This Row],[Relative Change in Smoking Prevalence:
Smoke-Free Air Laws]])</f>
        <v>6.5249093121251836E-2</v>
      </c>
      <c r="Y89" s="60">
        <f>Y88*(1+Table15364345464[[#This Row],[Relative Change in Smoking Prevalence:
Smoke-Free Air Laws]])</f>
        <v>0.12293307399656142</v>
      </c>
      <c r="Z89" s="66">
        <f>Table15364345464[[#This Row],[Total Healthcare Expenditures
(All Categories):
Base Scenario]]*Table15364345464[[#This Row],[Smoking-Attributable Fraction (SAF) of Healthcare Expenditures:
Adjusted for Intervention Impacts]]</f>
        <v>192870645.43223602</v>
      </c>
      <c r="AA89" s="64">
        <f>Table15364345464[[#This Row],[Total Healthcare Expenditures
(All Categories):
Base Scenario]]*Table15364345464[[#This Row],[Smoking-Attributable Fraction (SAF) of Healthcare Expenditures: Lower Bound
Adjusted for Intervention Impacts]]</f>
        <v>164297216.47931212</v>
      </c>
      <c r="AB89" s="66">
        <f>Table15364345464[[#This Row],[Total Healthcare Expenditures
(All Categories):
Base Scenario]]*Table15364345464[[#This Row],[Smoking-Attributable Fraction (SAF) of Healthcare Expenditures: Upper Bound
Adjusted for Intervention Impacts]]</f>
        <v>309545480.32334167</v>
      </c>
      <c r="AC89" s="66">
        <f>Table15364345464[[#This Row],[Total Government Healthcare Expenditures
(including national insurance):
Base Scenario]]*Table15364345464[[#This Row],[Smoking-Attributable Fraction (SAF) of Healthcare Expenditures:
Adjusted for Intervention Impacts]]</f>
        <v>69932843.240520835</v>
      </c>
      <c r="AD89" s="66">
        <f>Table15364345464[[#This Row],[Total Government Healthcare Expenditures
(including national insurance):
Base Scenario]]*Table15364345464[[#This Row],[Smoking-Attributable Fraction (SAF) of Healthcare Expenditures: Lower Bound
Adjusted for Intervention Impacts]]</f>
        <v>59572422.019702926</v>
      </c>
      <c r="AE89" s="66">
        <f>Table15364345464[[#This Row],[Total Government Healthcare Expenditures
(including national insurance):
Base Scenario]]*Table15364345464[[#This Row],[Smoking-Attributable Fraction (SAF) of Healthcare Expenditures: Upper Bound
Adjusted for Intervention Impacts]]</f>
        <v>112237896.55886057</v>
      </c>
      <c r="AF89" s="66">
        <f>Table15364345464[[#This Row],[Total Private (Out-of-Pocket) Healthcare Expenditures:
Base Scenario]]*Table15364345464[[#This Row],[Smoking-Attributable Fraction (SAF) of Healthcare Expenditures:
Adjusted for Intervention Impacts]]</f>
        <v>110529126.83030841</v>
      </c>
      <c r="AG89" s="66">
        <f>Table15364345464[[#This Row],[Total Private (Out-of-Pocket) Healthcare Expenditures:
Base Scenario]]*Table15364345464[[#This Row],[Smoking-Attributable Fraction (SAF) of Healthcare Expenditures: Lower Bound
Adjusted for Intervention Impacts]]</f>
        <v>94154441.373966396</v>
      </c>
      <c r="AH89" s="66">
        <f>Table15364345464[[#This Row],[Total Private (Out-of-Pocket) Healthcare Expenditures:
Base Scenario]]*Table15364345464[[#This Row],[Smoking-Attributable Fraction (SAF) of Healthcare Expenditures: Upper Bound
Adjusted for Intervention Impacts]]</f>
        <v>177392425.77703813</v>
      </c>
      <c r="AI89" s="65">
        <f>Table15364345464[[#This Row],[Total Other Health Expenditures:
Base Scenario]]*Table15364345464[[#This Row],[Smoking-Attributable Fraction (SAF) of Healthcare Expenditures:
Adjusted for Intervention Impacts]]</f>
        <v>12408675.361406764</v>
      </c>
      <c r="AJ89" s="65">
        <f>Table15364345464[[#This Row],[Total Other Health Expenditures:
Base Scenario]]*Table15364345464[[#This Row],[Smoking-Attributable Fraction (SAF) of Healthcare Expenditures: Lower Bound
Adjusted for Intervention Impacts]]</f>
        <v>10570353.085642798</v>
      </c>
      <c r="AK89" s="65">
        <f>Table15364345464[[#This Row],[Total Other Health Expenditures:
Base Scenario]]*Table15364345464[[#This Row],[Smoking-Attributable Fraction (SAF) of Healthcare Expenditures: Upper Bound
Adjusted for Intervention Impacts]]</f>
        <v>19915157.987442952</v>
      </c>
      <c r="AL89" s="76">
        <f>Table15364345464[[#This Row],[Smoking-Attributable Total Healthcare Expenditures:
Base Scenario]]-Table15364345464[[#This Row],[Smoking-Attributable Total Healthcare Expenditures:
Intervention Scenario]]</f>
        <v>11087354.567763984</v>
      </c>
      <c r="AM89" s="76">
        <f>Table15364345464[[#This Row],[Smoking-Attributable Total Healthcare Expenditures: Lower Bound
Base Scenario]]-Table15364345464[[#This Row],[Smoking-Attributable Total Healthcare Expenditures: Lower Bound
Intervention Scenario]]</f>
        <v>9444783.5206878781</v>
      </c>
      <c r="AN89" s="76">
        <f>Table15364345464[[#This Row],[Smoking-Attributable Total Healthcare Expenditures: Upper Bound
Base Scenario]]-Table15364345464[[#This Row],[Smoking-Attributable Total Healthcare Expenditures: Upper Bound
Intervention Scenario]]</f>
        <v>17794519.676658332</v>
      </c>
      <c r="AO89" s="76">
        <f>Table15364345464[[#This Row],[Smoking-Attributable Government Healthcare Expenditures
(including national insurance):
Base Scenario]]-Table15364345464[[#This Row],[Smoking-Attributable Government Healthcare Expenditures
(including national insurance):
Intervention Scenario]]</f>
        <v>4020156.7594791651</v>
      </c>
      <c r="AP89"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3424577.9802970812</v>
      </c>
      <c r="AQ89"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6452103.4411394298</v>
      </c>
      <c r="AR89" s="76">
        <f>Table15364345464[[#This Row],[Smoking-Attributable Private Healthcare Expenditures:
Base Scenario]]-Table15364345464[[#This Row],[Smoking-Attributable Private Healthcare Expenditures:
Intervention Scenario]]</f>
        <v>6353873.1696915925</v>
      </c>
      <c r="AS89" s="76">
        <f>Table15364345464[[#This Row],[Smoking-Attributable Private Healthcare Expenditures: Lower Bound
Base Scenario]]-Table15364345464[[#This Row],[Smoking-Attributable Private Healthcare Expenditures: Lower Bound
Intervention Scenario]]</f>
        <v>5412558.626033619</v>
      </c>
      <c r="AT89" s="76">
        <f>Table15364345464[[#This Row],[Smoking-Attributable Private Healthcare Expenditures: Upper Bound
Base Scenario]]-Table15364345464[[#This Row],[Smoking-Attributable Private Healthcare Expenditures: Upper Bound
Intervention Scenario]]</f>
        <v>10197574.222961873</v>
      </c>
      <c r="AU89" s="76">
        <f>Table15364345464[[#This Row],[Smoking-Attributable Other Health Expenditures:
Base Scenario]]-Table15364345464[[#This Row],[Smoking-Attributable Other Health Expenditures:
Intervention Scenario]]</f>
        <v>713324.63859323598</v>
      </c>
      <c r="AV89" s="235">
        <f>Table15364345464[[#This Row],[Smoking-Attributable Other Health Expenditures: Lower Bound
Base Scenario]]-Table15364345464[[#This Row],[Smoking-Attributable Other Health Expenditures: Lower Bound
Intervention Scenario]]</f>
        <v>607646.91435720399</v>
      </c>
      <c r="AW89" s="235">
        <f>Table15364345464[[#This Row],[Smoking-Attributable Other Health Expenditures: Upper Bound
Base Scenario]]-Table15364345464[[#This Row],[Smoking-Attributable Other Health Expenditures: Upper Bound
Intervention Scenario]]</f>
        <v>1144842.0125570484</v>
      </c>
    </row>
    <row r="90" spans="2:49">
      <c r="B90" s="47">
        <v>8</v>
      </c>
      <c r="C90" s="48">
        <f t="shared" si="21"/>
        <v>2518000000</v>
      </c>
      <c r="D90" s="48">
        <f t="shared" si="22"/>
        <v>913000000</v>
      </c>
      <c r="E90" s="48">
        <f t="shared" si="23"/>
        <v>1443000000</v>
      </c>
      <c r="F90" s="48">
        <f t="shared" si="24"/>
        <v>162000000</v>
      </c>
      <c r="G90" s="232">
        <f t="shared" si="25"/>
        <v>8.1000000000000003E-2</v>
      </c>
      <c r="H90" s="46">
        <f t="shared" si="29"/>
        <v>6.9000000000000006E-2</v>
      </c>
      <c r="I90" s="46">
        <f t="shared" si="26"/>
        <v>0.13</v>
      </c>
      <c r="J90" s="43">
        <f>Table15364345464[[#This Row],[Total Healthcare Expenditures
(All Categories):
Base Scenario]]*Table15364345464[[#This Row],[Smoking-Attributable Fraction (SAF) of Healthcare Expenditures
Base Scenario]]</f>
        <v>203958000</v>
      </c>
      <c r="K90" s="43">
        <f>Table15364345464[[#This Row],[Total Healthcare Expenditures
(All Categories):
Base Scenario]]*Table15364345464[[#This Row],[Smoking-Attributable Fraction (SAF) of Healthcare Expenditures: Lower Bound
Base Scenario]]</f>
        <v>173742000</v>
      </c>
      <c r="L90" s="43">
        <f>Table15364345464[[#This Row],[Total Healthcare Expenditures
(All Categories):
Base Scenario]]*Table15364345464[[#This Row],[Smoking-Attributable Fraction (SAF) of Healthcare Expenditures: Upper Bound
Base Scenario]]</f>
        <v>327340000</v>
      </c>
      <c r="M90" s="43">
        <f>Table15364345464[[#This Row],[Total Government Healthcare Expenditures
(including national insurance):
Base Scenario]]*Table15364345464[[#This Row],[Smoking-Attributable Fraction (SAF) of Healthcare Expenditures
Base Scenario]]</f>
        <v>73953000</v>
      </c>
      <c r="N90" s="43">
        <f>Table15364345464[[#This Row],[Total Government Healthcare Expenditures
(including national insurance):
Base Scenario]]*Table15364345464[[#This Row],[Smoking-Attributable Fraction (SAF) of Healthcare Expenditures: Lower Bound
Base Scenario]]</f>
        <v>62997000.000000007</v>
      </c>
      <c r="O90" s="43">
        <f>Table15364345464[[#This Row],[Total Government Healthcare Expenditures
(including national insurance):
Base Scenario]]*Table15364345464[[#This Row],[Smoking-Attributable Fraction (SAF) of Healthcare Expenditures: Upper Bound
Base Scenario]]</f>
        <v>118690000</v>
      </c>
      <c r="P90" s="43">
        <f>Table15364345464[[#This Row],[Total Private (Out-of-Pocket) Healthcare Expenditures:
Base Scenario]]*Table15364345464[[#This Row],[Smoking-Attributable Fraction (SAF) of Healthcare Expenditures
Base Scenario]]</f>
        <v>116883000</v>
      </c>
      <c r="Q90" s="43">
        <f>Table15364345464[[#This Row],[Total Private (Out-of-Pocket) Healthcare Expenditures:
Base Scenario]]*Table15364345464[[#This Row],[Smoking-Attributable Fraction (SAF) of Healthcare Expenditures: Lower Bound
Base Scenario]]</f>
        <v>99567000.000000015</v>
      </c>
      <c r="R90" s="43">
        <f>Table15364345464[[#This Row],[Total Private (Out-of-Pocket) Healthcare Expenditures:
Base Scenario]]*Table15364345464[[#This Row],[Smoking-Attributable Fraction (SAF) of Healthcare Expenditures: Upper Bound
Base Scenario]]</f>
        <v>187590000</v>
      </c>
      <c r="S90" s="43">
        <f>Table15364345464[[#This Row],[Total Other Health Expenditures:
Base Scenario]]*Table15364345464[[#This Row],[Smoking-Attributable Fraction (SAF) of Healthcare Expenditures
Base Scenario]]</f>
        <v>13122000</v>
      </c>
      <c r="T90" s="43">
        <f>Table15364345464[[#This Row],[Total Other Health Expenditures:
Base Scenario]]*Table15364345464[[#This Row],[Smoking-Attributable Fraction (SAF) of Healthcare Expenditures: Lower Bound
Base Scenario]]</f>
        <v>11178000.000000002</v>
      </c>
      <c r="U90" s="43">
        <f>Table15364345464[[#This Row],[Total Other Health Expenditures:
Base Scenario]]*Table15364345464[[#This Row],[Smoking-Attributable Fraction (SAF) of Healthcare Expenditures: Upper Bound
Base Scenario]]</f>
        <v>21060000</v>
      </c>
      <c r="V90" s="62">
        <v>-8.0000000000000026E-4</v>
      </c>
      <c r="W90" s="60">
        <f>W89*(1+Table15364345464[[#This Row],[Relative Change in Smoking Prevalence:
Smoke-Free Air Laws]])</f>
        <v>7.6535484080973076E-2</v>
      </c>
      <c r="X90" s="60">
        <f>X89*(1+Table15364345464[[#This Row],[Relative Change in Smoking Prevalence:
Smoke-Free Air Laws]])</f>
        <v>6.5196893846754839E-2</v>
      </c>
      <c r="Y90" s="60">
        <f>Y89*(1+Table15364345464[[#This Row],[Relative Change in Smoking Prevalence:
Smoke-Free Air Laws]])</f>
        <v>0.12283472753736417</v>
      </c>
      <c r="Z90" s="66">
        <f>Table15364345464[[#This Row],[Total Healthcare Expenditures
(All Categories):
Base Scenario]]*Table15364345464[[#This Row],[Smoking-Attributable Fraction (SAF) of Healthcare Expenditures:
Adjusted for Intervention Impacts]]</f>
        <v>192716348.91589022</v>
      </c>
      <c r="AA90" s="64">
        <f>Table15364345464[[#This Row],[Total Healthcare Expenditures
(All Categories):
Base Scenario]]*Table15364345464[[#This Row],[Smoking-Attributable Fraction (SAF) of Healthcare Expenditures: Lower Bound
Adjusted for Intervention Impacts]]</f>
        <v>164165778.70612869</v>
      </c>
      <c r="AB90" s="66">
        <f>Table15364345464[[#This Row],[Total Healthcare Expenditures
(All Categories):
Base Scenario]]*Table15364345464[[#This Row],[Smoking-Attributable Fraction (SAF) of Healthcare Expenditures: Upper Bound
Adjusted for Intervention Impacts]]</f>
        <v>309297843.93908298</v>
      </c>
      <c r="AC90" s="66">
        <f>Table15364345464[[#This Row],[Total Government Healthcare Expenditures
(including national insurance):
Base Scenario]]*Table15364345464[[#This Row],[Smoking-Attributable Fraction (SAF) of Healthcare Expenditures:
Adjusted for Intervention Impacts]]</f>
        <v>69876896.96592842</v>
      </c>
      <c r="AD90" s="66">
        <f>Table15364345464[[#This Row],[Total Government Healthcare Expenditures
(including national insurance):
Base Scenario]]*Table15364345464[[#This Row],[Smoking-Attributable Fraction (SAF) of Healthcare Expenditures: Lower Bound
Adjusted for Intervention Impacts]]</f>
        <v>59524764.082087167</v>
      </c>
      <c r="AE90" s="66">
        <f>Table15364345464[[#This Row],[Total Government Healthcare Expenditures
(including national insurance):
Base Scenario]]*Table15364345464[[#This Row],[Smoking-Attributable Fraction (SAF) of Healthcare Expenditures: Upper Bound
Adjusted for Intervention Impacts]]</f>
        <v>112148106.24161349</v>
      </c>
      <c r="AF90" s="66">
        <f>Table15364345464[[#This Row],[Total Private (Out-of-Pocket) Healthcare Expenditures:
Base Scenario]]*Table15364345464[[#This Row],[Smoking-Attributable Fraction (SAF) of Healthcare Expenditures:
Adjusted for Intervention Impacts]]</f>
        <v>110440703.52884415</v>
      </c>
      <c r="AG90" s="66">
        <f>Table15364345464[[#This Row],[Total Private (Out-of-Pocket) Healthcare Expenditures:
Base Scenario]]*Table15364345464[[#This Row],[Smoking-Attributable Fraction (SAF) of Healthcare Expenditures: Lower Bound
Adjusted for Intervention Impacts]]</f>
        <v>94079117.820867226</v>
      </c>
      <c r="AH90" s="66">
        <f>Table15364345464[[#This Row],[Total Private (Out-of-Pocket) Healthcare Expenditures:
Base Scenario]]*Table15364345464[[#This Row],[Smoking-Attributable Fraction (SAF) of Healthcare Expenditures: Upper Bound
Adjusted for Intervention Impacts]]</f>
        <v>177250511.83641651</v>
      </c>
      <c r="AI90" s="65">
        <f>Table15364345464[[#This Row],[Total Other Health Expenditures:
Base Scenario]]*Table15364345464[[#This Row],[Smoking-Attributable Fraction (SAF) of Healthcare Expenditures:
Adjusted for Intervention Impacts]]</f>
        <v>12398748.421117639</v>
      </c>
      <c r="AJ90" s="65">
        <f>Table15364345464[[#This Row],[Total Other Health Expenditures:
Base Scenario]]*Table15364345464[[#This Row],[Smoking-Attributable Fraction (SAF) of Healthcare Expenditures: Lower Bound
Adjusted for Intervention Impacts]]</f>
        <v>10561896.803174283</v>
      </c>
      <c r="AK90" s="65">
        <f>Table15364345464[[#This Row],[Total Other Health Expenditures:
Base Scenario]]*Table15364345464[[#This Row],[Smoking-Attributable Fraction (SAF) of Healthcare Expenditures: Upper Bound
Adjusted for Intervention Impacts]]</f>
        <v>19899225.861052997</v>
      </c>
      <c r="AL90" s="76">
        <f>Table15364345464[[#This Row],[Smoking-Attributable Total Healthcare Expenditures:
Base Scenario]]-Table15364345464[[#This Row],[Smoking-Attributable Total Healthcare Expenditures:
Intervention Scenario]]</f>
        <v>11241651.084109783</v>
      </c>
      <c r="AM90" s="76">
        <f>Table15364345464[[#This Row],[Smoking-Attributable Total Healthcare Expenditures: Lower Bound
Base Scenario]]-Table15364345464[[#This Row],[Smoking-Attributable Total Healthcare Expenditures: Lower Bound
Intervention Scenario]]</f>
        <v>9576221.2938713133</v>
      </c>
      <c r="AN90" s="76">
        <f>Table15364345464[[#This Row],[Smoking-Attributable Total Healthcare Expenditures: Upper Bound
Base Scenario]]-Table15364345464[[#This Row],[Smoking-Attributable Total Healthcare Expenditures: Upper Bound
Intervention Scenario]]</f>
        <v>18042156.06091702</v>
      </c>
      <c r="AO90" s="76">
        <f>Table15364345464[[#This Row],[Smoking-Attributable Government Healthcare Expenditures
(including national insurance):
Base Scenario]]-Table15364345464[[#This Row],[Smoking-Attributable Government Healthcare Expenditures
(including national insurance):
Intervention Scenario]]</f>
        <v>4076103.0340715796</v>
      </c>
      <c r="AP90"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3472235.9179128408</v>
      </c>
      <c r="AQ90"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6541893.7583865076</v>
      </c>
      <c r="AR90" s="76">
        <f>Table15364345464[[#This Row],[Smoking-Attributable Private Healthcare Expenditures:
Base Scenario]]-Table15364345464[[#This Row],[Smoking-Attributable Private Healthcare Expenditures:
Intervention Scenario]]</f>
        <v>6442296.4711558521</v>
      </c>
      <c r="AS90" s="76">
        <f>Table15364345464[[#This Row],[Smoking-Attributable Private Healthcare Expenditures: Lower Bound
Base Scenario]]-Table15364345464[[#This Row],[Smoking-Attributable Private Healthcare Expenditures: Lower Bound
Intervention Scenario]]</f>
        <v>5487882.1791327894</v>
      </c>
      <c r="AT90" s="76">
        <f>Table15364345464[[#This Row],[Smoking-Attributable Private Healthcare Expenditures: Upper Bound
Base Scenario]]-Table15364345464[[#This Row],[Smoking-Attributable Private Healthcare Expenditures: Upper Bound
Intervention Scenario]]</f>
        <v>10339488.163583487</v>
      </c>
      <c r="AU90" s="76">
        <f>Table15364345464[[#This Row],[Smoking-Attributable Other Health Expenditures:
Base Scenario]]-Table15364345464[[#This Row],[Smoking-Attributable Other Health Expenditures:
Intervention Scenario]]</f>
        <v>723251.57888236083</v>
      </c>
      <c r="AV90" s="235">
        <f>Table15364345464[[#This Row],[Smoking-Attributable Other Health Expenditures: Lower Bound
Base Scenario]]-Table15364345464[[#This Row],[Smoking-Attributable Other Health Expenditures: Lower Bound
Intervention Scenario]]</f>
        <v>616103.19682571851</v>
      </c>
      <c r="AW90" s="235">
        <f>Table15364345464[[#This Row],[Smoking-Attributable Other Health Expenditures: Upper Bound
Base Scenario]]-Table15364345464[[#This Row],[Smoking-Attributable Other Health Expenditures: Upper Bound
Intervention Scenario]]</f>
        <v>1160774.1389470026</v>
      </c>
    </row>
    <row r="91" spans="2:49">
      <c r="B91" s="47">
        <v>9</v>
      </c>
      <c r="C91" s="48">
        <f t="shared" si="21"/>
        <v>2518000000</v>
      </c>
      <c r="D91" s="48">
        <f t="shared" si="22"/>
        <v>913000000</v>
      </c>
      <c r="E91" s="48">
        <f t="shared" si="23"/>
        <v>1443000000</v>
      </c>
      <c r="F91" s="48">
        <f t="shared" si="24"/>
        <v>162000000</v>
      </c>
      <c r="G91" s="232">
        <f t="shared" si="25"/>
        <v>8.1000000000000003E-2</v>
      </c>
      <c r="H91" s="46">
        <f t="shared" si="29"/>
        <v>6.9000000000000006E-2</v>
      </c>
      <c r="I91" s="46">
        <f t="shared" si="26"/>
        <v>0.13</v>
      </c>
      <c r="J91" s="43">
        <f>Table15364345464[[#This Row],[Total Healthcare Expenditures
(All Categories):
Base Scenario]]*Table15364345464[[#This Row],[Smoking-Attributable Fraction (SAF) of Healthcare Expenditures
Base Scenario]]</f>
        <v>203958000</v>
      </c>
      <c r="K91" s="43">
        <f>Table15364345464[[#This Row],[Total Healthcare Expenditures
(All Categories):
Base Scenario]]*Table15364345464[[#This Row],[Smoking-Attributable Fraction (SAF) of Healthcare Expenditures: Lower Bound
Base Scenario]]</f>
        <v>173742000</v>
      </c>
      <c r="L91" s="43">
        <f>Table15364345464[[#This Row],[Total Healthcare Expenditures
(All Categories):
Base Scenario]]*Table15364345464[[#This Row],[Smoking-Attributable Fraction (SAF) of Healthcare Expenditures: Upper Bound
Base Scenario]]</f>
        <v>327340000</v>
      </c>
      <c r="M91" s="43">
        <f>Table15364345464[[#This Row],[Total Government Healthcare Expenditures
(including national insurance):
Base Scenario]]*Table15364345464[[#This Row],[Smoking-Attributable Fraction (SAF) of Healthcare Expenditures
Base Scenario]]</f>
        <v>73953000</v>
      </c>
      <c r="N91" s="43">
        <f>Table15364345464[[#This Row],[Total Government Healthcare Expenditures
(including national insurance):
Base Scenario]]*Table15364345464[[#This Row],[Smoking-Attributable Fraction (SAF) of Healthcare Expenditures: Lower Bound
Base Scenario]]</f>
        <v>62997000.000000007</v>
      </c>
      <c r="O91" s="43">
        <f>Table15364345464[[#This Row],[Total Government Healthcare Expenditures
(including national insurance):
Base Scenario]]*Table15364345464[[#This Row],[Smoking-Attributable Fraction (SAF) of Healthcare Expenditures: Upper Bound
Base Scenario]]</f>
        <v>118690000</v>
      </c>
      <c r="P91" s="43">
        <f>Table15364345464[[#This Row],[Total Private (Out-of-Pocket) Healthcare Expenditures:
Base Scenario]]*Table15364345464[[#This Row],[Smoking-Attributable Fraction (SAF) of Healthcare Expenditures
Base Scenario]]</f>
        <v>116883000</v>
      </c>
      <c r="Q91" s="43">
        <f>Table15364345464[[#This Row],[Total Private (Out-of-Pocket) Healthcare Expenditures:
Base Scenario]]*Table15364345464[[#This Row],[Smoking-Attributable Fraction (SAF) of Healthcare Expenditures: Lower Bound
Base Scenario]]</f>
        <v>99567000.000000015</v>
      </c>
      <c r="R91" s="43">
        <f>Table15364345464[[#This Row],[Total Private (Out-of-Pocket) Healthcare Expenditures:
Base Scenario]]*Table15364345464[[#This Row],[Smoking-Attributable Fraction (SAF) of Healthcare Expenditures: Upper Bound
Base Scenario]]</f>
        <v>187590000</v>
      </c>
      <c r="S91" s="43">
        <f>Table15364345464[[#This Row],[Total Other Health Expenditures:
Base Scenario]]*Table15364345464[[#This Row],[Smoking-Attributable Fraction (SAF) of Healthcare Expenditures
Base Scenario]]</f>
        <v>13122000</v>
      </c>
      <c r="T91" s="43">
        <f>Table15364345464[[#This Row],[Total Other Health Expenditures:
Base Scenario]]*Table15364345464[[#This Row],[Smoking-Attributable Fraction (SAF) of Healthcare Expenditures: Lower Bound
Base Scenario]]</f>
        <v>11178000.000000002</v>
      </c>
      <c r="U91" s="43">
        <f>Table15364345464[[#This Row],[Total Other Health Expenditures:
Base Scenario]]*Table15364345464[[#This Row],[Smoking-Attributable Fraction (SAF) of Healthcare Expenditures: Upper Bound
Base Scenario]]</f>
        <v>21060000</v>
      </c>
      <c r="V91" s="62">
        <v>-8.0000000000000026E-4</v>
      </c>
      <c r="W91" s="60">
        <f>W90*(1+Table15364345464[[#This Row],[Relative Change in Smoking Prevalence:
Smoke-Free Air Laws]])</f>
        <v>7.647425569370829E-2</v>
      </c>
      <c r="X91" s="60">
        <f>X90*(1+Table15364345464[[#This Row],[Relative Change in Smoking Prevalence:
Smoke-Free Air Laws]])</f>
        <v>6.514473633167743E-2</v>
      </c>
      <c r="Y91" s="60">
        <f>Y90*(1+Table15364345464[[#This Row],[Relative Change in Smoking Prevalence:
Smoke-Free Air Laws]])</f>
        <v>0.12273645975533427</v>
      </c>
      <c r="Z91" s="66">
        <f>Table15364345464[[#This Row],[Total Healthcare Expenditures
(All Categories):
Base Scenario]]*Table15364345464[[#This Row],[Smoking-Attributable Fraction (SAF) of Healthcare Expenditures:
Adjusted for Intervention Impacts]]</f>
        <v>192562175.83675748</v>
      </c>
      <c r="AA91" s="64">
        <f>Table15364345464[[#This Row],[Total Healthcare Expenditures
(All Categories):
Base Scenario]]*Table15364345464[[#This Row],[Smoking-Attributable Fraction (SAF) of Healthcare Expenditures: Lower Bound
Adjusted for Intervention Impacts]]</f>
        <v>164034446.08316377</v>
      </c>
      <c r="AB91" s="66">
        <f>Table15364345464[[#This Row],[Total Healthcare Expenditures
(All Categories):
Base Scenario]]*Table15364345464[[#This Row],[Smoking-Attributable Fraction (SAF) of Healthcare Expenditures: Upper Bound
Adjusted for Intervention Impacts]]</f>
        <v>309050405.66393173</v>
      </c>
      <c r="AC91" s="66">
        <f>Table15364345464[[#This Row],[Total Government Healthcare Expenditures
(including national insurance):
Base Scenario]]*Table15364345464[[#This Row],[Smoking-Attributable Fraction (SAF) of Healthcare Expenditures:
Adjusted for Intervention Impacts]]</f>
        <v>69820995.448355675</v>
      </c>
      <c r="AD91" s="66">
        <f>Table15364345464[[#This Row],[Total Government Healthcare Expenditures
(including national insurance):
Base Scenario]]*Table15364345464[[#This Row],[Smoking-Attributable Fraction (SAF) of Healthcare Expenditures: Lower Bound
Adjusted for Intervention Impacts]]</f>
        <v>59477144.270821497</v>
      </c>
      <c r="AE91" s="66">
        <f>Table15364345464[[#This Row],[Total Government Healthcare Expenditures
(including national insurance):
Base Scenario]]*Table15364345464[[#This Row],[Smoking-Attributable Fraction (SAF) of Healthcare Expenditures: Upper Bound
Adjusted for Intervention Impacts]]</f>
        <v>112058387.7566202</v>
      </c>
      <c r="AF91" s="66">
        <f>Table15364345464[[#This Row],[Total Private (Out-of-Pocket) Healthcare Expenditures:
Base Scenario]]*Table15364345464[[#This Row],[Smoking-Attributable Fraction (SAF) of Healthcare Expenditures:
Adjusted for Intervention Impacts]]</f>
        <v>110352350.96602106</v>
      </c>
      <c r="AG91" s="66">
        <f>Table15364345464[[#This Row],[Total Private (Out-of-Pocket) Healthcare Expenditures:
Base Scenario]]*Table15364345464[[#This Row],[Smoking-Attributable Fraction (SAF) of Healthcare Expenditures: Lower Bound
Adjusted for Intervention Impacts]]</f>
        <v>94003854.526610538</v>
      </c>
      <c r="AH91" s="66">
        <f>Table15364345464[[#This Row],[Total Private (Out-of-Pocket) Healthcare Expenditures:
Base Scenario]]*Table15364345464[[#This Row],[Smoking-Attributable Fraction (SAF) of Healthcare Expenditures: Upper Bound
Adjusted for Intervention Impacts]]</f>
        <v>177108711.42694736</v>
      </c>
      <c r="AI91" s="65">
        <f>Table15364345464[[#This Row],[Total Other Health Expenditures:
Base Scenario]]*Table15364345464[[#This Row],[Smoking-Attributable Fraction (SAF) of Healthcare Expenditures:
Adjusted for Intervention Impacts]]</f>
        <v>12388829.422380744</v>
      </c>
      <c r="AJ91" s="65">
        <f>Table15364345464[[#This Row],[Total Other Health Expenditures:
Base Scenario]]*Table15364345464[[#This Row],[Smoking-Attributable Fraction (SAF) of Healthcare Expenditures: Lower Bound
Adjusted for Intervention Impacts]]</f>
        <v>10553447.285731744</v>
      </c>
      <c r="AK91" s="65">
        <f>Table15364345464[[#This Row],[Total Other Health Expenditures:
Base Scenario]]*Table15364345464[[#This Row],[Smoking-Attributable Fraction (SAF) of Healthcare Expenditures: Upper Bound
Adjusted for Intervention Impacts]]</f>
        <v>19883306.480364151</v>
      </c>
      <c r="AL91" s="76">
        <f>Table15364345464[[#This Row],[Smoking-Attributable Total Healthcare Expenditures:
Base Scenario]]-Table15364345464[[#This Row],[Smoking-Attributable Total Healthcare Expenditures:
Intervention Scenario]]</f>
        <v>11395824.163242519</v>
      </c>
      <c r="AM91" s="76">
        <f>Table15364345464[[#This Row],[Smoking-Attributable Total Healthcare Expenditures: Lower Bound
Base Scenario]]-Table15364345464[[#This Row],[Smoking-Attributable Total Healthcare Expenditures: Lower Bound
Intervention Scenario]]</f>
        <v>9707553.9168362319</v>
      </c>
      <c r="AN91" s="76">
        <f>Table15364345464[[#This Row],[Smoking-Attributable Total Healthcare Expenditures: Upper Bound
Base Scenario]]-Table15364345464[[#This Row],[Smoking-Attributable Total Healthcare Expenditures: Upper Bound
Intervention Scenario]]</f>
        <v>18289594.336068273</v>
      </c>
      <c r="AO91" s="76">
        <f>Table15364345464[[#This Row],[Smoking-Attributable Government Healthcare Expenditures
(including national insurance):
Base Scenario]]-Table15364345464[[#This Row],[Smoking-Attributable Government Healthcare Expenditures
(including national insurance):
Intervention Scenario]]</f>
        <v>4132004.5516443253</v>
      </c>
      <c r="AP91"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3519855.7291785106</v>
      </c>
      <c r="AQ91"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6631612.2433798015</v>
      </c>
      <c r="AR91" s="76">
        <f>Table15364345464[[#This Row],[Smoking-Attributable Private Healthcare Expenditures:
Base Scenario]]-Table15364345464[[#This Row],[Smoking-Attributable Private Healthcare Expenditures:
Intervention Scenario]]</f>
        <v>6530649.0339789391</v>
      </c>
      <c r="AS91" s="76">
        <f>Table15364345464[[#This Row],[Smoking-Attributable Private Healthcare Expenditures: Lower Bound
Base Scenario]]-Table15364345464[[#This Row],[Smoking-Attributable Private Healthcare Expenditures: Lower Bound
Intervention Scenario]]</f>
        <v>5563145.4733894765</v>
      </c>
      <c r="AT91" s="76">
        <f>Table15364345464[[#This Row],[Smoking-Attributable Private Healthcare Expenditures: Upper Bound
Base Scenario]]-Table15364345464[[#This Row],[Smoking-Attributable Private Healthcare Expenditures: Upper Bound
Intervention Scenario]]</f>
        <v>10481288.573052645</v>
      </c>
      <c r="AU91" s="76">
        <f>Table15364345464[[#This Row],[Smoking-Attributable Other Health Expenditures:
Base Scenario]]-Table15364345464[[#This Row],[Smoking-Attributable Other Health Expenditures:
Intervention Scenario]]</f>
        <v>733170.57761925645</v>
      </c>
      <c r="AV91" s="235">
        <f>Table15364345464[[#This Row],[Smoking-Attributable Other Health Expenditures: Lower Bound
Base Scenario]]-Table15364345464[[#This Row],[Smoking-Attributable Other Health Expenditures: Lower Bound
Intervention Scenario]]</f>
        <v>624552.71426825784</v>
      </c>
      <c r="AW91" s="235">
        <f>Table15364345464[[#This Row],[Smoking-Attributable Other Health Expenditures: Upper Bound
Base Scenario]]-Table15364345464[[#This Row],[Smoking-Attributable Other Health Expenditures: Upper Bound
Intervention Scenario]]</f>
        <v>1176693.5196358487</v>
      </c>
    </row>
    <row r="92" spans="2:49">
      <c r="B92" s="47">
        <v>10</v>
      </c>
      <c r="C92" s="48">
        <f t="shared" si="21"/>
        <v>2518000000</v>
      </c>
      <c r="D92" s="48">
        <f t="shared" si="22"/>
        <v>913000000</v>
      </c>
      <c r="E92" s="48">
        <f t="shared" si="23"/>
        <v>1443000000</v>
      </c>
      <c r="F92" s="48">
        <f t="shared" si="24"/>
        <v>162000000</v>
      </c>
      <c r="G92" s="232">
        <f t="shared" si="25"/>
        <v>8.1000000000000003E-2</v>
      </c>
      <c r="H92" s="46">
        <f t="shared" si="29"/>
        <v>6.9000000000000006E-2</v>
      </c>
      <c r="I92" s="46">
        <f t="shared" si="26"/>
        <v>0.13</v>
      </c>
      <c r="J92" s="43">
        <f>Table15364345464[[#This Row],[Total Healthcare Expenditures
(All Categories):
Base Scenario]]*Table15364345464[[#This Row],[Smoking-Attributable Fraction (SAF) of Healthcare Expenditures
Base Scenario]]</f>
        <v>203958000</v>
      </c>
      <c r="K92" s="43">
        <f>Table15364345464[[#This Row],[Total Healthcare Expenditures
(All Categories):
Base Scenario]]*Table15364345464[[#This Row],[Smoking-Attributable Fraction (SAF) of Healthcare Expenditures: Lower Bound
Base Scenario]]</f>
        <v>173742000</v>
      </c>
      <c r="L92" s="43">
        <f>Table15364345464[[#This Row],[Total Healthcare Expenditures
(All Categories):
Base Scenario]]*Table15364345464[[#This Row],[Smoking-Attributable Fraction (SAF) of Healthcare Expenditures: Upper Bound
Base Scenario]]</f>
        <v>327340000</v>
      </c>
      <c r="M92" s="43">
        <f>Table15364345464[[#This Row],[Total Government Healthcare Expenditures
(including national insurance):
Base Scenario]]*Table15364345464[[#This Row],[Smoking-Attributable Fraction (SAF) of Healthcare Expenditures
Base Scenario]]</f>
        <v>73953000</v>
      </c>
      <c r="N92" s="43">
        <f>Table15364345464[[#This Row],[Total Government Healthcare Expenditures
(including national insurance):
Base Scenario]]*Table15364345464[[#This Row],[Smoking-Attributable Fraction (SAF) of Healthcare Expenditures: Lower Bound
Base Scenario]]</f>
        <v>62997000.000000007</v>
      </c>
      <c r="O92" s="43">
        <f>Table15364345464[[#This Row],[Total Government Healthcare Expenditures
(including national insurance):
Base Scenario]]*Table15364345464[[#This Row],[Smoking-Attributable Fraction (SAF) of Healthcare Expenditures: Upper Bound
Base Scenario]]</f>
        <v>118690000</v>
      </c>
      <c r="P92" s="43">
        <f>Table15364345464[[#This Row],[Total Private (Out-of-Pocket) Healthcare Expenditures:
Base Scenario]]*Table15364345464[[#This Row],[Smoking-Attributable Fraction (SAF) of Healthcare Expenditures
Base Scenario]]</f>
        <v>116883000</v>
      </c>
      <c r="Q92" s="43">
        <f>Table15364345464[[#This Row],[Total Private (Out-of-Pocket) Healthcare Expenditures:
Base Scenario]]*Table15364345464[[#This Row],[Smoking-Attributable Fraction (SAF) of Healthcare Expenditures: Lower Bound
Base Scenario]]</f>
        <v>99567000.000000015</v>
      </c>
      <c r="R92" s="43">
        <f>Table15364345464[[#This Row],[Total Private (Out-of-Pocket) Healthcare Expenditures:
Base Scenario]]*Table15364345464[[#This Row],[Smoking-Attributable Fraction (SAF) of Healthcare Expenditures: Upper Bound
Base Scenario]]</f>
        <v>187590000</v>
      </c>
      <c r="S92" s="43">
        <f>Table15364345464[[#This Row],[Total Other Health Expenditures:
Base Scenario]]*Table15364345464[[#This Row],[Smoking-Attributable Fraction (SAF) of Healthcare Expenditures
Base Scenario]]</f>
        <v>13122000</v>
      </c>
      <c r="T92" s="43">
        <f>Table15364345464[[#This Row],[Total Other Health Expenditures:
Base Scenario]]*Table15364345464[[#This Row],[Smoking-Attributable Fraction (SAF) of Healthcare Expenditures: Lower Bound
Base Scenario]]</f>
        <v>11178000.000000002</v>
      </c>
      <c r="U92" s="43">
        <f>Table15364345464[[#This Row],[Total Other Health Expenditures:
Base Scenario]]*Table15364345464[[#This Row],[Smoking-Attributable Fraction (SAF) of Healthcare Expenditures: Upper Bound
Base Scenario]]</f>
        <v>21060000</v>
      </c>
      <c r="V92" s="62">
        <v>-8.0000000000000026E-4</v>
      </c>
      <c r="W92" s="60">
        <f>W91*(1+Table15364345464[[#This Row],[Relative Change in Smoking Prevalence:
Smoke-Free Air Laws]])</f>
        <v>7.6413076289153323E-2</v>
      </c>
      <c r="X92" s="60">
        <f>X91*(1+Table15364345464[[#This Row],[Relative Change in Smoking Prevalence:
Smoke-Free Air Laws]])</f>
        <v>6.5092620542612084E-2</v>
      </c>
      <c r="Y92" s="60">
        <f>Y91*(1+Table15364345464[[#This Row],[Relative Change in Smoking Prevalence:
Smoke-Free Air Laws]])</f>
        <v>0.12263827058753</v>
      </c>
      <c r="Z92" s="66">
        <f>Table15364345464[[#This Row],[Total Healthcare Expenditures
(All Categories):
Base Scenario]]*Table15364345464[[#This Row],[Smoking-Attributable Fraction (SAF) of Healthcare Expenditures:
Adjusted for Intervention Impacts]]</f>
        <v>192408126.09608805</v>
      </c>
      <c r="AA92" s="64">
        <f>Table15364345464[[#This Row],[Total Healthcare Expenditures
(All Categories):
Base Scenario]]*Table15364345464[[#This Row],[Smoking-Attributable Fraction (SAF) of Healthcare Expenditures: Lower Bound
Adjusted for Intervention Impacts]]</f>
        <v>163903218.52629724</v>
      </c>
      <c r="AB92" s="66">
        <f>Table15364345464[[#This Row],[Total Healthcare Expenditures
(All Categories):
Base Scenario]]*Table15364345464[[#This Row],[Smoking-Attributable Fraction (SAF) of Healthcare Expenditures: Upper Bound
Adjusted for Intervention Impacts]]</f>
        <v>308803165.33940053</v>
      </c>
      <c r="AC92" s="66">
        <f>Table15364345464[[#This Row],[Total Government Healthcare Expenditures
(including national insurance):
Base Scenario]]*Table15364345464[[#This Row],[Smoking-Attributable Fraction (SAF) of Healthcare Expenditures:
Adjusted for Intervention Impacts]]</f>
        <v>69765138.651996985</v>
      </c>
      <c r="AD92" s="66">
        <f>Table15364345464[[#This Row],[Total Government Healthcare Expenditures
(including national insurance):
Base Scenario]]*Table15364345464[[#This Row],[Smoking-Attributable Fraction (SAF) of Healthcare Expenditures: Lower Bound
Adjusted for Intervention Impacts]]</f>
        <v>59429562.555404834</v>
      </c>
      <c r="AE92" s="66">
        <f>Table15364345464[[#This Row],[Total Government Healthcare Expenditures
(including national insurance):
Base Scenario]]*Table15364345464[[#This Row],[Smoking-Attributable Fraction (SAF) of Healthcare Expenditures: Upper Bound
Adjusted for Intervention Impacts]]</f>
        <v>111968741.0464149</v>
      </c>
      <c r="AF92" s="66">
        <f>Table15364345464[[#This Row],[Total Private (Out-of-Pocket) Healthcare Expenditures:
Base Scenario]]*Table15364345464[[#This Row],[Smoking-Attributable Fraction (SAF) of Healthcare Expenditures:
Adjusted for Intervention Impacts]]</f>
        <v>110264069.08524825</v>
      </c>
      <c r="AG92" s="66">
        <f>Table15364345464[[#This Row],[Total Private (Out-of-Pocket) Healthcare Expenditures:
Base Scenario]]*Table15364345464[[#This Row],[Smoking-Attributable Fraction (SAF) of Healthcare Expenditures: Lower Bound
Adjusted for Intervention Impacts]]</f>
        <v>93928651.44298923</v>
      </c>
      <c r="AH92" s="66">
        <f>Table15364345464[[#This Row],[Total Private (Out-of-Pocket) Healthcare Expenditures:
Base Scenario]]*Table15364345464[[#This Row],[Smoking-Attributable Fraction (SAF) of Healthcare Expenditures: Upper Bound
Adjusted for Intervention Impacts]]</f>
        <v>176967024.45780578</v>
      </c>
      <c r="AI92" s="65">
        <f>Table15364345464[[#This Row],[Total Other Health Expenditures:
Base Scenario]]*Table15364345464[[#This Row],[Smoking-Attributable Fraction (SAF) of Healthcare Expenditures:
Adjusted for Intervention Impacts]]</f>
        <v>12378918.358842839</v>
      </c>
      <c r="AJ92" s="65">
        <f>Table15364345464[[#This Row],[Total Other Health Expenditures:
Base Scenario]]*Table15364345464[[#This Row],[Smoking-Attributable Fraction (SAF) of Healthcare Expenditures: Lower Bound
Adjusted for Intervention Impacts]]</f>
        <v>10545004.527903158</v>
      </c>
      <c r="AK92" s="65">
        <f>Table15364345464[[#This Row],[Total Other Health Expenditures:
Base Scenario]]*Table15364345464[[#This Row],[Smoking-Attributable Fraction (SAF) of Healthcare Expenditures: Upper Bound
Adjusted for Intervention Impacts]]</f>
        <v>19867399.835179862</v>
      </c>
      <c r="AL92" s="76">
        <f>Table15364345464[[#This Row],[Smoking-Attributable Total Healthcare Expenditures:
Base Scenario]]-Table15364345464[[#This Row],[Smoking-Attributable Total Healthcare Expenditures:
Intervention Scenario]]</f>
        <v>11549873.903911948</v>
      </c>
      <c r="AM92" s="76">
        <f>Table15364345464[[#This Row],[Smoking-Attributable Total Healthcare Expenditures: Lower Bound
Base Scenario]]-Table15364345464[[#This Row],[Smoking-Attributable Total Healthcare Expenditures: Lower Bound
Intervention Scenario]]</f>
        <v>9838781.4737027586</v>
      </c>
      <c r="AN92" s="76">
        <f>Table15364345464[[#This Row],[Smoking-Attributable Total Healthcare Expenditures: Upper Bound
Base Scenario]]-Table15364345464[[#This Row],[Smoking-Attributable Total Healthcare Expenditures: Upper Bound
Intervention Scenario]]</f>
        <v>18536834.66059947</v>
      </c>
      <c r="AO92" s="76">
        <f>Table15364345464[[#This Row],[Smoking-Attributable Government Healthcare Expenditures
(including national insurance):
Base Scenario]]-Table15364345464[[#This Row],[Smoking-Attributable Government Healthcare Expenditures
(including national insurance):
Intervention Scenario]]</f>
        <v>4187861.3480030149</v>
      </c>
      <c r="AP92"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3567437.444595173</v>
      </c>
      <c r="AQ92"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6721258.9535851032</v>
      </c>
      <c r="AR92" s="76">
        <f>Table15364345464[[#This Row],[Smoking-Attributable Private Healthcare Expenditures:
Base Scenario]]-Table15364345464[[#This Row],[Smoking-Attributable Private Healthcare Expenditures:
Intervention Scenario]]</f>
        <v>6618930.9147517532</v>
      </c>
      <c r="AS92" s="76">
        <f>Table15364345464[[#This Row],[Smoking-Attributable Private Healthcare Expenditures: Lower Bound
Base Scenario]]-Table15364345464[[#This Row],[Smoking-Attributable Private Healthcare Expenditures: Lower Bound
Intervention Scenario]]</f>
        <v>5638348.5570107847</v>
      </c>
      <c r="AT92" s="76">
        <f>Table15364345464[[#This Row],[Smoking-Attributable Private Healthcare Expenditures: Upper Bound
Base Scenario]]-Table15364345464[[#This Row],[Smoking-Attributable Private Healthcare Expenditures: Upper Bound
Intervention Scenario]]</f>
        <v>10622975.542194217</v>
      </c>
      <c r="AU92" s="76">
        <f>Table15364345464[[#This Row],[Smoking-Attributable Other Health Expenditures:
Base Scenario]]-Table15364345464[[#This Row],[Smoking-Attributable Other Health Expenditures:
Intervention Scenario]]</f>
        <v>743081.64115716144</v>
      </c>
      <c r="AV92" s="235">
        <f>Table15364345464[[#This Row],[Smoking-Attributable Other Health Expenditures: Lower Bound
Base Scenario]]-Table15364345464[[#This Row],[Smoking-Attributable Other Health Expenditures: Lower Bound
Intervention Scenario]]</f>
        <v>632995.47209684364</v>
      </c>
      <c r="AW92" s="235">
        <f>Table15364345464[[#This Row],[Smoking-Attributable Other Health Expenditures: Upper Bound
Base Scenario]]-Table15364345464[[#This Row],[Smoking-Attributable Other Health Expenditures: Upper Bound
Intervention Scenario]]</f>
        <v>1192600.1648201384</v>
      </c>
    </row>
    <row r="93" spans="2:49">
      <c r="B93" s="47">
        <v>11</v>
      </c>
      <c r="C93" s="48">
        <f t="shared" si="21"/>
        <v>2518000000</v>
      </c>
      <c r="D93" s="48">
        <f t="shared" si="22"/>
        <v>913000000</v>
      </c>
      <c r="E93" s="48">
        <f t="shared" si="23"/>
        <v>1443000000</v>
      </c>
      <c r="F93" s="48">
        <f t="shared" si="24"/>
        <v>162000000</v>
      </c>
      <c r="G93" s="232">
        <f t="shared" si="25"/>
        <v>8.1000000000000003E-2</v>
      </c>
      <c r="H93" s="46">
        <f t="shared" si="29"/>
        <v>6.9000000000000006E-2</v>
      </c>
      <c r="I93" s="46">
        <f t="shared" si="26"/>
        <v>0.13</v>
      </c>
      <c r="J93" s="43">
        <f>Table15364345464[[#This Row],[Total Healthcare Expenditures
(All Categories):
Base Scenario]]*Table15364345464[[#This Row],[Smoking-Attributable Fraction (SAF) of Healthcare Expenditures
Base Scenario]]</f>
        <v>203958000</v>
      </c>
      <c r="K93" s="43">
        <f>Table15364345464[[#This Row],[Total Healthcare Expenditures
(All Categories):
Base Scenario]]*Table15364345464[[#This Row],[Smoking-Attributable Fraction (SAF) of Healthcare Expenditures: Lower Bound
Base Scenario]]</f>
        <v>173742000</v>
      </c>
      <c r="L93" s="43">
        <f>Table15364345464[[#This Row],[Total Healthcare Expenditures
(All Categories):
Base Scenario]]*Table15364345464[[#This Row],[Smoking-Attributable Fraction (SAF) of Healthcare Expenditures: Upper Bound
Base Scenario]]</f>
        <v>327340000</v>
      </c>
      <c r="M93" s="43">
        <f>Table15364345464[[#This Row],[Total Government Healthcare Expenditures
(including national insurance):
Base Scenario]]*Table15364345464[[#This Row],[Smoking-Attributable Fraction (SAF) of Healthcare Expenditures
Base Scenario]]</f>
        <v>73953000</v>
      </c>
      <c r="N93" s="43">
        <f>Table15364345464[[#This Row],[Total Government Healthcare Expenditures
(including national insurance):
Base Scenario]]*Table15364345464[[#This Row],[Smoking-Attributable Fraction (SAF) of Healthcare Expenditures: Lower Bound
Base Scenario]]</f>
        <v>62997000.000000007</v>
      </c>
      <c r="O93" s="43">
        <f>Table15364345464[[#This Row],[Total Government Healthcare Expenditures
(including national insurance):
Base Scenario]]*Table15364345464[[#This Row],[Smoking-Attributable Fraction (SAF) of Healthcare Expenditures: Upper Bound
Base Scenario]]</f>
        <v>118690000</v>
      </c>
      <c r="P93" s="43">
        <f>Table15364345464[[#This Row],[Total Private (Out-of-Pocket) Healthcare Expenditures:
Base Scenario]]*Table15364345464[[#This Row],[Smoking-Attributable Fraction (SAF) of Healthcare Expenditures
Base Scenario]]</f>
        <v>116883000</v>
      </c>
      <c r="Q93" s="43">
        <f>Table15364345464[[#This Row],[Total Private (Out-of-Pocket) Healthcare Expenditures:
Base Scenario]]*Table15364345464[[#This Row],[Smoking-Attributable Fraction (SAF) of Healthcare Expenditures: Lower Bound
Base Scenario]]</f>
        <v>99567000.000000015</v>
      </c>
      <c r="R93" s="43">
        <f>Table15364345464[[#This Row],[Total Private (Out-of-Pocket) Healthcare Expenditures:
Base Scenario]]*Table15364345464[[#This Row],[Smoking-Attributable Fraction (SAF) of Healthcare Expenditures: Upper Bound
Base Scenario]]</f>
        <v>187590000</v>
      </c>
      <c r="S93" s="43">
        <f>Table15364345464[[#This Row],[Total Other Health Expenditures:
Base Scenario]]*Table15364345464[[#This Row],[Smoking-Attributable Fraction (SAF) of Healthcare Expenditures
Base Scenario]]</f>
        <v>13122000</v>
      </c>
      <c r="T93" s="43">
        <f>Table15364345464[[#This Row],[Total Other Health Expenditures:
Base Scenario]]*Table15364345464[[#This Row],[Smoking-Attributable Fraction (SAF) of Healthcare Expenditures: Lower Bound
Base Scenario]]</f>
        <v>11178000.000000002</v>
      </c>
      <c r="U93" s="43">
        <f>Table15364345464[[#This Row],[Total Other Health Expenditures:
Base Scenario]]*Table15364345464[[#This Row],[Smoking-Attributable Fraction (SAF) of Healthcare Expenditures: Upper Bound
Base Scenario]]</f>
        <v>21060000</v>
      </c>
      <c r="V93" s="62">
        <v>-8.0000000000000026E-4</v>
      </c>
      <c r="W93" s="60">
        <f>W92*(1+Table15364345464[[#This Row],[Relative Change in Smoking Prevalence:
Smoke-Free Air Laws]])</f>
        <v>7.6351945828121992E-2</v>
      </c>
      <c r="X93" s="60">
        <f>X92*(1+Table15364345464[[#This Row],[Relative Change in Smoking Prevalence:
Smoke-Free Air Laws]])</f>
        <v>6.5040546446177988E-2</v>
      </c>
      <c r="Y93" s="60">
        <f>Y92*(1+Table15364345464[[#This Row],[Relative Change in Smoking Prevalence:
Smoke-Free Air Laws]])</f>
        <v>0.12254015997105998</v>
      </c>
      <c r="Z93" s="66">
        <f>Table15364345464[[#This Row],[Total Healthcare Expenditures
(All Categories):
Base Scenario]]*Table15364345464[[#This Row],[Smoking-Attributable Fraction (SAF) of Healthcare Expenditures:
Adjusted for Intervention Impacts]]</f>
        <v>192254199.59521118</v>
      </c>
      <c r="AA93" s="64">
        <f>Table15364345464[[#This Row],[Total Healthcare Expenditures
(All Categories):
Base Scenario]]*Table15364345464[[#This Row],[Smoking-Attributable Fraction (SAF) of Healthcare Expenditures: Lower Bound
Adjusted for Intervention Impacts]]</f>
        <v>163772095.95147619</v>
      </c>
      <c r="AB93" s="66">
        <f>Table15364345464[[#This Row],[Total Healthcare Expenditures
(All Categories):
Base Scenario]]*Table15364345464[[#This Row],[Smoking-Attributable Fraction (SAF) of Healthcare Expenditures: Upper Bound
Adjusted for Intervention Impacts]]</f>
        <v>308556122.80712903</v>
      </c>
      <c r="AC93" s="66">
        <f>Table15364345464[[#This Row],[Total Government Healthcare Expenditures
(including national insurance):
Base Scenario]]*Table15364345464[[#This Row],[Smoking-Attributable Fraction (SAF) of Healthcare Expenditures:
Adjusted for Intervention Impacts]]</f>
        <v>69709326.541075379</v>
      </c>
      <c r="AD93" s="66">
        <f>Table15364345464[[#This Row],[Total Government Healthcare Expenditures
(including national insurance):
Base Scenario]]*Table15364345464[[#This Row],[Smoking-Attributable Fraction (SAF) of Healthcare Expenditures: Lower Bound
Adjusted for Intervention Impacts]]</f>
        <v>59382018.905360505</v>
      </c>
      <c r="AE93" s="66">
        <f>Table15364345464[[#This Row],[Total Government Healthcare Expenditures
(including national insurance):
Base Scenario]]*Table15364345464[[#This Row],[Smoking-Attributable Fraction (SAF) of Healthcare Expenditures: Upper Bound
Adjusted for Intervention Impacts]]</f>
        <v>111879166.05357777</v>
      </c>
      <c r="AF93" s="66">
        <f>Table15364345464[[#This Row],[Total Private (Out-of-Pocket) Healthcare Expenditures:
Base Scenario]]*Table15364345464[[#This Row],[Smoking-Attributable Fraction (SAF) of Healthcare Expenditures:
Adjusted for Intervention Impacts]]</f>
        <v>110175857.82998003</v>
      </c>
      <c r="AG93" s="66">
        <f>Table15364345464[[#This Row],[Total Private (Out-of-Pocket) Healthcare Expenditures:
Base Scenario]]*Table15364345464[[#This Row],[Smoking-Attributable Fraction (SAF) of Healthcare Expenditures: Lower Bound
Adjusted for Intervention Impacts]]</f>
        <v>93853508.521834835</v>
      </c>
      <c r="AH93" s="66">
        <f>Table15364345464[[#This Row],[Total Private (Out-of-Pocket) Healthcare Expenditures:
Base Scenario]]*Table15364345464[[#This Row],[Smoking-Attributable Fraction (SAF) of Healthcare Expenditures: Upper Bound
Adjusted for Intervention Impacts]]</f>
        <v>176825450.83823955</v>
      </c>
      <c r="AI93" s="65">
        <f>Table15364345464[[#This Row],[Total Other Health Expenditures:
Base Scenario]]*Table15364345464[[#This Row],[Smoking-Attributable Fraction (SAF) of Healthcare Expenditures:
Adjusted for Intervention Impacts]]</f>
        <v>12369015.224155763</v>
      </c>
      <c r="AJ93" s="65">
        <f>Table15364345464[[#This Row],[Total Other Health Expenditures:
Base Scenario]]*Table15364345464[[#This Row],[Smoking-Attributable Fraction (SAF) of Healthcare Expenditures: Lower Bound
Adjusted for Intervention Impacts]]</f>
        <v>10536568.524280835</v>
      </c>
      <c r="AK93" s="65">
        <f>Table15364345464[[#This Row],[Total Other Health Expenditures:
Base Scenario]]*Table15364345464[[#This Row],[Smoking-Attributable Fraction (SAF) of Healthcare Expenditures: Upper Bound
Adjusted for Intervention Impacts]]</f>
        <v>19851505.915311716</v>
      </c>
      <c r="AL93" s="76">
        <f>Table15364345464[[#This Row],[Smoking-Attributable Total Healthcare Expenditures:
Base Scenario]]-Table15364345464[[#This Row],[Smoking-Attributable Total Healthcare Expenditures:
Intervention Scenario]]</f>
        <v>11703800.404788822</v>
      </c>
      <c r="AM93" s="76">
        <f>Table15364345464[[#This Row],[Smoking-Attributable Total Healthcare Expenditures: Lower Bound
Base Scenario]]-Table15364345464[[#This Row],[Smoking-Attributable Total Healthcare Expenditures: Lower Bound
Intervention Scenario]]</f>
        <v>9969904.0485238135</v>
      </c>
      <c r="AN93" s="76">
        <f>Table15364345464[[#This Row],[Smoking-Attributable Total Healthcare Expenditures: Upper Bound
Base Scenario]]-Table15364345464[[#This Row],[Smoking-Attributable Total Healthcare Expenditures: Upper Bound
Intervention Scenario]]</f>
        <v>18783877.192870975</v>
      </c>
      <c r="AO93" s="76">
        <f>Table15364345464[[#This Row],[Smoking-Attributable Government Healthcare Expenditures
(including national insurance):
Base Scenario]]-Table15364345464[[#This Row],[Smoking-Attributable Government Healthcare Expenditures
(including national insurance):
Intervention Scenario]]</f>
        <v>4243673.4589246213</v>
      </c>
      <c r="AP93"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3614981.0946395025</v>
      </c>
      <c r="AQ93"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6810833.9464222342</v>
      </c>
      <c r="AR93" s="76">
        <f>Table15364345464[[#This Row],[Smoking-Attributable Private Healthcare Expenditures:
Base Scenario]]-Table15364345464[[#This Row],[Smoking-Attributable Private Healthcare Expenditures:
Intervention Scenario]]</f>
        <v>6707142.1700199693</v>
      </c>
      <c r="AS93" s="76">
        <f>Table15364345464[[#This Row],[Smoking-Attributable Private Healthcare Expenditures: Lower Bound
Base Scenario]]-Table15364345464[[#This Row],[Smoking-Attributable Private Healthcare Expenditures: Lower Bound
Intervention Scenario]]</f>
        <v>5713491.4781651795</v>
      </c>
      <c r="AT93" s="76">
        <f>Table15364345464[[#This Row],[Smoking-Attributable Private Healthcare Expenditures: Upper Bound
Base Scenario]]-Table15364345464[[#This Row],[Smoking-Attributable Private Healthcare Expenditures: Upper Bound
Intervention Scenario]]</f>
        <v>10764549.161760449</v>
      </c>
      <c r="AU93" s="76">
        <f>Table15364345464[[#This Row],[Smoking-Attributable Other Health Expenditures:
Base Scenario]]-Table15364345464[[#This Row],[Smoking-Attributable Other Health Expenditures:
Intervention Scenario]]</f>
        <v>752984.77584423684</v>
      </c>
      <c r="AV93" s="235">
        <f>Table15364345464[[#This Row],[Smoking-Attributable Other Health Expenditures: Lower Bound
Base Scenario]]-Table15364345464[[#This Row],[Smoking-Attributable Other Health Expenditures: Lower Bound
Intervention Scenario]]</f>
        <v>641431.47571916692</v>
      </c>
      <c r="AW93" s="235">
        <f>Table15364345464[[#This Row],[Smoking-Attributable Other Health Expenditures: Upper Bound
Base Scenario]]-Table15364345464[[#This Row],[Smoking-Attributable Other Health Expenditures: Upper Bound
Intervention Scenario]]</f>
        <v>1208494.0846882835</v>
      </c>
    </row>
    <row r="94" spans="2:49">
      <c r="B94" s="47">
        <v>12</v>
      </c>
      <c r="C94" s="48">
        <f t="shared" si="21"/>
        <v>2518000000</v>
      </c>
      <c r="D94" s="48">
        <f t="shared" si="22"/>
        <v>913000000</v>
      </c>
      <c r="E94" s="48">
        <f t="shared" si="23"/>
        <v>1443000000</v>
      </c>
      <c r="F94" s="48">
        <f t="shared" si="24"/>
        <v>162000000</v>
      </c>
      <c r="G94" s="232">
        <f t="shared" si="25"/>
        <v>8.1000000000000003E-2</v>
      </c>
      <c r="H94" s="46">
        <f t="shared" si="29"/>
        <v>6.9000000000000006E-2</v>
      </c>
      <c r="I94" s="46">
        <f t="shared" si="26"/>
        <v>0.13</v>
      </c>
      <c r="J94" s="43">
        <f>Table15364345464[[#This Row],[Total Healthcare Expenditures
(All Categories):
Base Scenario]]*Table15364345464[[#This Row],[Smoking-Attributable Fraction (SAF) of Healthcare Expenditures
Base Scenario]]</f>
        <v>203958000</v>
      </c>
      <c r="K94" s="43">
        <f>Table15364345464[[#This Row],[Total Healthcare Expenditures
(All Categories):
Base Scenario]]*Table15364345464[[#This Row],[Smoking-Attributable Fraction (SAF) of Healthcare Expenditures: Lower Bound
Base Scenario]]</f>
        <v>173742000</v>
      </c>
      <c r="L94" s="43">
        <f>Table15364345464[[#This Row],[Total Healthcare Expenditures
(All Categories):
Base Scenario]]*Table15364345464[[#This Row],[Smoking-Attributable Fraction (SAF) of Healthcare Expenditures: Upper Bound
Base Scenario]]</f>
        <v>327340000</v>
      </c>
      <c r="M94" s="43">
        <f>Table15364345464[[#This Row],[Total Government Healthcare Expenditures
(including national insurance):
Base Scenario]]*Table15364345464[[#This Row],[Smoking-Attributable Fraction (SAF) of Healthcare Expenditures
Base Scenario]]</f>
        <v>73953000</v>
      </c>
      <c r="N94" s="43">
        <f>Table15364345464[[#This Row],[Total Government Healthcare Expenditures
(including national insurance):
Base Scenario]]*Table15364345464[[#This Row],[Smoking-Attributable Fraction (SAF) of Healthcare Expenditures: Lower Bound
Base Scenario]]</f>
        <v>62997000.000000007</v>
      </c>
      <c r="O94" s="43">
        <f>Table15364345464[[#This Row],[Total Government Healthcare Expenditures
(including national insurance):
Base Scenario]]*Table15364345464[[#This Row],[Smoking-Attributable Fraction (SAF) of Healthcare Expenditures: Upper Bound
Base Scenario]]</f>
        <v>118690000</v>
      </c>
      <c r="P94" s="43">
        <f>Table15364345464[[#This Row],[Total Private (Out-of-Pocket) Healthcare Expenditures:
Base Scenario]]*Table15364345464[[#This Row],[Smoking-Attributable Fraction (SAF) of Healthcare Expenditures
Base Scenario]]</f>
        <v>116883000</v>
      </c>
      <c r="Q94" s="43">
        <f>Table15364345464[[#This Row],[Total Private (Out-of-Pocket) Healthcare Expenditures:
Base Scenario]]*Table15364345464[[#This Row],[Smoking-Attributable Fraction (SAF) of Healthcare Expenditures: Lower Bound
Base Scenario]]</f>
        <v>99567000.000000015</v>
      </c>
      <c r="R94" s="43">
        <f>Table15364345464[[#This Row],[Total Private (Out-of-Pocket) Healthcare Expenditures:
Base Scenario]]*Table15364345464[[#This Row],[Smoking-Attributable Fraction (SAF) of Healthcare Expenditures: Upper Bound
Base Scenario]]</f>
        <v>187590000</v>
      </c>
      <c r="S94" s="43">
        <f>Table15364345464[[#This Row],[Total Other Health Expenditures:
Base Scenario]]*Table15364345464[[#This Row],[Smoking-Attributable Fraction (SAF) of Healthcare Expenditures
Base Scenario]]</f>
        <v>13122000</v>
      </c>
      <c r="T94" s="43">
        <f>Table15364345464[[#This Row],[Total Other Health Expenditures:
Base Scenario]]*Table15364345464[[#This Row],[Smoking-Attributable Fraction (SAF) of Healthcare Expenditures: Lower Bound
Base Scenario]]</f>
        <v>11178000.000000002</v>
      </c>
      <c r="U94" s="43">
        <f>Table15364345464[[#This Row],[Total Other Health Expenditures:
Base Scenario]]*Table15364345464[[#This Row],[Smoking-Attributable Fraction (SAF) of Healthcare Expenditures: Upper Bound
Base Scenario]]</f>
        <v>21060000</v>
      </c>
      <c r="V94" s="62">
        <v>-8.0000000000000026E-4</v>
      </c>
      <c r="W94" s="60">
        <f>W93*(1+Table15364345464[[#This Row],[Relative Change in Smoking Prevalence:
Smoke-Free Air Laws]])</f>
        <v>7.6290864271459494E-2</v>
      </c>
      <c r="X94" s="60">
        <f>X93*(1+Table15364345464[[#This Row],[Relative Change in Smoking Prevalence:
Smoke-Free Air Laws]])</f>
        <v>6.4988514009021045E-2</v>
      </c>
      <c r="Y94" s="60">
        <f>Y93*(1+Table15364345464[[#This Row],[Relative Change in Smoking Prevalence:
Smoke-Free Air Laws]])</f>
        <v>0.12244212784308313</v>
      </c>
      <c r="Z94" s="66">
        <f>Table15364345464[[#This Row],[Total Healthcare Expenditures
(All Categories):
Base Scenario]]*Table15364345464[[#This Row],[Smoking-Attributable Fraction (SAF) of Healthcare Expenditures:
Adjusted for Intervention Impacts]]</f>
        <v>192100396.235535</v>
      </c>
      <c r="AA94" s="64">
        <f>Table15364345464[[#This Row],[Total Healthcare Expenditures
(All Categories):
Base Scenario]]*Table15364345464[[#This Row],[Smoking-Attributable Fraction (SAF) of Healthcare Expenditures: Lower Bound
Adjusted for Intervention Impacts]]</f>
        <v>163641078.27471498</v>
      </c>
      <c r="AB94" s="66">
        <f>Table15364345464[[#This Row],[Total Healthcare Expenditures
(All Categories):
Base Scenario]]*Table15364345464[[#This Row],[Smoking-Attributable Fraction (SAF) of Healthcare Expenditures: Upper Bound
Adjusted for Intervention Impacts]]</f>
        <v>308309277.90888333</v>
      </c>
      <c r="AC94" s="66">
        <f>Table15364345464[[#This Row],[Total Government Healthcare Expenditures
(including national insurance):
Base Scenario]]*Table15364345464[[#This Row],[Smoking-Attributable Fraction (SAF) of Healthcare Expenditures:
Adjusted for Intervention Impacts]]</f>
        <v>69653559.079842523</v>
      </c>
      <c r="AD94" s="66">
        <f>Table15364345464[[#This Row],[Total Government Healthcare Expenditures
(including national insurance):
Base Scenario]]*Table15364345464[[#This Row],[Smoking-Attributable Fraction (SAF) of Healthcare Expenditures: Lower Bound
Adjusted for Intervention Impacts]]</f>
        <v>59334513.290236212</v>
      </c>
      <c r="AE94" s="66">
        <f>Table15364345464[[#This Row],[Total Government Healthcare Expenditures
(including national insurance):
Base Scenario]]*Table15364345464[[#This Row],[Smoking-Attributable Fraction (SAF) of Healthcare Expenditures: Upper Bound
Adjusted for Intervention Impacts]]</f>
        <v>111789662.72073489</v>
      </c>
      <c r="AF94" s="66">
        <f>Table15364345464[[#This Row],[Total Private (Out-of-Pocket) Healthcare Expenditures:
Base Scenario]]*Table15364345464[[#This Row],[Smoking-Attributable Fraction (SAF) of Healthcare Expenditures:
Adjusted for Intervention Impacts]]</f>
        <v>110087717.14371605</v>
      </c>
      <c r="AG94" s="66">
        <f>Table15364345464[[#This Row],[Total Private (Out-of-Pocket) Healthcare Expenditures:
Base Scenario]]*Table15364345464[[#This Row],[Smoking-Attributable Fraction (SAF) of Healthcare Expenditures: Lower Bound
Adjusted for Intervention Impacts]]</f>
        <v>93778425.715017363</v>
      </c>
      <c r="AH94" s="66">
        <f>Table15364345464[[#This Row],[Total Private (Out-of-Pocket) Healthcare Expenditures:
Base Scenario]]*Table15364345464[[#This Row],[Smoking-Attributable Fraction (SAF) of Healthcare Expenditures: Upper Bound
Adjusted for Intervention Impacts]]</f>
        <v>176683990.47756895</v>
      </c>
      <c r="AI94" s="65">
        <f>Table15364345464[[#This Row],[Total Other Health Expenditures:
Base Scenario]]*Table15364345464[[#This Row],[Smoking-Attributable Fraction (SAF) of Healthcare Expenditures:
Adjusted for Intervention Impacts]]</f>
        <v>12359120.011976438</v>
      </c>
      <c r="AJ94" s="65">
        <f>Table15364345464[[#This Row],[Total Other Health Expenditures:
Base Scenario]]*Table15364345464[[#This Row],[Smoking-Attributable Fraction (SAF) of Healthcare Expenditures: Lower Bound
Adjusted for Intervention Impacts]]</f>
        <v>10528139.26946141</v>
      </c>
      <c r="AK94" s="65">
        <f>Table15364345464[[#This Row],[Total Other Health Expenditures:
Base Scenario]]*Table15364345464[[#This Row],[Smoking-Attributable Fraction (SAF) of Healthcare Expenditures: Upper Bound
Adjusted for Intervention Impacts]]</f>
        <v>19835624.710579466</v>
      </c>
      <c r="AL94" s="76">
        <f>Table15364345464[[#This Row],[Smoking-Attributable Total Healthcare Expenditures:
Base Scenario]]-Table15364345464[[#This Row],[Smoking-Attributable Total Healthcare Expenditures:
Intervention Scenario]]</f>
        <v>11857603.764465004</v>
      </c>
      <c r="AM94" s="76">
        <f>Table15364345464[[#This Row],[Smoking-Attributable Total Healthcare Expenditures: Lower Bound
Base Scenario]]-Table15364345464[[#This Row],[Smoking-Attributable Total Healthcare Expenditures: Lower Bound
Intervention Scenario]]</f>
        <v>10100921.725285023</v>
      </c>
      <c r="AN94" s="76">
        <f>Table15364345464[[#This Row],[Smoking-Attributable Total Healthcare Expenditures: Upper Bound
Base Scenario]]-Table15364345464[[#This Row],[Smoking-Attributable Total Healthcare Expenditures: Upper Bound
Intervention Scenario]]</f>
        <v>19030722.091116667</v>
      </c>
      <c r="AO94" s="76">
        <f>Table15364345464[[#This Row],[Smoking-Attributable Government Healthcare Expenditures
(including national insurance):
Base Scenario]]-Table15364345464[[#This Row],[Smoking-Attributable Government Healthcare Expenditures
(including national insurance):
Intervention Scenario]]</f>
        <v>4299440.9201574773</v>
      </c>
      <c r="AP94"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3662486.7097637951</v>
      </c>
      <c r="AQ94"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6900337.2792651057</v>
      </c>
      <c r="AR94" s="76">
        <f>Table15364345464[[#This Row],[Smoking-Attributable Private Healthcare Expenditures:
Base Scenario]]-Table15364345464[[#This Row],[Smoking-Attributable Private Healthcare Expenditures:
Intervention Scenario]]</f>
        <v>6795282.8562839478</v>
      </c>
      <c r="AS94" s="76">
        <f>Table15364345464[[#This Row],[Smoking-Attributable Private Healthcare Expenditures: Lower Bound
Base Scenario]]-Table15364345464[[#This Row],[Smoking-Attributable Private Healthcare Expenditures: Lower Bound
Intervention Scenario]]</f>
        <v>5788574.2849826515</v>
      </c>
      <c r="AT94" s="76">
        <f>Table15364345464[[#This Row],[Smoking-Attributable Private Healthcare Expenditures: Upper Bound
Base Scenario]]-Table15364345464[[#This Row],[Smoking-Attributable Private Healthcare Expenditures: Upper Bound
Intervention Scenario]]</f>
        <v>10906009.522431046</v>
      </c>
      <c r="AU94" s="76">
        <f>Table15364345464[[#This Row],[Smoking-Attributable Other Health Expenditures:
Base Scenario]]-Table15364345464[[#This Row],[Smoking-Attributable Other Health Expenditures:
Intervention Scenario]]</f>
        <v>762879.98802356236</v>
      </c>
      <c r="AV94" s="235">
        <f>Table15364345464[[#This Row],[Smoking-Attributable Other Health Expenditures: Lower Bound
Base Scenario]]-Table15364345464[[#This Row],[Smoking-Attributable Other Health Expenditures: Lower Bound
Intervention Scenario]]</f>
        <v>649860.73053859174</v>
      </c>
      <c r="AW94" s="235">
        <f>Table15364345464[[#This Row],[Smoking-Attributable Other Health Expenditures: Upper Bound
Base Scenario]]-Table15364345464[[#This Row],[Smoking-Attributable Other Health Expenditures: Upper Bound
Intervention Scenario]]</f>
        <v>1224375.2894205339</v>
      </c>
    </row>
    <row r="95" spans="2:49">
      <c r="B95" s="47">
        <v>13</v>
      </c>
      <c r="C95" s="48">
        <f t="shared" si="21"/>
        <v>2518000000</v>
      </c>
      <c r="D95" s="48">
        <f t="shared" si="22"/>
        <v>913000000</v>
      </c>
      <c r="E95" s="48">
        <f t="shared" si="23"/>
        <v>1443000000</v>
      </c>
      <c r="F95" s="48">
        <f t="shared" si="24"/>
        <v>162000000</v>
      </c>
      <c r="G95" s="232">
        <f t="shared" si="25"/>
        <v>8.1000000000000003E-2</v>
      </c>
      <c r="H95" s="46">
        <f t="shared" si="29"/>
        <v>6.9000000000000006E-2</v>
      </c>
      <c r="I95" s="46">
        <f t="shared" si="26"/>
        <v>0.13</v>
      </c>
      <c r="J95" s="43">
        <f>Table15364345464[[#This Row],[Total Healthcare Expenditures
(All Categories):
Base Scenario]]*Table15364345464[[#This Row],[Smoking-Attributable Fraction (SAF) of Healthcare Expenditures
Base Scenario]]</f>
        <v>203958000</v>
      </c>
      <c r="K95" s="43">
        <f>Table15364345464[[#This Row],[Total Healthcare Expenditures
(All Categories):
Base Scenario]]*Table15364345464[[#This Row],[Smoking-Attributable Fraction (SAF) of Healthcare Expenditures: Lower Bound
Base Scenario]]</f>
        <v>173742000</v>
      </c>
      <c r="L95" s="43">
        <f>Table15364345464[[#This Row],[Total Healthcare Expenditures
(All Categories):
Base Scenario]]*Table15364345464[[#This Row],[Smoking-Attributable Fraction (SAF) of Healthcare Expenditures: Upper Bound
Base Scenario]]</f>
        <v>327340000</v>
      </c>
      <c r="M95" s="43">
        <f>Table15364345464[[#This Row],[Total Government Healthcare Expenditures
(including national insurance):
Base Scenario]]*Table15364345464[[#This Row],[Smoking-Attributable Fraction (SAF) of Healthcare Expenditures
Base Scenario]]</f>
        <v>73953000</v>
      </c>
      <c r="N95" s="43">
        <f>Table15364345464[[#This Row],[Total Government Healthcare Expenditures
(including national insurance):
Base Scenario]]*Table15364345464[[#This Row],[Smoking-Attributable Fraction (SAF) of Healthcare Expenditures: Lower Bound
Base Scenario]]</f>
        <v>62997000.000000007</v>
      </c>
      <c r="O95" s="43">
        <f>Table15364345464[[#This Row],[Total Government Healthcare Expenditures
(including national insurance):
Base Scenario]]*Table15364345464[[#This Row],[Smoking-Attributable Fraction (SAF) of Healthcare Expenditures: Upper Bound
Base Scenario]]</f>
        <v>118690000</v>
      </c>
      <c r="P95" s="43">
        <f>Table15364345464[[#This Row],[Total Private (Out-of-Pocket) Healthcare Expenditures:
Base Scenario]]*Table15364345464[[#This Row],[Smoking-Attributable Fraction (SAF) of Healthcare Expenditures
Base Scenario]]</f>
        <v>116883000</v>
      </c>
      <c r="Q95" s="43">
        <f>Table15364345464[[#This Row],[Total Private (Out-of-Pocket) Healthcare Expenditures:
Base Scenario]]*Table15364345464[[#This Row],[Smoking-Attributable Fraction (SAF) of Healthcare Expenditures: Lower Bound
Base Scenario]]</f>
        <v>99567000.000000015</v>
      </c>
      <c r="R95" s="43">
        <f>Table15364345464[[#This Row],[Total Private (Out-of-Pocket) Healthcare Expenditures:
Base Scenario]]*Table15364345464[[#This Row],[Smoking-Attributable Fraction (SAF) of Healthcare Expenditures: Upper Bound
Base Scenario]]</f>
        <v>187590000</v>
      </c>
      <c r="S95" s="43">
        <f>Table15364345464[[#This Row],[Total Other Health Expenditures:
Base Scenario]]*Table15364345464[[#This Row],[Smoking-Attributable Fraction (SAF) of Healthcare Expenditures
Base Scenario]]</f>
        <v>13122000</v>
      </c>
      <c r="T95" s="43">
        <f>Table15364345464[[#This Row],[Total Other Health Expenditures:
Base Scenario]]*Table15364345464[[#This Row],[Smoking-Attributable Fraction (SAF) of Healthcare Expenditures: Lower Bound
Base Scenario]]</f>
        <v>11178000.000000002</v>
      </c>
      <c r="U95" s="43">
        <f>Table15364345464[[#This Row],[Total Other Health Expenditures:
Base Scenario]]*Table15364345464[[#This Row],[Smoking-Attributable Fraction (SAF) of Healthcare Expenditures: Upper Bound
Base Scenario]]</f>
        <v>21060000</v>
      </c>
      <c r="V95" s="62">
        <v>-8.0000000000000026E-4</v>
      </c>
      <c r="W95" s="60">
        <f>W94*(1+Table15364345464[[#This Row],[Relative Change in Smoking Prevalence:
Smoke-Free Air Laws]])</f>
        <v>7.6229831580042318E-2</v>
      </c>
      <c r="X95" s="60">
        <f>X94*(1+Table15364345464[[#This Row],[Relative Change in Smoking Prevalence:
Smoke-Free Air Laws]])</f>
        <v>6.4936523197813831E-2</v>
      </c>
      <c r="Y95" s="60">
        <f>Y94*(1+Table15364345464[[#This Row],[Relative Change in Smoking Prevalence:
Smoke-Free Air Laws]])</f>
        <v>0.12234417414080866</v>
      </c>
      <c r="Z95" s="66">
        <f>Table15364345464[[#This Row],[Total Healthcare Expenditures
(All Categories):
Base Scenario]]*Table15364345464[[#This Row],[Smoking-Attributable Fraction (SAF) of Healthcare Expenditures:
Adjusted for Intervention Impacts]]</f>
        <v>191946715.91854656</v>
      </c>
      <c r="AA95" s="64">
        <f>Table15364345464[[#This Row],[Total Healthcare Expenditures
(All Categories):
Base Scenario]]*Table15364345464[[#This Row],[Smoking-Attributable Fraction (SAF) of Healthcare Expenditures: Lower Bound
Adjusted for Intervention Impacts]]</f>
        <v>163510165.41209522</v>
      </c>
      <c r="AB95" s="66">
        <f>Table15364345464[[#This Row],[Total Healthcare Expenditures
(All Categories):
Base Scenario]]*Table15364345464[[#This Row],[Smoking-Attributable Fraction (SAF) of Healthcare Expenditures: Upper Bound
Adjusted for Intervention Impacts]]</f>
        <v>308062630.48655617</v>
      </c>
      <c r="AC95" s="66">
        <f>Table15364345464[[#This Row],[Total Government Healthcare Expenditures
(including national insurance):
Base Scenario]]*Table15364345464[[#This Row],[Smoking-Attributable Fraction (SAF) of Healthcare Expenditures:
Adjusted for Intervention Impacts]]</f>
        <v>69597836.232578635</v>
      </c>
      <c r="AD95" s="66">
        <f>Table15364345464[[#This Row],[Total Government Healthcare Expenditures
(including national insurance):
Base Scenario]]*Table15364345464[[#This Row],[Smoking-Attributable Fraction (SAF) of Healthcare Expenditures: Lower Bound
Adjusted for Intervention Impacts]]</f>
        <v>59287045.679604031</v>
      </c>
      <c r="AE95" s="66">
        <f>Table15364345464[[#This Row],[Total Government Healthcare Expenditures
(including national insurance):
Base Scenario]]*Table15364345464[[#This Row],[Smoking-Attributable Fraction (SAF) of Healthcare Expenditures: Upper Bound
Adjusted for Intervention Impacts]]</f>
        <v>111700230.9905583</v>
      </c>
      <c r="AF95" s="66">
        <f>Table15364345464[[#This Row],[Total Private (Out-of-Pocket) Healthcare Expenditures:
Base Scenario]]*Table15364345464[[#This Row],[Smoking-Attributable Fraction (SAF) of Healthcare Expenditures:
Adjusted for Intervention Impacts]]</f>
        <v>109999646.97000107</v>
      </c>
      <c r="AG95" s="66">
        <f>Table15364345464[[#This Row],[Total Private (Out-of-Pocket) Healthcare Expenditures:
Base Scenario]]*Table15364345464[[#This Row],[Smoking-Attributable Fraction (SAF) of Healthcare Expenditures: Lower Bound
Adjusted for Intervention Impacts]]</f>
        <v>93703402.974445358</v>
      </c>
      <c r="AH95" s="66">
        <f>Table15364345464[[#This Row],[Total Private (Out-of-Pocket) Healthcare Expenditures:
Base Scenario]]*Table15364345464[[#This Row],[Smoking-Attributable Fraction (SAF) of Healthcare Expenditures: Upper Bound
Adjusted for Intervention Impacts]]</f>
        <v>176542643.28518689</v>
      </c>
      <c r="AI95" s="65">
        <f>Table15364345464[[#This Row],[Total Other Health Expenditures:
Base Scenario]]*Table15364345464[[#This Row],[Smoking-Attributable Fraction (SAF) of Healthcare Expenditures:
Adjusted for Intervention Impacts]]</f>
        <v>12349232.715966856</v>
      </c>
      <c r="AJ95" s="65">
        <f>Table15364345464[[#This Row],[Total Other Health Expenditures:
Base Scenario]]*Table15364345464[[#This Row],[Smoking-Attributable Fraction (SAF) of Healthcare Expenditures: Lower Bound
Adjusted for Intervention Impacts]]</f>
        <v>10519716.758045841</v>
      </c>
      <c r="AK95" s="65">
        <f>Table15364345464[[#This Row],[Total Other Health Expenditures:
Base Scenario]]*Table15364345464[[#This Row],[Smoking-Attributable Fraction (SAF) of Healthcare Expenditures: Upper Bound
Adjusted for Intervention Impacts]]</f>
        <v>19819756.210811004</v>
      </c>
      <c r="AL95" s="76">
        <f>Table15364345464[[#This Row],[Smoking-Attributable Total Healthcare Expenditures:
Base Scenario]]-Table15364345464[[#This Row],[Smoking-Attributable Total Healthcare Expenditures:
Intervention Scenario]]</f>
        <v>12011284.081453443</v>
      </c>
      <c r="AM95" s="76">
        <f>Table15364345464[[#This Row],[Smoking-Attributable Total Healthcare Expenditures: Lower Bound
Base Scenario]]-Table15364345464[[#This Row],[Smoking-Attributable Total Healthcare Expenditures: Lower Bound
Intervention Scenario]]</f>
        <v>10231834.587904781</v>
      </c>
      <c r="AN95" s="76">
        <f>Table15364345464[[#This Row],[Smoking-Attributable Total Healthcare Expenditures: Upper Bound
Base Scenario]]-Table15364345464[[#This Row],[Smoking-Attributable Total Healthcare Expenditures: Upper Bound
Intervention Scenario]]</f>
        <v>19277369.513443828</v>
      </c>
      <c r="AO95" s="76">
        <f>Table15364345464[[#This Row],[Smoking-Attributable Government Healthcare Expenditures
(including national insurance):
Base Scenario]]-Table15364345464[[#This Row],[Smoking-Attributable Government Healthcare Expenditures
(including national insurance):
Intervention Scenario]]</f>
        <v>4355163.7674213648</v>
      </c>
      <c r="AP95"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3709954.3203959763</v>
      </c>
      <c r="AQ95"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6989769.0094417036</v>
      </c>
      <c r="AR95" s="76">
        <f>Table15364345464[[#This Row],[Smoking-Attributable Private Healthcare Expenditures:
Base Scenario]]-Table15364345464[[#This Row],[Smoking-Attributable Private Healthcare Expenditures:
Intervention Scenario]]</f>
        <v>6883353.0299989283</v>
      </c>
      <c r="AS95" s="76">
        <f>Table15364345464[[#This Row],[Smoking-Attributable Private Healthcare Expenditures: Lower Bound
Base Scenario]]-Table15364345464[[#This Row],[Smoking-Attributable Private Healthcare Expenditures: Lower Bound
Intervention Scenario]]</f>
        <v>5863597.025554657</v>
      </c>
      <c r="AT95" s="76">
        <f>Table15364345464[[#This Row],[Smoking-Attributable Private Healthcare Expenditures: Upper Bound
Base Scenario]]-Table15364345464[[#This Row],[Smoking-Attributable Private Healthcare Expenditures: Upper Bound
Intervention Scenario]]</f>
        <v>11047356.714813113</v>
      </c>
      <c r="AU95" s="76">
        <f>Table15364345464[[#This Row],[Smoking-Attributable Other Health Expenditures:
Base Scenario]]-Table15364345464[[#This Row],[Smoking-Attributable Other Health Expenditures:
Intervention Scenario]]</f>
        <v>772767.28403314389</v>
      </c>
      <c r="AV95" s="235">
        <f>Table15364345464[[#This Row],[Smoking-Attributable Other Health Expenditures: Lower Bound
Base Scenario]]-Table15364345464[[#This Row],[Smoking-Attributable Other Health Expenditures: Lower Bound
Intervention Scenario]]</f>
        <v>658283.24195416085</v>
      </c>
      <c r="AW95" s="235">
        <f>Table15364345464[[#This Row],[Smoking-Attributable Other Health Expenditures: Upper Bound
Base Scenario]]-Table15364345464[[#This Row],[Smoking-Attributable Other Health Expenditures: Upper Bound
Intervention Scenario]]</f>
        <v>1240243.789188996</v>
      </c>
    </row>
    <row r="96" spans="2:49">
      <c r="B96" s="47">
        <v>14</v>
      </c>
      <c r="C96" s="48">
        <f t="shared" si="21"/>
        <v>2518000000</v>
      </c>
      <c r="D96" s="48">
        <f t="shared" si="22"/>
        <v>913000000</v>
      </c>
      <c r="E96" s="48">
        <f t="shared" si="23"/>
        <v>1443000000</v>
      </c>
      <c r="F96" s="48">
        <f t="shared" si="24"/>
        <v>162000000</v>
      </c>
      <c r="G96" s="232">
        <f t="shared" si="25"/>
        <v>8.1000000000000003E-2</v>
      </c>
      <c r="H96" s="46">
        <f t="shared" si="29"/>
        <v>6.9000000000000006E-2</v>
      </c>
      <c r="I96" s="46">
        <f t="shared" si="26"/>
        <v>0.13</v>
      </c>
      <c r="J96" s="43">
        <f>Table15364345464[[#This Row],[Total Healthcare Expenditures
(All Categories):
Base Scenario]]*Table15364345464[[#This Row],[Smoking-Attributable Fraction (SAF) of Healthcare Expenditures
Base Scenario]]</f>
        <v>203958000</v>
      </c>
      <c r="K96" s="43">
        <f>Table15364345464[[#This Row],[Total Healthcare Expenditures
(All Categories):
Base Scenario]]*Table15364345464[[#This Row],[Smoking-Attributable Fraction (SAF) of Healthcare Expenditures: Lower Bound
Base Scenario]]</f>
        <v>173742000</v>
      </c>
      <c r="L96" s="43">
        <f>Table15364345464[[#This Row],[Total Healthcare Expenditures
(All Categories):
Base Scenario]]*Table15364345464[[#This Row],[Smoking-Attributable Fraction (SAF) of Healthcare Expenditures: Upper Bound
Base Scenario]]</f>
        <v>327340000</v>
      </c>
      <c r="M96" s="43">
        <f>Table15364345464[[#This Row],[Total Government Healthcare Expenditures
(including national insurance):
Base Scenario]]*Table15364345464[[#This Row],[Smoking-Attributable Fraction (SAF) of Healthcare Expenditures
Base Scenario]]</f>
        <v>73953000</v>
      </c>
      <c r="N96" s="43">
        <f>Table15364345464[[#This Row],[Total Government Healthcare Expenditures
(including national insurance):
Base Scenario]]*Table15364345464[[#This Row],[Smoking-Attributable Fraction (SAF) of Healthcare Expenditures: Lower Bound
Base Scenario]]</f>
        <v>62997000.000000007</v>
      </c>
      <c r="O96" s="43">
        <f>Table15364345464[[#This Row],[Total Government Healthcare Expenditures
(including national insurance):
Base Scenario]]*Table15364345464[[#This Row],[Smoking-Attributable Fraction (SAF) of Healthcare Expenditures: Upper Bound
Base Scenario]]</f>
        <v>118690000</v>
      </c>
      <c r="P96" s="43">
        <f>Table15364345464[[#This Row],[Total Private (Out-of-Pocket) Healthcare Expenditures:
Base Scenario]]*Table15364345464[[#This Row],[Smoking-Attributable Fraction (SAF) of Healthcare Expenditures
Base Scenario]]</f>
        <v>116883000</v>
      </c>
      <c r="Q96" s="43">
        <f>Table15364345464[[#This Row],[Total Private (Out-of-Pocket) Healthcare Expenditures:
Base Scenario]]*Table15364345464[[#This Row],[Smoking-Attributable Fraction (SAF) of Healthcare Expenditures: Lower Bound
Base Scenario]]</f>
        <v>99567000.000000015</v>
      </c>
      <c r="R96" s="43">
        <f>Table15364345464[[#This Row],[Total Private (Out-of-Pocket) Healthcare Expenditures:
Base Scenario]]*Table15364345464[[#This Row],[Smoking-Attributable Fraction (SAF) of Healthcare Expenditures: Upper Bound
Base Scenario]]</f>
        <v>187590000</v>
      </c>
      <c r="S96" s="43">
        <f>Table15364345464[[#This Row],[Total Other Health Expenditures:
Base Scenario]]*Table15364345464[[#This Row],[Smoking-Attributable Fraction (SAF) of Healthcare Expenditures
Base Scenario]]</f>
        <v>13122000</v>
      </c>
      <c r="T96" s="43">
        <f>Table15364345464[[#This Row],[Total Other Health Expenditures:
Base Scenario]]*Table15364345464[[#This Row],[Smoking-Attributable Fraction (SAF) of Healthcare Expenditures: Lower Bound
Base Scenario]]</f>
        <v>11178000.000000002</v>
      </c>
      <c r="U96" s="43">
        <f>Table15364345464[[#This Row],[Total Other Health Expenditures:
Base Scenario]]*Table15364345464[[#This Row],[Smoking-Attributable Fraction (SAF) of Healthcare Expenditures: Upper Bound
Base Scenario]]</f>
        <v>21060000</v>
      </c>
      <c r="V96" s="62">
        <v>-8.0000000000000026E-4</v>
      </c>
      <c r="W96" s="60">
        <f>W95*(1+Table15364345464[[#This Row],[Relative Change in Smoking Prevalence:
Smoke-Free Air Laws]])</f>
        <v>7.6168847714778276E-2</v>
      </c>
      <c r="X96" s="60">
        <f>X95*(1+Table15364345464[[#This Row],[Relative Change in Smoking Prevalence:
Smoke-Free Air Laws]])</f>
        <v>6.488457397925558E-2</v>
      </c>
      <c r="Y96" s="60">
        <f>Y95*(1+Table15364345464[[#This Row],[Relative Change in Smoking Prevalence:
Smoke-Free Air Laws]])</f>
        <v>0.12224629880149601</v>
      </c>
      <c r="Z96" s="66">
        <f>Table15364345464[[#This Row],[Total Healthcare Expenditures
(All Categories):
Base Scenario]]*Table15364345464[[#This Row],[Smoking-Attributable Fraction (SAF) of Healthcare Expenditures:
Adjusted for Intervention Impacts]]</f>
        <v>191793158.54581171</v>
      </c>
      <c r="AA96" s="64">
        <f>Table15364345464[[#This Row],[Total Healthcare Expenditures
(All Categories):
Base Scenario]]*Table15364345464[[#This Row],[Smoking-Attributable Fraction (SAF) of Healthcare Expenditures: Lower Bound
Adjusted for Intervention Impacts]]</f>
        <v>163379357.27976555</v>
      </c>
      <c r="AB96" s="66">
        <f>Table15364345464[[#This Row],[Total Healthcare Expenditures
(All Categories):
Base Scenario]]*Table15364345464[[#This Row],[Smoking-Attributable Fraction (SAF) of Healthcare Expenditures: Upper Bound
Adjusted for Intervention Impacts]]</f>
        <v>307816180.38216698</v>
      </c>
      <c r="AC96" s="66">
        <f>Table15364345464[[#This Row],[Total Government Healthcare Expenditures
(including national insurance):
Base Scenario]]*Table15364345464[[#This Row],[Smoking-Attributable Fraction (SAF) of Healthcare Expenditures:
Adjusted for Intervention Impacts]]</f>
        <v>69542157.963592559</v>
      </c>
      <c r="AD96" s="66">
        <f>Table15364345464[[#This Row],[Total Government Healthcare Expenditures
(including national insurance):
Base Scenario]]*Table15364345464[[#This Row],[Smoking-Attributable Fraction (SAF) of Healthcare Expenditures: Lower Bound
Adjusted for Intervention Impacts]]</f>
        <v>59239616.043060347</v>
      </c>
      <c r="AE96" s="66">
        <f>Table15364345464[[#This Row],[Total Government Healthcare Expenditures
(including national insurance):
Base Scenario]]*Table15364345464[[#This Row],[Smoking-Attributable Fraction (SAF) of Healthcare Expenditures: Upper Bound
Adjusted for Intervention Impacts]]</f>
        <v>111610870.80576585</v>
      </c>
      <c r="AF96" s="66">
        <f>Table15364345464[[#This Row],[Total Private (Out-of-Pocket) Healthcare Expenditures:
Base Scenario]]*Table15364345464[[#This Row],[Smoking-Attributable Fraction (SAF) of Healthcare Expenditures:
Adjusted for Intervention Impacts]]</f>
        <v>109911647.25242506</v>
      </c>
      <c r="AG96" s="66">
        <f>Table15364345464[[#This Row],[Total Private (Out-of-Pocket) Healthcare Expenditures:
Base Scenario]]*Table15364345464[[#This Row],[Smoking-Attributable Fraction (SAF) of Healthcare Expenditures: Lower Bound
Adjusted for Intervention Impacts]]</f>
        <v>93628440.252065808</v>
      </c>
      <c r="AH96" s="66">
        <f>Table15364345464[[#This Row],[Total Private (Out-of-Pocket) Healthcare Expenditures:
Base Scenario]]*Table15364345464[[#This Row],[Smoking-Attributable Fraction (SAF) of Healthcare Expenditures: Upper Bound
Adjusted for Intervention Impacts]]</f>
        <v>176401409.17055875</v>
      </c>
      <c r="AI96" s="65">
        <f>Table15364345464[[#This Row],[Total Other Health Expenditures:
Base Scenario]]*Table15364345464[[#This Row],[Smoking-Attributable Fraction (SAF) of Healthcare Expenditures:
Adjusted for Intervention Impacts]]</f>
        <v>12339353.329794081</v>
      </c>
      <c r="AJ96" s="65">
        <f>Table15364345464[[#This Row],[Total Other Health Expenditures:
Base Scenario]]*Table15364345464[[#This Row],[Smoking-Attributable Fraction (SAF) of Healthcare Expenditures: Lower Bound
Adjusted for Intervention Impacts]]</f>
        <v>10511300.984639404</v>
      </c>
      <c r="AK96" s="65">
        <f>Table15364345464[[#This Row],[Total Other Health Expenditures:
Base Scenario]]*Table15364345464[[#This Row],[Smoking-Attributable Fraction (SAF) of Healthcare Expenditures: Upper Bound
Adjusted for Intervention Impacts]]</f>
        <v>19803900.405842353</v>
      </c>
      <c r="AL96" s="76">
        <f>Table15364345464[[#This Row],[Smoking-Attributable Total Healthcare Expenditures:
Base Scenario]]-Table15364345464[[#This Row],[Smoking-Attributable Total Healthcare Expenditures:
Intervention Scenario]]</f>
        <v>12164841.454188287</v>
      </c>
      <c r="AM96" s="76">
        <f>Table15364345464[[#This Row],[Smoking-Attributable Total Healthcare Expenditures: Lower Bound
Base Scenario]]-Table15364345464[[#This Row],[Smoking-Attributable Total Healthcare Expenditures: Lower Bound
Intervention Scenario]]</f>
        <v>10362642.720234454</v>
      </c>
      <c r="AN96" s="76">
        <f>Table15364345464[[#This Row],[Smoking-Attributable Total Healthcare Expenditures: Upper Bound
Base Scenario]]-Table15364345464[[#This Row],[Smoking-Attributable Total Healthcare Expenditures: Upper Bound
Intervention Scenario]]</f>
        <v>19523819.617833018</v>
      </c>
      <c r="AO96" s="76">
        <f>Table15364345464[[#This Row],[Smoking-Attributable Government Healthcare Expenditures
(including national insurance):
Base Scenario]]-Table15364345464[[#This Row],[Smoking-Attributable Government Healthcare Expenditures
(including national insurance):
Intervention Scenario]]</f>
        <v>4410842.0364074409</v>
      </c>
      <c r="AP96"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3757383.95693966</v>
      </c>
      <c r="AQ96"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7079129.1942341477</v>
      </c>
      <c r="AR96" s="76">
        <f>Table15364345464[[#This Row],[Smoking-Attributable Private Healthcare Expenditures:
Base Scenario]]-Table15364345464[[#This Row],[Smoking-Attributable Private Healthcare Expenditures:
Intervention Scenario]]</f>
        <v>6971352.7475749403</v>
      </c>
      <c r="AS96" s="76">
        <f>Table15364345464[[#This Row],[Smoking-Attributable Private Healthcare Expenditures: Lower Bound
Base Scenario]]-Table15364345464[[#This Row],[Smoking-Attributable Private Healthcare Expenditures: Lower Bound
Intervention Scenario]]</f>
        <v>5938559.7479342073</v>
      </c>
      <c r="AT96" s="76">
        <f>Table15364345464[[#This Row],[Smoking-Attributable Private Healthcare Expenditures: Upper Bound
Base Scenario]]-Table15364345464[[#This Row],[Smoking-Attributable Private Healthcare Expenditures: Upper Bound
Intervention Scenario]]</f>
        <v>11188590.829441249</v>
      </c>
      <c r="AU96" s="76">
        <f>Table15364345464[[#This Row],[Smoking-Attributable Other Health Expenditures:
Base Scenario]]-Table15364345464[[#This Row],[Smoking-Attributable Other Health Expenditures:
Intervention Scenario]]</f>
        <v>782646.67020591907</v>
      </c>
      <c r="AV96" s="235">
        <f>Table15364345464[[#This Row],[Smoking-Attributable Other Health Expenditures: Lower Bound
Base Scenario]]-Table15364345464[[#This Row],[Smoking-Attributable Other Health Expenditures: Lower Bound
Intervention Scenario]]</f>
        <v>666699.01536059752</v>
      </c>
      <c r="AW96" s="235">
        <f>Table15364345464[[#This Row],[Smoking-Attributable Other Health Expenditures: Upper Bound
Base Scenario]]-Table15364345464[[#This Row],[Smoking-Attributable Other Health Expenditures: Upper Bound
Intervention Scenario]]</f>
        <v>1256099.5941576473</v>
      </c>
    </row>
    <row r="97" spans="2:49">
      <c r="B97" s="47">
        <v>15</v>
      </c>
      <c r="C97" s="48">
        <f t="shared" si="21"/>
        <v>2518000000</v>
      </c>
      <c r="D97" s="48">
        <f t="shared" si="22"/>
        <v>913000000</v>
      </c>
      <c r="E97" s="48">
        <f t="shared" si="23"/>
        <v>1443000000</v>
      </c>
      <c r="F97" s="48">
        <f t="shared" si="24"/>
        <v>162000000</v>
      </c>
      <c r="G97" s="232">
        <f t="shared" si="25"/>
        <v>8.1000000000000003E-2</v>
      </c>
      <c r="H97" s="46">
        <f t="shared" si="29"/>
        <v>6.9000000000000006E-2</v>
      </c>
      <c r="I97" s="46">
        <f t="shared" si="26"/>
        <v>0.13</v>
      </c>
      <c r="J97" s="43">
        <f>Table15364345464[[#This Row],[Total Healthcare Expenditures
(All Categories):
Base Scenario]]*Table15364345464[[#This Row],[Smoking-Attributable Fraction (SAF) of Healthcare Expenditures
Base Scenario]]</f>
        <v>203958000</v>
      </c>
      <c r="K97" s="43">
        <f>Table15364345464[[#This Row],[Total Healthcare Expenditures
(All Categories):
Base Scenario]]*Table15364345464[[#This Row],[Smoking-Attributable Fraction (SAF) of Healthcare Expenditures: Lower Bound
Base Scenario]]</f>
        <v>173742000</v>
      </c>
      <c r="L97" s="43">
        <f>Table15364345464[[#This Row],[Total Healthcare Expenditures
(All Categories):
Base Scenario]]*Table15364345464[[#This Row],[Smoking-Attributable Fraction (SAF) of Healthcare Expenditures: Upper Bound
Base Scenario]]</f>
        <v>327340000</v>
      </c>
      <c r="M97" s="43">
        <f>Table15364345464[[#This Row],[Total Government Healthcare Expenditures
(including national insurance):
Base Scenario]]*Table15364345464[[#This Row],[Smoking-Attributable Fraction (SAF) of Healthcare Expenditures
Base Scenario]]</f>
        <v>73953000</v>
      </c>
      <c r="N97" s="43">
        <f>Table15364345464[[#This Row],[Total Government Healthcare Expenditures
(including national insurance):
Base Scenario]]*Table15364345464[[#This Row],[Smoking-Attributable Fraction (SAF) of Healthcare Expenditures: Lower Bound
Base Scenario]]</f>
        <v>62997000.000000007</v>
      </c>
      <c r="O97" s="43">
        <f>Table15364345464[[#This Row],[Total Government Healthcare Expenditures
(including national insurance):
Base Scenario]]*Table15364345464[[#This Row],[Smoking-Attributable Fraction (SAF) of Healthcare Expenditures: Upper Bound
Base Scenario]]</f>
        <v>118690000</v>
      </c>
      <c r="P97" s="43">
        <f>Table15364345464[[#This Row],[Total Private (Out-of-Pocket) Healthcare Expenditures:
Base Scenario]]*Table15364345464[[#This Row],[Smoking-Attributable Fraction (SAF) of Healthcare Expenditures
Base Scenario]]</f>
        <v>116883000</v>
      </c>
      <c r="Q97" s="43">
        <f>Table15364345464[[#This Row],[Total Private (Out-of-Pocket) Healthcare Expenditures:
Base Scenario]]*Table15364345464[[#This Row],[Smoking-Attributable Fraction (SAF) of Healthcare Expenditures: Lower Bound
Base Scenario]]</f>
        <v>99567000.000000015</v>
      </c>
      <c r="R97" s="43">
        <f>Table15364345464[[#This Row],[Total Private (Out-of-Pocket) Healthcare Expenditures:
Base Scenario]]*Table15364345464[[#This Row],[Smoking-Attributable Fraction (SAF) of Healthcare Expenditures: Upper Bound
Base Scenario]]</f>
        <v>187590000</v>
      </c>
      <c r="S97" s="43">
        <f>Table15364345464[[#This Row],[Total Other Health Expenditures:
Base Scenario]]*Table15364345464[[#This Row],[Smoking-Attributable Fraction (SAF) of Healthcare Expenditures
Base Scenario]]</f>
        <v>13122000</v>
      </c>
      <c r="T97" s="43">
        <f>Table15364345464[[#This Row],[Total Other Health Expenditures:
Base Scenario]]*Table15364345464[[#This Row],[Smoking-Attributable Fraction (SAF) of Healthcare Expenditures: Lower Bound
Base Scenario]]</f>
        <v>11178000.000000002</v>
      </c>
      <c r="U97" s="43">
        <f>Table15364345464[[#This Row],[Total Other Health Expenditures:
Base Scenario]]*Table15364345464[[#This Row],[Smoking-Attributable Fraction (SAF) of Healthcare Expenditures: Upper Bound
Base Scenario]]</f>
        <v>21060000</v>
      </c>
      <c r="V97" s="62">
        <v>-8.0000000000000026E-4</v>
      </c>
      <c r="W97" s="60">
        <f>W96*(1+Table15364345464[[#This Row],[Relative Change in Smoking Prevalence:
Smoke-Free Air Laws]])</f>
        <v>7.6107912636606448E-2</v>
      </c>
      <c r="X97" s="60">
        <f>X96*(1+Table15364345464[[#This Row],[Relative Change in Smoking Prevalence:
Smoke-Free Air Laws]])</f>
        <v>6.4832666320072174E-2</v>
      </c>
      <c r="Y97" s="60">
        <f>Y96*(1+Table15364345464[[#This Row],[Relative Change in Smoking Prevalence:
Smoke-Free Air Laws]])</f>
        <v>0.12214850176245481</v>
      </c>
      <c r="Z97" s="66">
        <f>Table15364345464[[#This Row],[Total Healthcare Expenditures
(All Categories):
Base Scenario]]*Table15364345464[[#This Row],[Smoking-Attributable Fraction (SAF) of Healthcare Expenditures:
Adjusted for Intervention Impacts]]</f>
        <v>191639724.01897505</v>
      </c>
      <c r="AA97" s="64">
        <f>Table15364345464[[#This Row],[Total Healthcare Expenditures
(All Categories):
Base Scenario]]*Table15364345464[[#This Row],[Smoking-Attributable Fraction (SAF) of Healthcare Expenditures: Lower Bound
Adjusted for Intervention Impacts]]</f>
        <v>163248653.79394174</v>
      </c>
      <c r="AB97" s="66">
        <f>Table15364345464[[#This Row],[Total Healthcare Expenditures
(All Categories):
Base Scenario]]*Table15364345464[[#This Row],[Smoking-Attributable Fraction (SAF) of Healthcare Expenditures: Upper Bound
Adjusted for Intervention Impacts]]</f>
        <v>307569927.4378612</v>
      </c>
      <c r="AC97" s="66">
        <f>Table15364345464[[#This Row],[Total Government Healthcare Expenditures
(including national insurance):
Base Scenario]]*Table15364345464[[#This Row],[Smoking-Attributable Fraction (SAF) of Healthcare Expenditures:
Adjusted for Intervention Impacts]]</f>
        <v>69486524.237221688</v>
      </c>
      <c r="AD97" s="66">
        <f>Table15364345464[[#This Row],[Total Government Healthcare Expenditures
(including national insurance):
Base Scenario]]*Table15364345464[[#This Row],[Smoking-Attributable Fraction (SAF) of Healthcare Expenditures: Lower Bound
Adjusted for Intervention Impacts]]</f>
        <v>59192224.350225896</v>
      </c>
      <c r="AE97" s="66">
        <f>Table15364345464[[#This Row],[Total Government Healthcare Expenditures
(including national insurance):
Base Scenario]]*Table15364345464[[#This Row],[Smoking-Attributable Fraction (SAF) of Healthcare Expenditures: Upper Bound
Adjusted for Intervention Impacts]]</f>
        <v>111521582.10912125</v>
      </c>
      <c r="AF97" s="66">
        <f>Table15364345464[[#This Row],[Total Private (Out-of-Pocket) Healthcare Expenditures:
Base Scenario]]*Table15364345464[[#This Row],[Smoking-Attributable Fraction (SAF) of Healthcare Expenditures:
Adjusted for Intervention Impacts]]</f>
        <v>109823717.93462311</v>
      </c>
      <c r="AG97" s="66">
        <f>Table15364345464[[#This Row],[Total Private (Out-of-Pocket) Healthcare Expenditures:
Base Scenario]]*Table15364345464[[#This Row],[Smoking-Attributable Fraction (SAF) of Healthcare Expenditures: Lower Bound
Adjusted for Intervention Impacts]]</f>
        <v>93553537.499864146</v>
      </c>
      <c r="AH97" s="66">
        <f>Table15364345464[[#This Row],[Total Private (Out-of-Pocket) Healthcare Expenditures:
Base Scenario]]*Table15364345464[[#This Row],[Smoking-Attributable Fraction (SAF) of Healthcare Expenditures: Upper Bound
Adjusted for Intervention Impacts]]</f>
        <v>176260288.04322231</v>
      </c>
      <c r="AI97" s="65">
        <f>Table15364345464[[#This Row],[Total Other Health Expenditures:
Base Scenario]]*Table15364345464[[#This Row],[Smoking-Attributable Fraction (SAF) of Healthcare Expenditures:
Adjusted for Intervention Impacts]]</f>
        <v>12329481.847130245</v>
      </c>
      <c r="AJ97" s="65">
        <f>Table15364345464[[#This Row],[Total Other Health Expenditures:
Base Scenario]]*Table15364345464[[#This Row],[Smoking-Attributable Fraction (SAF) of Healthcare Expenditures: Lower Bound
Adjusted for Intervention Impacts]]</f>
        <v>10502891.943851693</v>
      </c>
      <c r="AK97" s="65">
        <f>Table15364345464[[#This Row],[Total Other Health Expenditures:
Base Scenario]]*Table15364345464[[#This Row],[Smoking-Attributable Fraction (SAF) of Healthcare Expenditures: Upper Bound
Adjusted for Intervention Impacts]]</f>
        <v>19788057.285517681</v>
      </c>
      <c r="AL97" s="76">
        <f>Table15364345464[[#This Row],[Smoking-Attributable Total Healthcare Expenditures:
Base Scenario]]-Table15364345464[[#This Row],[Smoking-Attributable Total Healthcare Expenditures:
Intervention Scenario]]</f>
        <v>12318275.981024951</v>
      </c>
      <c r="AM97" s="76">
        <f>Table15364345464[[#This Row],[Smoking-Attributable Total Healthcare Expenditures: Lower Bound
Base Scenario]]-Table15364345464[[#This Row],[Smoking-Attributable Total Healthcare Expenditures: Lower Bound
Intervention Scenario]]</f>
        <v>10493346.206058264</v>
      </c>
      <c r="AN97" s="76">
        <f>Table15364345464[[#This Row],[Smoking-Attributable Total Healthcare Expenditures: Upper Bound
Base Scenario]]-Table15364345464[[#This Row],[Smoking-Attributable Total Healthcare Expenditures: Upper Bound
Intervention Scenario]]</f>
        <v>19770072.562138796</v>
      </c>
      <c r="AO97" s="76">
        <f>Table15364345464[[#This Row],[Smoking-Attributable Government Healthcare Expenditures
(including national insurance):
Base Scenario]]-Table15364345464[[#This Row],[Smoking-Attributable Government Healthcare Expenditures
(including national insurance):
Intervention Scenario]]</f>
        <v>4466475.762778312</v>
      </c>
      <c r="AP97" s="76">
        <f>Table15364345464[[#This Row],[Smoking-Attributable Government Healthcare Expenditures
(including national insurance): Lower Bound
Base Scenario]]-Table15364345464[[#This Row],[Smoking-Attributable Government Healthcare Expenditures
(including national insurance): Lower Bound
Intervention Scenario]]</f>
        <v>3804775.6497741118</v>
      </c>
      <c r="AQ97" s="76">
        <f>Table15364345464[[#This Row],[Smoking-Attributable Government Healthcare Expenditures
(including national insurance): Upper Bound
Base Scenario]]-Table15364345464[[#This Row],[Smoking-Attributable Government Healthcare Expenditures
(including national insurance): Upper Bound
Intervention Scenario]]</f>
        <v>7168417.8908787519</v>
      </c>
      <c r="AR97" s="76">
        <f>Table15364345464[[#This Row],[Smoking-Attributable Private Healthcare Expenditures:
Base Scenario]]-Table15364345464[[#This Row],[Smoking-Attributable Private Healthcare Expenditures:
Intervention Scenario]]</f>
        <v>7059282.0653768927</v>
      </c>
      <c r="AS97" s="76">
        <f>Table15364345464[[#This Row],[Smoking-Attributable Private Healthcare Expenditures: Lower Bound
Base Scenario]]-Table15364345464[[#This Row],[Smoking-Attributable Private Healthcare Expenditures: Lower Bound
Intervention Scenario]]</f>
        <v>6013462.5001358688</v>
      </c>
      <c r="AT97" s="76">
        <f>Table15364345464[[#This Row],[Smoking-Attributable Private Healthcare Expenditures: Upper Bound
Base Scenario]]-Table15364345464[[#This Row],[Smoking-Attributable Private Healthcare Expenditures: Upper Bound
Intervention Scenario]]</f>
        <v>11329711.956777692</v>
      </c>
      <c r="AU97" s="76">
        <f>Table15364345464[[#This Row],[Smoking-Attributable Other Health Expenditures:
Base Scenario]]-Table15364345464[[#This Row],[Smoking-Attributable Other Health Expenditures:
Intervention Scenario]]</f>
        <v>792518.1528697554</v>
      </c>
      <c r="AV97" s="236">
        <f>Table15364345464[[#This Row],[Smoking-Attributable Other Health Expenditures: Lower Bound
Base Scenario]]-Table15364345464[[#This Row],[Smoking-Attributable Other Health Expenditures: Lower Bound
Intervention Scenario]]</f>
        <v>675108.05614830926</v>
      </c>
      <c r="AW97" s="236">
        <f>Table15364345464[[#This Row],[Smoking-Attributable Other Health Expenditures: Upper Bound
Base Scenario]]-Table15364345464[[#This Row],[Smoking-Attributable Other Health Expenditures: Upper Bound
Intervention Scenario]]</f>
        <v>1271942.7144823186</v>
      </c>
    </row>
    <row r="101" spans="2:49" ht="21">
      <c r="B101" s="81" t="s">
        <v>117</v>
      </c>
    </row>
    <row r="102" spans="2:49" ht="17.25">
      <c r="B102" s="41"/>
    </row>
    <row r="103" spans="2:49" ht="90.95" customHeight="1">
      <c r="B103" s="71"/>
      <c r="C103" s="167"/>
      <c r="D103" s="100"/>
      <c r="E103" s="100"/>
      <c r="F103" s="100"/>
      <c r="G103" s="69"/>
      <c r="I103" s="100"/>
      <c r="J103" s="167"/>
      <c r="K103" s="100"/>
      <c r="O103" s="72"/>
      <c r="P103" s="72"/>
      <c r="Q103" s="72"/>
      <c r="S103" s="233"/>
      <c r="T103" s="233"/>
      <c r="U103" s="233"/>
      <c r="V103" s="68" t="s">
        <v>110</v>
      </c>
      <c r="W103" s="364" t="s">
        <v>113</v>
      </c>
      <c r="X103" s="364"/>
      <c r="Y103" s="364"/>
      <c r="Z103" s="73" t="s">
        <v>112</v>
      </c>
      <c r="AL103" s="78" t="s">
        <v>114</v>
      </c>
    </row>
    <row r="104" spans="2:49" ht="17.25">
      <c r="B104" s="9"/>
    </row>
    <row r="105" spans="2:49" ht="110.25">
      <c r="B105" s="33" t="s">
        <v>81</v>
      </c>
      <c r="C105" s="57" t="s">
        <v>104</v>
      </c>
      <c r="D105" s="57" t="s">
        <v>103</v>
      </c>
      <c r="E105" s="57" t="s">
        <v>283</v>
      </c>
      <c r="F105" s="57" t="s">
        <v>105</v>
      </c>
      <c r="G105" s="33" t="s">
        <v>381</v>
      </c>
      <c r="H105" s="33" t="s">
        <v>373</v>
      </c>
      <c r="I105" s="33" t="s">
        <v>372</v>
      </c>
      <c r="J105" s="57" t="s">
        <v>94</v>
      </c>
      <c r="K105" s="57" t="s">
        <v>382</v>
      </c>
      <c r="L105" s="57" t="s">
        <v>383</v>
      </c>
      <c r="M105" s="57" t="s">
        <v>95</v>
      </c>
      <c r="N105" s="57" t="s">
        <v>384</v>
      </c>
      <c r="O105" s="57" t="s">
        <v>385</v>
      </c>
      <c r="P105" s="57" t="s">
        <v>96</v>
      </c>
      <c r="Q105" s="57" t="s">
        <v>386</v>
      </c>
      <c r="R105" s="57" t="s">
        <v>387</v>
      </c>
      <c r="S105" s="57" t="s">
        <v>97</v>
      </c>
      <c r="T105" s="57" t="s">
        <v>388</v>
      </c>
      <c r="U105" s="57" t="s">
        <v>389</v>
      </c>
      <c r="V105" s="63" t="s">
        <v>73</v>
      </c>
      <c r="W105" s="58" t="s">
        <v>98</v>
      </c>
      <c r="X105" s="58" t="s">
        <v>390</v>
      </c>
      <c r="Y105" s="58" t="s">
        <v>391</v>
      </c>
      <c r="Z105" s="33" t="s">
        <v>99</v>
      </c>
      <c r="AA105" s="33" t="s">
        <v>392</v>
      </c>
      <c r="AB105" s="33" t="s">
        <v>393</v>
      </c>
      <c r="AC105" s="33" t="s">
        <v>100</v>
      </c>
      <c r="AD105" s="33" t="s">
        <v>394</v>
      </c>
      <c r="AE105" s="33" t="s">
        <v>395</v>
      </c>
      <c r="AF105" s="33" t="s">
        <v>101</v>
      </c>
      <c r="AG105" s="33" t="s">
        <v>396</v>
      </c>
      <c r="AH105" s="33" t="s">
        <v>397</v>
      </c>
      <c r="AI105" s="33" t="s">
        <v>102</v>
      </c>
      <c r="AJ105" s="33" t="s">
        <v>398</v>
      </c>
      <c r="AK105" s="33" t="s">
        <v>399</v>
      </c>
      <c r="AL105" s="77" t="s">
        <v>106</v>
      </c>
      <c r="AM105" s="77" t="s">
        <v>400</v>
      </c>
      <c r="AN105" s="77" t="s">
        <v>401</v>
      </c>
      <c r="AO105" s="77" t="s">
        <v>107</v>
      </c>
      <c r="AP105" s="77" t="s">
        <v>402</v>
      </c>
      <c r="AQ105" s="77" t="s">
        <v>403</v>
      </c>
      <c r="AR105" s="77" t="s">
        <v>108</v>
      </c>
      <c r="AS105" s="77" t="s">
        <v>404</v>
      </c>
      <c r="AT105" s="77" t="s">
        <v>405</v>
      </c>
      <c r="AU105" s="77" t="s">
        <v>109</v>
      </c>
      <c r="AV105" s="77" t="s">
        <v>406</v>
      </c>
      <c r="AW105" s="77" t="s">
        <v>407</v>
      </c>
    </row>
    <row r="106" spans="2:49">
      <c r="B106" s="44">
        <v>0</v>
      </c>
      <c r="C106" s="45">
        <f t="shared" ref="C106:C121" si="30">$D$22</f>
        <v>2518000000</v>
      </c>
      <c r="D106" s="45">
        <f t="shared" ref="D106:D121" si="31">$D$23</f>
        <v>913000000</v>
      </c>
      <c r="E106" s="45">
        <f t="shared" ref="E106:E121" si="32">$D$24</f>
        <v>1443000000</v>
      </c>
      <c r="F106" s="45">
        <f t="shared" ref="F106:F121" si="33">$D$25</f>
        <v>162000000</v>
      </c>
      <c r="G106" s="46">
        <f t="shared" ref="G106:G121" si="34">$C$16</f>
        <v>8.1000000000000003E-2</v>
      </c>
      <c r="H106" s="46">
        <f>$C$17</f>
        <v>6.9000000000000006E-2</v>
      </c>
      <c r="I106" s="46">
        <f t="shared" ref="I106:I121" si="35">$C$18</f>
        <v>0.13</v>
      </c>
      <c r="J106" s="42">
        <f>Table153643454611[[#This Row],[Total Healthcare Expenditures
(All Categories):
Base Scenario]]*Table153643454611[[#This Row],[Smoking-Attributable Fraction (SAF) of Healthcare Expenditures
Base Scenario]]</f>
        <v>203958000</v>
      </c>
      <c r="K106" s="42">
        <f>Table153643454611[[#This Row],[Total Healthcare Expenditures
(All Categories):
Base Scenario]]*Table153643454611[[#This Row],[Smoking-Attributable Fraction (SAF) of Healthcare Expenditures: Lower Bound
Base Scenario]]</f>
        <v>173742000</v>
      </c>
      <c r="L106" s="42">
        <f>Table153643454611[[#This Row],[Total Healthcare Expenditures
(All Categories):
Base Scenario]]*Table153643454611[[#This Row],[Smoking-Attributable Fraction (SAF) of Healthcare Expenditures: Upper Bound
Base Scenario]]</f>
        <v>327340000</v>
      </c>
      <c r="M106" s="42">
        <f>Table153643454611[[#This Row],[Total Government Healthcare Expenditures
(including national insurance):
Base Scenario]]*Table153643454611[[#This Row],[Smoking-Attributable Fraction (SAF) of Healthcare Expenditures
Base Scenario]]</f>
        <v>73953000</v>
      </c>
      <c r="N106" s="42">
        <f>Table153643454611[[#This Row],[Total Government Healthcare Expenditures
(including national insurance):
Base Scenario]]*Table153643454611[[#This Row],[Smoking-Attributable Fraction (SAF) of Healthcare Expenditures: Lower Bound
Base Scenario]]</f>
        <v>62997000.000000007</v>
      </c>
      <c r="O106" s="42">
        <f>Table153643454611[[#This Row],[Total Government Healthcare Expenditures
(including national insurance):
Base Scenario]]*Table153643454611[[#This Row],[Smoking-Attributable Fraction (SAF) of Healthcare Expenditures: Upper Bound
Base Scenario]]</f>
        <v>118690000</v>
      </c>
      <c r="P106" s="42">
        <f>Table153643454611[[#This Row],[Total Private (Out-of-Pocket) Healthcare Expenditures:
Base Scenario]]*Table153643454611[[#This Row],[Smoking-Attributable Fraction (SAF) of Healthcare Expenditures
Base Scenario]]</f>
        <v>116883000</v>
      </c>
      <c r="Q106" s="42">
        <f>Table153643454611[[#This Row],[Total Private (Out-of-Pocket) Healthcare Expenditures:
Base Scenario]]*Table153643454611[[#This Row],[Smoking-Attributable Fraction (SAF) of Healthcare Expenditures: Lower Bound
Base Scenario]]</f>
        <v>99567000.000000015</v>
      </c>
      <c r="R106" s="42">
        <f>Table153643454611[[#This Row],[Total Private (Out-of-Pocket) Healthcare Expenditures:
Base Scenario]]*Table153643454611[[#This Row],[Smoking-Attributable Fraction (SAF) of Healthcare Expenditures: Upper Bound
Base Scenario]]</f>
        <v>187590000</v>
      </c>
      <c r="S106" s="42">
        <f>Table153643454611[[#This Row],[Total Other Health Expenditures:
Base Scenario]]*Table153643454611[[#This Row],[Smoking-Attributable Fraction (SAF) of Healthcare Expenditures
Base Scenario]]</f>
        <v>13122000</v>
      </c>
      <c r="T106" s="42">
        <f>Table153643454611[[#This Row],[Total Other Health Expenditures:
Base Scenario]]*Table153643454611[[#This Row],[Smoking-Attributable Fraction (SAF) of Healthcare Expenditures: Lower Bound
Base Scenario]]</f>
        <v>11178000.000000002</v>
      </c>
      <c r="U106" s="42">
        <f>Table153643454611[[#This Row],[Total Other Health Expenditures:
Base Scenario]]*Table153643454611[[#This Row],[Smoking-Attributable Fraction (SAF) of Healthcare Expenditures: Upper Bound
Base Scenario]]</f>
        <v>21060000</v>
      </c>
      <c r="V106" s="79"/>
      <c r="W106" s="59">
        <f>$C$16</f>
        <v>8.1000000000000003E-2</v>
      </c>
      <c r="X106" s="59">
        <f t="shared" ref="X106" si="36">$C$17</f>
        <v>6.9000000000000006E-2</v>
      </c>
      <c r="Y106" s="59">
        <f t="shared" ref="Y106" si="37">$C$18</f>
        <v>0.13</v>
      </c>
      <c r="Z106" s="64">
        <f>Table153643454611[[#This Row],[Total Healthcare Expenditures
(All Categories):
Base Scenario]]*Table153643454611[[#This Row],[Smoking-Attributable Fraction (SAF) of Healthcare Expenditures:
Adjusted for Intervention Impacts]]</f>
        <v>203958000</v>
      </c>
      <c r="AA106" s="64">
        <f>Table153643454611[[#This Row],[Total Healthcare Expenditures
(All Categories):
Base Scenario]]*Table153643454611[[#This Row],[Smoking-Attributable Fraction (SAF) of Healthcare Expenditures: Lower Bound
Adjusted for Intervention Impacts]]</f>
        <v>173742000</v>
      </c>
      <c r="AB106" s="64">
        <f>Table153643454611[[#This Row],[Total Healthcare Expenditures
(All Categories):
Base Scenario]]*Table153643454611[[#This Row],[Smoking-Attributable Fraction (SAF) of Healthcare Expenditures: Upper Bound
Adjusted for Intervention Impacts]]</f>
        <v>327340000</v>
      </c>
      <c r="AC106" s="64">
        <f>Table153643454611[[#This Row],[Total Government Healthcare Expenditures
(including national insurance):
Base Scenario]]*Table153643454611[[#This Row],[Smoking-Attributable Fraction (SAF) of Healthcare Expenditures:
Adjusted for Intervention Impacts]]</f>
        <v>73953000</v>
      </c>
      <c r="AD106" s="64">
        <f>Table153643454611[[#This Row],[Total Government Healthcare Expenditures
(including national insurance):
Base Scenario]]*Table153643454611[[#This Row],[Smoking-Attributable Fraction (SAF) of Healthcare Expenditures: Lower Bound
Adjusted for Intervention Impacts]]</f>
        <v>62997000.000000007</v>
      </c>
      <c r="AE106" s="64">
        <f>Table153643454611[[#This Row],[Total Government Healthcare Expenditures
(including national insurance):
Base Scenario]]*Table153643454611[[#This Row],[Smoking-Attributable Fraction (SAF) of Healthcare Expenditures: Upper Bound
Adjusted for Intervention Impacts]]</f>
        <v>118690000</v>
      </c>
      <c r="AF106" s="64">
        <f>Table153643454611[[#This Row],[Total Private (Out-of-Pocket) Healthcare Expenditures:
Base Scenario]]*Table153643454611[[#This Row],[Smoking-Attributable Fraction (SAF) of Healthcare Expenditures:
Adjusted for Intervention Impacts]]</f>
        <v>116883000</v>
      </c>
      <c r="AG106" s="64">
        <f>Table153643454611[[#This Row],[Total Private (Out-of-Pocket) Healthcare Expenditures:
Base Scenario]]*Table153643454611[[#This Row],[Smoking-Attributable Fraction (SAF) of Healthcare Expenditures: Lower Bound
Adjusted for Intervention Impacts]]</f>
        <v>99567000.000000015</v>
      </c>
      <c r="AH106" s="64">
        <f>Table153643454611[[#This Row],[Total Private (Out-of-Pocket) Healthcare Expenditures:
Base Scenario]]*Table153643454611[[#This Row],[Smoking-Attributable Fraction (SAF) of Healthcare Expenditures: Upper Bound
Adjusted for Intervention Impacts]]</f>
        <v>187590000</v>
      </c>
      <c r="AI106" s="65">
        <f>Table153643454611[[#This Row],[Total Other Health Expenditures:
Base Scenario]]*Table153643454611[[#This Row],[Smoking-Attributable Fraction (SAF) of Healthcare Expenditures:
Adjusted for Intervention Impacts]]</f>
        <v>13122000</v>
      </c>
      <c r="AJ106" s="65">
        <f>Table153643454611[[#This Row],[Total Other Health Expenditures:
Base Scenario]]*Table153643454611[[#This Row],[Smoking-Attributable Fraction (SAF) of Healthcare Expenditures: Lower Bound
Adjusted for Intervention Impacts]]</f>
        <v>11178000.000000002</v>
      </c>
      <c r="AK106" s="65">
        <f>Table153643454611[[#This Row],[Total Other Health Expenditures:
Base Scenario]]*Table153643454611[[#This Row],[Smoking-Attributable Fraction (SAF) of Healthcare Expenditures: Upper Bound
Adjusted for Intervention Impacts]]</f>
        <v>21060000</v>
      </c>
      <c r="AL106" s="76">
        <f>Table153643454611[[#This Row],[Smoking-Attributable Total Healthcare Expenditures:
Base Scenario]]-Table153643454611[[#This Row],[Smoking-Attributable Total Healthcare Expenditures:
Intervention Scenario]]</f>
        <v>0</v>
      </c>
      <c r="AM106" s="76">
        <f>Table153643454611[[#This Row],[Smoking-Attributable Total Healthcare Expenditures: Lower Bound
Base Scenario]]-Table153643454611[[#This Row],[Smoking-Attributable Total Healthcare Expenditures: Lower Bound
Intervention Scenario]]</f>
        <v>0</v>
      </c>
      <c r="AN106" s="76">
        <f>Table153643454611[[#This Row],[Smoking-Attributable Total Healthcare Expenditures: Upper Bound
Base Scenario]]-Table153643454611[[#This Row],[Smoking-Attributable Total Healthcare Expenditures: Upper Bound
Intervention Scenario]]</f>
        <v>0</v>
      </c>
      <c r="AO106" s="76">
        <f>Table153643454611[[#This Row],[Smoking-Attributable Government Healthcare Expenditures
(including national insurance):
Base Scenario]]-Table153643454611[[#This Row],[Smoking-Attributable Government Healthcare Expenditures
(including national insurance):
Intervention Scenario]]</f>
        <v>0</v>
      </c>
      <c r="AP106"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0</v>
      </c>
      <c r="AQ106"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0</v>
      </c>
      <c r="AR106" s="76">
        <f>Table153643454611[[#This Row],[Smoking-Attributable Private Healthcare Expenditures:
Base Scenario]]-Table153643454611[[#This Row],[Smoking-Attributable Private Healthcare Expenditures:
Intervention Scenario]]</f>
        <v>0</v>
      </c>
      <c r="AS106" s="76">
        <f>Table153643454611[[#This Row],[Smoking-Attributable Private Healthcare Expenditures: Lower Bound
Base Scenario]]-Table153643454611[[#This Row],[Smoking-Attributable Private Healthcare Expenditures: Lower Bound
Intervention Scenario]]</f>
        <v>0</v>
      </c>
      <c r="AT106" s="76">
        <f>Table153643454611[[#This Row],[Smoking-Attributable Private Healthcare Expenditures: Upper Bound
Base Scenario]]-Table153643454611[[#This Row],[Smoking-Attributable Private Healthcare Expenditures: Upper Bound
Intervention Scenario]]</f>
        <v>0</v>
      </c>
      <c r="AU106" s="76">
        <f>Table153643454611[[#This Row],[Smoking-Attributable Other Health Expenditures:
Base Scenario]]-Table153643454611[[#This Row],[Smoking-Attributable Other Health Expenditures:
Intervention Scenario]]</f>
        <v>0</v>
      </c>
      <c r="AV106" s="234">
        <f>Table153643454611[[#This Row],[Smoking-Attributable Other Health Expenditures: Lower Bound
Base Scenario]]-Table153643454611[[#This Row],[Smoking-Attributable Other Health Expenditures: Lower Bound
Intervention Scenario]]</f>
        <v>0</v>
      </c>
      <c r="AW106" s="234">
        <f>Table153643454611[[#This Row],[Smoking-Attributable Other Health Expenditures: Upper Bound
Base Scenario]]-Table153643454611[[#This Row],[Smoking-Attributable Other Health Expenditures: Upper Bound
Intervention Scenario]]</f>
        <v>0</v>
      </c>
    </row>
    <row r="107" spans="2:49">
      <c r="B107" s="47">
        <v>1</v>
      </c>
      <c r="C107" s="48">
        <f t="shared" si="30"/>
        <v>2518000000</v>
      </c>
      <c r="D107" s="48">
        <f t="shared" si="31"/>
        <v>913000000</v>
      </c>
      <c r="E107" s="48">
        <f t="shared" si="32"/>
        <v>1443000000</v>
      </c>
      <c r="F107" s="48">
        <f t="shared" si="33"/>
        <v>162000000</v>
      </c>
      <c r="G107" s="232">
        <f t="shared" si="34"/>
        <v>8.1000000000000003E-2</v>
      </c>
      <c r="H107" s="46">
        <f t="shared" ref="H107:H121" si="38">$C$17</f>
        <v>6.9000000000000006E-2</v>
      </c>
      <c r="I107" s="46">
        <f t="shared" si="35"/>
        <v>0.13</v>
      </c>
      <c r="J107" s="43">
        <f>Table153643454611[[#This Row],[Total Healthcare Expenditures
(All Categories):
Base Scenario]]*Table153643454611[[#This Row],[Smoking-Attributable Fraction (SAF) of Healthcare Expenditures
Base Scenario]]</f>
        <v>203958000</v>
      </c>
      <c r="K107" s="43">
        <f>Table153643454611[[#This Row],[Total Healthcare Expenditures
(All Categories):
Base Scenario]]*Table153643454611[[#This Row],[Smoking-Attributable Fraction (SAF) of Healthcare Expenditures: Lower Bound
Base Scenario]]</f>
        <v>173742000</v>
      </c>
      <c r="L107" s="43">
        <f>Table153643454611[[#This Row],[Total Healthcare Expenditures
(All Categories):
Base Scenario]]*Table153643454611[[#This Row],[Smoking-Attributable Fraction (SAF) of Healthcare Expenditures: Upper Bound
Base Scenario]]</f>
        <v>327340000</v>
      </c>
      <c r="M107" s="43">
        <f>Table153643454611[[#This Row],[Total Government Healthcare Expenditures
(including national insurance):
Base Scenario]]*Table153643454611[[#This Row],[Smoking-Attributable Fraction (SAF) of Healthcare Expenditures
Base Scenario]]</f>
        <v>73953000</v>
      </c>
      <c r="N107" s="43">
        <f>Table153643454611[[#This Row],[Total Government Healthcare Expenditures
(including national insurance):
Base Scenario]]*Table153643454611[[#This Row],[Smoking-Attributable Fraction (SAF) of Healthcare Expenditures: Lower Bound
Base Scenario]]</f>
        <v>62997000.000000007</v>
      </c>
      <c r="O107" s="43">
        <f>Table153643454611[[#This Row],[Total Government Healthcare Expenditures
(including national insurance):
Base Scenario]]*Table153643454611[[#This Row],[Smoking-Attributable Fraction (SAF) of Healthcare Expenditures: Upper Bound
Base Scenario]]</f>
        <v>118690000</v>
      </c>
      <c r="P107" s="43">
        <f>Table153643454611[[#This Row],[Total Private (Out-of-Pocket) Healthcare Expenditures:
Base Scenario]]*Table153643454611[[#This Row],[Smoking-Attributable Fraction (SAF) of Healthcare Expenditures
Base Scenario]]</f>
        <v>116883000</v>
      </c>
      <c r="Q107" s="43">
        <f>Table153643454611[[#This Row],[Total Private (Out-of-Pocket) Healthcare Expenditures:
Base Scenario]]*Table153643454611[[#This Row],[Smoking-Attributable Fraction (SAF) of Healthcare Expenditures: Lower Bound
Base Scenario]]</f>
        <v>99567000.000000015</v>
      </c>
      <c r="R107" s="43">
        <f>Table153643454611[[#This Row],[Total Private (Out-of-Pocket) Healthcare Expenditures:
Base Scenario]]*Table153643454611[[#This Row],[Smoking-Attributable Fraction (SAF) of Healthcare Expenditures: Upper Bound
Base Scenario]]</f>
        <v>187590000</v>
      </c>
      <c r="S107" s="43">
        <f>Table153643454611[[#This Row],[Total Other Health Expenditures:
Base Scenario]]*Table153643454611[[#This Row],[Smoking-Attributable Fraction (SAF) of Healthcare Expenditures
Base Scenario]]</f>
        <v>13122000</v>
      </c>
      <c r="T107" s="43">
        <f>Table153643454611[[#This Row],[Total Other Health Expenditures:
Base Scenario]]*Table153643454611[[#This Row],[Smoking-Attributable Fraction (SAF) of Healthcare Expenditures: Lower Bound
Base Scenario]]</f>
        <v>11178000.000000002</v>
      </c>
      <c r="U107" s="43">
        <f>Table153643454611[[#This Row],[Total Other Health Expenditures:
Base Scenario]]*Table153643454611[[#This Row],[Smoking-Attributable Fraction (SAF) of Healthcare Expenditures: Upper Bound
Base Scenario]]</f>
        <v>21060000</v>
      </c>
      <c r="V107" s="61">
        <v>-1.9999999999999997E-2</v>
      </c>
      <c r="W107" s="60">
        <f>W106*(1+Table153643454611[[#This Row],[Relative Change in Smoking Prevalence:
Enforce Marketing Restrictions]])</f>
        <v>7.9380000000000006E-2</v>
      </c>
      <c r="X107" s="60">
        <f>X106*(1+Table153643454611[[#This Row],[Relative Change in Smoking Prevalence:
Enforce Marketing Restrictions]])</f>
        <v>6.762E-2</v>
      </c>
      <c r="Y107" s="60">
        <f>Y106*(1+Table153643454611[[#This Row],[Relative Change in Smoking Prevalence:
Enforce Marketing Restrictions]])</f>
        <v>0.12740000000000001</v>
      </c>
      <c r="Z107" s="66">
        <f>Table153643454611[[#This Row],[Total Healthcare Expenditures
(All Categories):
Base Scenario]]*Table153643454611[[#This Row],[Smoking-Attributable Fraction (SAF) of Healthcare Expenditures:
Adjusted for Intervention Impacts]]</f>
        <v>199878840.00000003</v>
      </c>
      <c r="AA107" s="64">
        <f>Table153643454611[[#This Row],[Total Healthcare Expenditures
(All Categories):
Base Scenario]]*Table153643454611[[#This Row],[Smoking-Attributable Fraction (SAF) of Healthcare Expenditures: Lower Bound
Adjusted for Intervention Impacts]]</f>
        <v>170267160</v>
      </c>
      <c r="AB107" s="66">
        <f>Table153643454611[[#This Row],[Total Healthcare Expenditures
(All Categories):
Base Scenario]]*Table153643454611[[#This Row],[Smoking-Attributable Fraction (SAF) of Healthcare Expenditures: Upper Bound
Adjusted for Intervention Impacts]]</f>
        <v>320793200.00000006</v>
      </c>
      <c r="AC107" s="66">
        <f>Table153643454611[[#This Row],[Total Government Healthcare Expenditures
(including national insurance):
Base Scenario]]*Table153643454611[[#This Row],[Smoking-Attributable Fraction (SAF) of Healthcare Expenditures:
Adjusted for Intervention Impacts]]</f>
        <v>72473940</v>
      </c>
      <c r="AD107" s="66">
        <f>Table153643454611[[#This Row],[Total Government Healthcare Expenditures
(including national insurance):
Base Scenario]]*Table153643454611[[#This Row],[Smoking-Attributable Fraction (SAF) of Healthcare Expenditures: Lower Bound
Adjusted for Intervention Impacts]]</f>
        <v>61737060</v>
      </c>
      <c r="AE107" s="66">
        <f>Table153643454611[[#This Row],[Total Government Healthcare Expenditures
(including national insurance):
Base Scenario]]*Table153643454611[[#This Row],[Smoking-Attributable Fraction (SAF) of Healthcare Expenditures: Upper Bound
Adjusted for Intervention Impacts]]</f>
        <v>116316200.00000001</v>
      </c>
      <c r="AF107" s="66">
        <f>Table153643454611[[#This Row],[Total Private (Out-of-Pocket) Healthcare Expenditures:
Base Scenario]]*Table153643454611[[#This Row],[Smoking-Attributable Fraction (SAF) of Healthcare Expenditures:
Adjusted for Intervention Impacts]]</f>
        <v>114545340.00000001</v>
      </c>
      <c r="AG107" s="66">
        <f>Table153643454611[[#This Row],[Total Private (Out-of-Pocket) Healthcare Expenditures:
Base Scenario]]*Table153643454611[[#This Row],[Smoking-Attributable Fraction (SAF) of Healthcare Expenditures: Lower Bound
Adjusted for Intervention Impacts]]</f>
        <v>97575660</v>
      </c>
      <c r="AH107" s="66">
        <f>Table153643454611[[#This Row],[Total Private (Out-of-Pocket) Healthcare Expenditures:
Base Scenario]]*Table153643454611[[#This Row],[Smoking-Attributable Fraction (SAF) of Healthcare Expenditures: Upper Bound
Adjusted for Intervention Impacts]]</f>
        <v>183838200.00000003</v>
      </c>
      <c r="AI107" s="65">
        <f>Table153643454611[[#This Row],[Total Other Health Expenditures:
Base Scenario]]*Table153643454611[[#This Row],[Smoking-Attributable Fraction (SAF) of Healthcare Expenditures:
Adjusted for Intervention Impacts]]</f>
        <v>12859560.000000002</v>
      </c>
      <c r="AJ107" s="65">
        <f>Table153643454611[[#This Row],[Total Other Health Expenditures:
Base Scenario]]*Table153643454611[[#This Row],[Smoking-Attributable Fraction (SAF) of Healthcare Expenditures: Lower Bound
Adjusted for Intervention Impacts]]</f>
        <v>10954440</v>
      </c>
      <c r="AK107" s="65">
        <f>Table153643454611[[#This Row],[Total Other Health Expenditures:
Base Scenario]]*Table153643454611[[#This Row],[Smoking-Attributable Fraction (SAF) of Healthcare Expenditures: Upper Bound
Adjusted for Intervention Impacts]]</f>
        <v>20638800.000000004</v>
      </c>
      <c r="AL107" s="76">
        <f>Table153643454611[[#This Row],[Smoking-Attributable Total Healthcare Expenditures:
Base Scenario]]-Table153643454611[[#This Row],[Smoking-Attributable Total Healthcare Expenditures:
Intervention Scenario]]</f>
        <v>4079159.9999999702</v>
      </c>
      <c r="AM107" s="76">
        <f>Table153643454611[[#This Row],[Smoking-Attributable Total Healthcare Expenditures: Lower Bound
Base Scenario]]-Table153643454611[[#This Row],[Smoking-Attributable Total Healthcare Expenditures: Lower Bound
Intervention Scenario]]</f>
        <v>3474840</v>
      </c>
      <c r="AN107" s="76">
        <f>Table153643454611[[#This Row],[Smoking-Attributable Total Healthcare Expenditures: Upper Bound
Base Scenario]]-Table153643454611[[#This Row],[Smoking-Attributable Total Healthcare Expenditures: Upper Bound
Intervention Scenario]]</f>
        <v>6546799.9999999404</v>
      </c>
      <c r="AO107" s="76">
        <f>Table153643454611[[#This Row],[Smoking-Attributable Government Healthcare Expenditures
(including national insurance):
Base Scenario]]-Table153643454611[[#This Row],[Smoking-Attributable Government Healthcare Expenditures
(including national insurance):
Intervention Scenario]]</f>
        <v>1479060</v>
      </c>
      <c r="AP107"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1259940.0000000075</v>
      </c>
      <c r="AQ107"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2373799.9999999851</v>
      </c>
      <c r="AR107" s="76">
        <f>Table153643454611[[#This Row],[Smoking-Attributable Private Healthcare Expenditures:
Base Scenario]]-Table153643454611[[#This Row],[Smoking-Attributable Private Healthcare Expenditures:
Intervention Scenario]]</f>
        <v>2337659.9999999851</v>
      </c>
      <c r="AS107" s="76">
        <f>Table153643454611[[#This Row],[Smoking-Attributable Private Healthcare Expenditures: Lower Bound
Base Scenario]]-Table153643454611[[#This Row],[Smoking-Attributable Private Healthcare Expenditures: Lower Bound
Intervention Scenario]]</f>
        <v>1991340.0000000149</v>
      </c>
      <c r="AT107" s="76">
        <f>Table153643454611[[#This Row],[Smoking-Attributable Private Healthcare Expenditures: Upper Bound
Base Scenario]]-Table153643454611[[#This Row],[Smoking-Attributable Private Healthcare Expenditures: Upper Bound
Intervention Scenario]]</f>
        <v>3751799.9999999702</v>
      </c>
      <c r="AU107" s="76">
        <f>Table153643454611[[#This Row],[Smoking-Attributable Other Health Expenditures:
Base Scenario]]-Table153643454611[[#This Row],[Smoking-Attributable Other Health Expenditures:
Intervention Scenario]]</f>
        <v>262439.99999999814</v>
      </c>
      <c r="AV107" s="235">
        <f>Table153643454611[[#This Row],[Smoking-Attributable Other Health Expenditures: Lower Bound
Base Scenario]]-Table153643454611[[#This Row],[Smoking-Attributable Other Health Expenditures: Lower Bound
Intervention Scenario]]</f>
        <v>223560.00000000186</v>
      </c>
      <c r="AW107" s="235">
        <f>Table153643454611[[#This Row],[Smoking-Attributable Other Health Expenditures: Upper Bound
Base Scenario]]-Table153643454611[[#This Row],[Smoking-Attributable Other Health Expenditures: Upper Bound
Intervention Scenario]]</f>
        <v>421199.99999999627</v>
      </c>
    </row>
    <row r="108" spans="2:49">
      <c r="B108" s="47">
        <v>2</v>
      </c>
      <c r="C108" s="48">
        <f t="shared" si="30"/>
        <v>2518000000</v>
      </c>
      <c r="D108" s="48">
        <f t="shared" si="31"/>
        <v>913000000</v>
      </c>
      <c r="E108" s="48">
        <f t="shared" si="32"/>
        <v>1443000000</v>
      </c>
      <c r="F108" s="48">
        <f t="shared" si="33"/>
        <v>162000000</v>
      </c>
      <c r="G108" s="232">
        <f t="shared" si="34"/>
        <v>8.1000000000000003E-2</v>
      </c>
      <c r="H108" s="46">
        <f t="shared" si="38"/>
        <v>6.9000000000000006E-2</v>
      </c>
      <c r="I108" s="46">
        <f t="shared" si="35"/>
        <v>0.13</v>
      </c>
      <c r="J108" s="43">
        <f>Table153643454611[[#This Row],[Total Healthcare Expenditures
(All Categories):
Base Scenario]]*Table153643454611[[#This Row],[Smoking-Attributable Fraction (SAF) of Healthcare Expenditures
Base Scenario]]</f>
        <v>203958000</v>
      </c>
      <c r="K108" s="43">
        <f>Table153643454611[[#This Row],[Total Healthcare Expenditures
(All Categories):
Base Scenario]]*Table153643454611[[#This Row],[Smoking-Attributable Fraction (SAF) of Healthcare Expenditures: Lower Bound
Base Scenario]]</f>
        <v>173742000</v>
      </c>
      <c r="L108" s="43">
        <f>Table153643454611[[#This Row],[Total Healthcare Expenditures
(All Categories):
Base Scenario]]*Table153643454611[[#This Row],[Smoking-Attributable Fraction (SAF) of Healthcare Expenditures: Upper Bound
Base Scenario]]</f>
        <v>327340000</v>
      </c>
      <c r="M108" s="43">
        <f>Table153643454611[[#This Row],[Total Government Healthcare Expenditures
(including national insurance):
Base Scenario]]*Table153643454611[[#This Row],[Smoking-Attributable Fraction (SAF) of Healthcare Expenditures
Base Scenario]]</f>
        <v>73953000</v>
      </c>
      <c r="N108" s="43">
        <f>Table153643454611[[#This Row],[Total Government Healthcare Expenditures
(including national insurance):
Base Scenario]]*Table153643454611[[#This Row],[Smoking-Attributable Fraction (SAF) of Healthcare Expenditures: Lower Bound
Base Scenario]]</f>
        <v>62997000.000000007</v>
      </c>
      <c r="O108" s="43">
        <f>Table153643454611[[#This Row],[Total Government Healthcare Expenditures
(including national insurance):
Base Scenario]]*Table153643454611[[#This Row],[Smoking-Attributable Fraction (SAF) of Healthcare Expenditures: Upper Bound
Base Scenario]]</f>
        <v>118690000</v>
      </c>
      <c r="P108" s="43">
        <f>Table153643454611[[#This Row],[Total Private (Out-of-Pocket) Healthcare Expenditures:
Base Scenario]]*Table153643454611[[#This Row],[Smoking-Attributable Fraction (SAF) of Healthcare Expenditures
Base Scenario]]</f>
        <v>116883000</v>
      </c>
      <c r="Q108" s="43">
        <f>Table153643454611[[#This Row],[Total Private (Out-of-Pocket) Healthcare Expenditures:
Base Scenario]]*Table153643454611[[#This Row],[Smoking-Attributable Fraction (SAF) of Healthcare Expenditures: Lower Bound
Base Scenario]]</f>
        <v>99567000.000000015</v>
      </c>
      <c r="R108" s="43">
        <f>Table153643454611[[#This Row],[Total Private (Out-of-Pocket) Healthcare Expenditures:
Base Scenario]]*Table153643454611[[#This Row],[Smoking-Attributable Fraction (SAF) of Healthcare Expenditures: Upper Bound
Base Scenario]]</f>
        <v>187590000</v>
      </c>
      <c r="S108" s="43">
        <f>Table153643454611[[#This Row],[Total Other Health Expenditures:
Base Scenario]]*Table153643454611[[#This Row],[Smoking-Attributable Fraction (SAF) of Healthcare Expenditures
Base Scenario]]</f>
        <v>13122000</v>
      </c>
      <c r="T108" s="43">
        <f>Table153643454611[[#This Row],[Total Other Health Expenditures:
Base Scenario]]*Table153643454611[[#This Row],[Smoking-Attributable Fraction (SAF) of Healthcare Expenditures: Lower Bound
Base Scenario]]</f>
        <v>11178000.000000002</v>
      </c>
      <c r="U108" s="43">
        <f>Table153643454611[[#This Row],[Total Other Health Expenditures:
Base Scenario]]*Table153643454611[[#This Row],[Smoking-Attributable Fraction (SAF) of Healthcare Expenditures: Upper Bound
Base Scenario]]</f>
        <v>21060000</v>
      </c>
      <c r="V108" s="61">
        <v>-1.9999999999999997E-2</v>
      </c>
      <c r="W108" s="60">
        <f>W107*(1+Table153643454611[[#This Row],[Relative Change in Smoking Prevalence:
Enforce Marketing Restrictions]])</f>
        <v>7.7792399999999998E-2</v>
      </c>
      <c r="X108" s="60">
        <f>X107*(1+Table153643454611[[#This Row],[Relative Change in Smoking Prevalence:
Enforce Marketing Restrictions]])</f>
        <v>6.6267599999999996E-2</v>
      </c>
      <c r="Y108" s="60">
        <f>Y107*(1+Table153643454611[[#This Row],[Relative Change in Smoking Prevalence:
Enforce Marketing Restrictions]])</f>
        <v>0.124852</v>
      </c>
      <c r="Z108" s="66">
        <f>Table153643454611[[#This Row],[Total Healthcare Expenditures
(All Categories):
Base Scenario]]*Table153643454611[[#This Row],[Smoking-Attributable Fraction (SAF) of Healthcare Expenditures:
Adjusted for Intervention Impacts]]</f>
        <v>195881263.19999999</v>
      </c>
      <c r="AA108" s="64">
        <f>Table153643454611[[#This Row],[Total Healthcare Expenditures
(All Categories):
Base Scenario]]*Table153643454611[[#This Row],[Smoking-Attributable Fraction (SAF) of Healthcare Expenditures: Lower Bound
Adjusted for Intervention Impacts]]</f>
        <v>166861816.79999998</v>
      </c>
      <c r="AB108" s="66">
        <f>Table153643454611[[#This Row],[Total Healthcare Expenditures
(All Categories):
Base Scenario]]*Table153643454611[[#This Row],[Smoking-Attributable Fraction (SAF) of Healthcare Expenditures: Upper Bound
Adjusted for Intervention Impacts]]</f>
        <v>314377336</v>
      </c>
      <c r="AC108" s="66">
        <f>Table153643454611[[#This Row],[Total Government Healthcare Expenditures
(including national insurance):
Base Scenario]]*Table153643454611[[#This Row],[Smoking-Attributable Fraction (SAF) of Healthcare Expenditures:
Adjusted for Intervention Impacts]]</f>
        <v>71024461.200000003</v>
      </c>
      <c r="AD108" s="66">
        <f>Table153643454611[[#This Row],[Total Government Healthcare Expenditures
(including national insurance):
Base Scenario]]*Table153643454611[[#This Row],[Smoking-Attributable Fraction (SAF) of Healthcare Expenditures: Lower Bound
Adjusted for Intervention Impacts]]</f>
        <v>60502318.799999997</v>
      </c>
      <c r="AE108" s="66">
        <f>Table153643454611[[#This Row],[Total Government Healthcare Expenditures
(including national insurance):
Base Scenario]]*Table153643454611[[#This Row],[Smoking-Attributable Fraction (SAF) of Healthcare Expenditures: Upper Bound
Adjusted for Intervention Impacts]]</f>
        <v>113989876</v>
      </c>
      <c r="AF108" s="66">
        <f>Table153643454611[[#This Row],[Total Private (Out-of-Pocket) Healthcare Expenditures:
Base Scenario]]*Table153643454611[[#This Row],[Smoking-Attributable Fraction (SAF) of Healthcare Expenditures:
Adjusted for Intervention Impacts]]</f>
        <v>112254433.2</v>
      </c>
      <c r="AG108" s="66">
        <f>Table153643454611[[#This Row],[Total Private (Out-of-Pocket) Healthcare Expenditures:
Base Scenario]]*Table153643454611[[#This Row],[Smoking-Attributable Fraction (SAF) of Healthcare Expenditures: Lower Bound
Adjusted for Intervention Impacts]]</f>
        <v>95624146.799999997</v>
      </c>
      <c r="AH108" s="66">
        <f>Table153643454611[[#This Row],[Total Private (Out-of-Pocket) Healthcare Expenditures:
Base Scenario]]*Table153643454611[[#This Row],[Smoking-Attributable Fraction (SAF) of Healthcare Expenditures: Upper Bound
Adjusted for Intervention Impacts]]</f>
        <v>180161436</v>
      </c>
      <c r="AI108" s="65">
        <f>Table153643454611[[#This Row],[Total Other Health Expenditures:
Base Scenario]]*Table153643454611[[#This Row],[Smoking-Attributable Fraction (SAF) of Healthcare Expenditures:
Adjusted for Intervention Impacts]]</f>
        <v>12602368.799999999</v>
      </c>
      <c r="AJ108" s="65">
        <f>Table153643454611[[#This Row],[Total Other Health Expenditures:
Base Scenario]]*Table153643454611[[#This Row],[Smoking-Attributable Fraction (SAF) of Healthcare Expenditures: Lower Bound
Adjusted for Intervention Impacts]]</f>
        <v>10735351.199999999</v>
      </c>
      <c r="AK108" s="65">
        <f>Table153643454611[[#This Row],[Total Other Health Expenditures:
Base Scenario]]*Table153643454611[[#This Row],[Smoking-Attributable Fraction (SAF) of Healthcare Expenditures: Upper Bound
Adjusted for Intervention Impacts]]</f>
        <v>20226024</v>
      </c>
      <c r="AL108" s="76">
        <f>Table153643454611[[#This Row],[Smoking-Attributable Total Healthcare Expenditures:
Base Scenario]]-Table153643454611[[#This Row],[Smoking-Attributable Total Healthcare Expenditures:
Intervention Scenario]]</f>
        <v>8076736.8000000119</v>
      </c>
      <c r="AM108" s="76">
        <f>Table153643454611[[#This Row],[Smoking-Attributable Total Healthcare Expenditures: Lower Bound
Base Scenario]]-Table153643454611[[#This Row],[Smoking-Attributable Total Healthcare Expenditures: Lower Bound
Intervention Scenario]]</f>
        <v>6880183.2000000179</v>
      </c>
      <c r="AN108" s="76">
        <f>Table153643454611[[#This Row],[Smoking-Attributable Total Healthcare Expenditures: Upper Bound
Base Scenario]]-Table153643454611[[#This Row],[Smoking-Attributable Total Healthcare Expenditures: Upper Bound
Intervention Scenario]]</f>
        <v>12962664</v>
      </c>
      <c r="AO108" s="76">
        <f>Table153643454611[[#This Row],[Smoking-Attributable Government Healthcare Expenditures
(including national insurance):
Base Scenario]]-Table153643454611[[#This Row],[Smoking-Attributable Government Healthcare Expenditures
(including national insurance):
Intervention Scenario]]</f>
        <v>2928538.799999997</v>
      </c>
      <c r="AP108"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2494681.2000000104</v>
      </c>
      <c r="AQ108"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4700124</v>
      </c>
      <c r="AR108" s="76">
        <f>Table153643454611[[#This Row],[Smoking-Attributable Private Healthcare Expenditures:
Base Scenario]]-Table153643454611[[#This Row],[Smoking-Attributable Private Healthcare Expenditures:
Intervention Scenario]]</f>
        <v>4628566.799999997</v>
      </c>
      <c r="AS108" s="76">
        <f>Table153643454611[[#This Row],[Smoking-Attributable Private Healthcare Expenditures: Lower Bound
Base Scenario]]-Table153643454611[[#This Row],[Smoking-Attributable Private Healthcare Expenditures: Lower Bound
Intervention Scenario]]</f>
        <v>3942853.2000000179</v>
      </c>
      <c r="AT108" s="76">
        <f>Table153643454611[[#This Row],[Smoking-Attributable Private Healthcare Expenditures: Upper Bound
Base Scenario]]-Table153643454611[[#This Row],[Smoking-Attributable Private Healthcare Expenditures: Upper Bound
Intervention Scenario]]</f>
        <v>7428564</v>
      </c>
      <c r="AU108" s="76">
        <f>Table153643454611[[#This Row],[Smoking-Attributable Other Health Expenditures:
Base Scenario]]-Table153643454611[[#This Row],[Smoking-Attributable Other Health Expenditures:
Intervention Scenario]]</f>
        <v>519631.20000000112</v>
      </c>
      <c r="AV108" s="235">
        <f>Table153643454611[[#This Row],[Smoking-Attributable Other Health Expenditures: Lower Bound
Base Scenario]]-Table153643454611[[#This Row],[Smoking-Attributable Other Health Expenditures: Lower Bound
Intervention Scenario]]</f>
        <v>442648.80000000261</v>
      </c>
      <c r="AW108" s="235">
        <f>Table153643454611[[#This Row],[Smoking-Attributable Other Health Expenditures: Upper Bound
Base Scenario]]-Table153643454611[[#This Row],[Smoking-Attributable Other Health Expenditures: Upper Bound
Intervention Scenario]]</f>
        <v>833976</v>
      </c>
    </row>
    <row r="109" spans="2:49">
      <c r="B109" s="47">
        <v>3</v>
      </c>
      <c r="C109" s="48">
        <f t="shared" si="30"/>
        <v>2518000000</v>
      </c>
      <c r="D109" s="48">
        <f t="shared" si="31"/>
        <v>913000000</v>
      </c>
      <c r="E109" s="48">
        <f t="shared" si="32"/>
        <v>1443000000</v>
      </c>
      <c r="F109" s="48">
        <f t="shared" si="33"/>
        <v>162000000</v>
      </c>
      <c r="G109" s="232">
        <f t="shared" si="34"/>
        <v>8.1000000000000003E-2</v>
      </c>
      <c r="H109" s="46">
        <f t="shared" si="38"/>
        <v>6.9000000000000006E-2</v>
      </c>
      <c r="I109" s="46">
        <f t="shared" si="35"/>
        <v>0.13</v>
      </c>
      <c r="J109" s="43">
        <f>Table153643454611[[#This Row],[Total Healthcare Expenditures
(All Categories):
Base Scenario]]*Table153643454611[[#This Row],[Smoking-Attributable Fraction (SAF) of Healthcare Expenditures
Base Scenario]]</f>
        <v>203958000</v>
      </c>
      <c r="K109" s="43">
        <f>Table153643454611[[#This Row],[Total Healthcare Expenditures
(All Categories):
Base Scenario]]*Table153643454611[[#This Row],[Smoking-Attributable Fraction (SAF) of Healthcare Expenditures: Lower Bound
Base Scenario]]</f>
        <v>173742000</v>
      </c>
      <c r="L109" s="43">
        <f>Table153643454611[[#This Row],[Total Healthcare Expenditures
(All Categories):
Base Scenario]]*Table153643454611[[#This Row],[Smoking-Attributable Fraction (SAF) of Healthcare Expenditures: Upper Bound
Base Scenario]]</f>
        <v>327340000</v>
      </c>
      <c r="M109" s="43">
        <f>Table153643454611[[#This Row],[Total Government Healthcare Expenditures
(including national insurance):
Base Scenario]]*Table153643454611[[#This Row],[Smoking-Attributable Fraction (SAF) of Healthcare Expenditures
Base Scenario]]</f>
        <v>73953000</v>
      </c>
      <c r="N109" s="43">
        <f>Table153643454611[[#This Row],[Total Government Healthcare Expenditures
(including national insurance):
Base Scenario]]*Table153643454611[[#This Row],[Smoking-Attributable Fraction (SAF) of Healthcare Expenditures: Lower Bound
Base Scenario]]</f>
        <v>62997000.000000007</v>
      </c>
      <c r="O109" s="43">
        <f>Table153643454611[[#This Row],[Total Government Healthcare Expenditures
(including national insurance):
Base Scenario]]*Table153643454611[[#This Row],[Smoking-Attributable Fraction (SAF) of Healthcare Expenditures: Upper Bound
Base Scenario]]</f>
        <v>118690000</v>
      </c>
      <c r="P109" s="43">
        <f>Table153643454611[[#This Row],[Total Private (Out-of-Pocket) Healthcare Expenditures:
Base Scenario]]*Table153643454611[[#This Row],[Smoking-Attributable Fraction (SAF) of Healthcare Expenditures
Base Scenario]]</f>
        <v>116883000</v>
      </c>
      <c r="Q109" s="43">
        <f>Table153643454611[[#This Row],[Total Private (Out-of-Pocket) Healthcare Expenditures:
Base Scenario]]*Table153643454611[[#This Row],[Smoking-Attributable Fraction (SAF) of Healthcare Expenditures: Lower Bound
Base Scenario]]</f>
        <v>99567000.000000015</v>
      </c>
      <c r="R109" s="43">
        <f>Table153643454611[[#This Row],[Total Private (Out-of-Pocket) Healthcare Expenditures:
Base Scenario]]*Table153643454611[[#This Row],[Smoking-Attributable Fraction (SAF) of Healthcare Expenditures: Upper Bound
Base Scenario]]</f>
        <v>187590000</v>
      </c>
      <c r="S109" s="43">
        <f>Table153643454611[[#This Row],[Total Other Health Expenditures:
Base Scenario]]*Table153643454611[[#This Row],[Smoking-Attributable Fraction (SAF) of Healthcare Expenditures
Base Scenario]]</f>
        <v>13122000</v>
      </c>
      <c r="T109" s="43">
        <f>Table153643454611[[#This Row],[Total Other Health Expenditures:
Base Scenario]]*Table153643454611[[#This Row],[Smoking-Attributable Fraction (SAF) of Healthcare Expenditures: Lower Bound
Base Scenario]]</f>
        <v>11178000.000000002</v>
      </c>
      <c r="U109" s="43">
        <f>Table153643454611[[#This Row],[Total Other Health Expenditures:
Base Scenario]]*Table153643454611[[#This Row],[Smoking-Attributable Fraction (SAF) of Healthcare Expenditures: Upper Bound
Base Scenario]]</f>
        <v>21060000</v>
      </c>
      <c r="V109" s="61">
        <v>-1.9999999999999997E-2</v>
      </c>
      <c r="W109" s="60">
        <f>W108*(1+Table153643454611[[#This Row],[Relative Change in Smoking Prevalence:
Enforce Marketing Restrictions]])</f>
        <v>7.6236551999999999E-2</v>
      </c>
      <c r="X109" s="60">
        <f>X108*(1+Table153643454611[[#This Row],[Relative Change in Smoking Prevalence:
Enforce Marketing Restrictions]])</f>
        <v>6.4942247999999994E-2</v>
      </c>
      <c r="Y109" s="60">
        <f>Y108*(1+Table153643454611[[#This Row],[Relative Change in Smoking Prevalence:
Enforce Marketing Restrictions]])</f>
        <v>0.12235496</v>
      </c>
      <c r="Z109" s="66">
        <f>Table153643454611[[#This Row],[Total Healthcare Expenditures
(All Categories):
Base Scenario]]*Table153643454611[[#This Row],[Smoking-Attributable Fraction (SAF) of Healthcare Expenditures:
Adjusted for Intervention Impacts]]</f>
        <v>191963637.93599999</v>
      </c>
      <c r="AA109" s="64">
        <f>Table153643454611[[#This Row],[Total Healthcare Expenditures
(All Categories):
Base Scenario]]*Table153643454611[[#This Row],[Smoking-Attributable Fraction (SAF) of Healthcare Expenditures: Lower Bound
Adjusted for Intervention Impacts]]</f>
        <v>163524580.46399999</v>
      </c>
      <c r="AB109" s="66">
        <f>Table153643454611[[#This Row],[Total Healthcare Expenditures
(All Categories):
Base Scenario]]*Table153643454611[[#This Row],[Smoking-Attributable Fraction (SAF) of Healthcare Expenditures: Upper Bound
Adjusted for Intervention Impacts]]</f>
        <v>308089789.27999997</v>
      </c>
      <c r="AC109" s="66">
        <f>Table153643454611[[#This Row],[Total Government Healthcare Expenditures
(including national insurance):
Base Scenario]]*Table153643454611[[#This Row],[Smoking-Attributable Fraction (SAF) of Healthcare Expenditures:
Adjusted for Intervention Impacts]]</f>
        <v>69603971.975999996</v>
      </c>
      <c r="AD109" s="66">
        <f>Table153643454611[[#This Row],[Total Government Healthcare Expenditures
(including national insurance):
Base Scenario]]*Table153643454611[[#This Row],[Smoking-Attributable Fraction (SAF) of Healthcare Expenditures: Lower Bound
Adjusted for Intervention Impacts]]</f>
        <v>59292272.423999995</v>
      </c>
      <c r="AE109" s="66">
        <f>Table153643454611[[#This Row],[Total Government Healthcare Expenditures
(including national insurance):
Base Scenario]]*Table153643454611[[#This Row],[Smoking-Attributable Fraction (SAF) of Healthcare Expenditures: Upper Bound
Adjusted for Intervention Impacts]]</f>
        <v>111710078.48</v>
      </c>
      <c r="AF109" s="66">
        <f>Table153643454611[[#This Row],[Total Private (Out-of-Pocket) Healthcare Expenditures:
Base Scenario]]*Table153643454611[[#This Row],[Smoking-Attributable Fraction (SAF) of Healthcare Expenditures:
Adjusted for Intervention Impacts]]</f>
        <v>110009344.536</v>
      </c>
      <c r="AG109" s="66">
        <f>Table153643454611[[#This Row],[Total Private (Out-of-Pocket) Healthcare Expenditures:
Base Scenario]]*Table153643454611[[#This Row],[Smoking-Attributable Fraction (SAF) of Healthcare Expenditures: Lower Bound
Adjusted for Intervention Impacts]]</f>
        <v>93711663.863999993</v>
      </c>
      <c r="AH109" s="66">
        <f>Table153643454611[[#This Row],[Total Private (Out-of-Pocket) Healthcare Expenditures:
Base Scenario]]*Table153643454611[[#This Row],[Smoking-Attributable Fraction (SAF) of Healthcare Expenditures: Upper Bound
Adjusted for Intervention Impacts]]</f>
        <v>176558207.28</v>
      </c>
      <c r="AI109" s="65">
        <f>Table153643454611[[#This Row],[Total Other Health Expenditures:
Base Scenario]]*Table153643454611[[#This Row],[Smoking-Attributable Fraction (SAF) of Healthcare Expenditures:
Adjusted for Intervention Impacts]]</f>
        <v>12350321.424000001</v>
      </c>
      <c r="AJ109" s="65">
        <f>Table153643454611[[#This Row],[Total Other Health Expenditures:
Base Scenario]]*Table153643454611[[#This Row],[Smoking-Attributable Fraction (SAF) of Healthcare Expenditures: Lower Bound
Adjusted for Intervention Impacts]]</f>
        <v>10520644.175999999</v>
      </c>
      <c r="AK109" s="65">
        <f>Table153643454611[[#This Row],[Total Other Health Expenditures:
Base Scenario]]*Table153643454611[[#This Row],[Smoking-Attributable Fraction (SAF) of Healthcare Expenditures: Upper Bound
Adjusted for Intervention Impacts]]</f>
        <v>19821503.52</v>
      </c>
      <c r="AL109" s="76">
        <f>Table153643454611[[#This Row],[Smoking-Attributable Total Healthcare Expenditures:
Base Scenario]]-Table153643454611[[#This Row],[Smoking-Attributable Total Healthcare Expenditures:
Intervention Scenario]]</f>
        <v>11994362.06400001</v>
      </c>
      <c r="AM109" s="76">
        <f>Table153643454611[[#This Row],[Smoking-Attributable Total Healthcare Expenditures: Lower Bound
Base Scenario]]-Table153643454611[[#This Row],[Smoking-Attributable Total Healthcare Expenditures: Lower Bound
Intervention Scenario]]</f>
        <v>10217419.536000013</v>
      </c>
      <c r="AN109" s="76">
        <f>Table153643454611[[#This Row],[Smoking-Attributable Total Healthcare Expenditures: Upper Bound
Base Scenario]]-Table153643454611[[#This Row],[Smoking-Attributable Total Healthcare Expenditures: Upper Bound
Intervention Scenario]]</f>
        <v>19250210.720000029</v>
      </c>
      <c r="AO109" s="76">
        <f>Table153643454611[[#This Row],[Smoking-Attributable Government Healthcare Expenditures
(including national insurance):
Base Scenario]]-Table153643454611[[#This Row],[Smoking-Attributable Government Healthcare Expenditures
(including national insurance):
Intervention Scenario]]</f>
        <v>4349028.0240000039</v>
      </c>
      <c r="AP109"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3704727.5760000125</v>
      </c>
      <c r="AQ109"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6979921.5199999958</v>
      </c>
      <c r="AR109" s="76">
        <f>Table153643454611[[#This Row],[Smoking-Attributable Private Healthcare Expenditures:
Base Scenario]]-Table153643454611[[#This Row],[Smoking-Attributable Private Healthcare Expenditures:
Intervention Scenario]]</f>
        <v>6873655.4640000015</v>
      </c>
      <c r="AS109" s="76">
        <f>Table153643454611[[#This Row],[Smoking-Attributable Private Healthcare Expenditures: Lower Bound
Base Scenario]]-Table153643454611[[#This Row],[Smoking-Attributable Private Healthcare Expenditures: Lower Bound
Intervention Scenario]]</f>
        <v>5855336.1360000223</v>
      </c>
      <c r="AT109" s="76">
        <f>Table153643454611[[#This Row],[Smoking-Attributable Private Healthcare Expenditures: Upper Bound
Base Scenario]]-Table153643454611[[#This Row],[Smoking-Attributable Private Healthcare Expenditures: Upper Bound
Intervention Scenario]]</f>
        <v>11031792.719999999</v>
      </c>
      <c r="AU109" s="76">
        <f>Table153643454611[[#This Row],[Smoking-Attributable Other Health Expenditures:
Base Scenario]]-Table153643454611[[#This Row],[Smoking-Attributable Other Health Expenditures:
Intervention Scenario]]</f>
        <v>771678.57599999942</v>
      </c>
      <c r="AV109" s="235">
        <f>Table153643454611[[#This Row],[Smoking-Attributable Other Health Expenditures: Lower Bound
Base Scenario]]-Table153643454611[[#This Row],[Smoking-Attributable Other Health Expenditures: Lower Bound
Intervention Scenario]]</f>
        <v>657355.82400000282</v>
      </c>
      <c r="AW109" s="235">
        <f>Table153643454611[[#This Row],[Smoking-Attributable Other Health Expenditures: Upper Bound
Base Scenario]]-Table153643454611[[#This Row],[Smoking-Attributable Other Health Expenditures: Upper Bound
Intervention Scenario]]</f>
        <v>1238496.4800000004</v>
      </c>
    </row>
    <row r="110" spans="2:49">
      <c r="B110" s="47">
        <v>4</v>
      </c>
      <c r="C110" s="48">
        <f t="shared" si="30"/>
        <v>2518000000</v>
      </c>
      <c r="D110" s="48">
        <f t="shared" si="31"/>
        <v>913000000</v>
      </c>
      <c r="E110" s="48">
        <f t="shared" si="32"/>
        <v>1443000000</v>
      </c>
      <c r="F110" s="48">
        <f t="shared" si="33"/>
        <v>162000000</v>
      </c>
      <c r="G110" s="232">
        <f t="shared" si="34"/>
        <v>8.1000000000000003E-2</v>
      </c>
      <c r="H110" s="46">
        <f t="shared" si="38"/>
        <v>6.9000000000000006E-2</v>
      </c>
      <c r="I110" s="46">
        <f t="shared" si="35"/>
        <v>0.13</v>
      </c>
      <c r="J110" s="43">
        <f>Table153643454611[[#This Row],[Total Healthcare Expenditures
(All Categories):
Base Scenario]]*Table153643454611[[#This Row],[Smoking-Attributable Fraction (SAF) of Healthcare Expenditures
Base Scenario]]</f>
        <v>203958000</v>
      </c>
      <c r="K110" s="43">
        <f>Table153643454611[[#This Row],[Total Healthcare Expenditures
(All Categories):
Base Scenario]]*Table153643454611[[#This Row],[Smoking-Attributable Fraction (SAF) of Healthcare Expenditures: Lower Bound
Base Scenario]]</f>
        <v>173742000</v>
      </c>
      <c r="L110" s="43">
        <f>Table153643454611[[#This Row],[Total Healthcare Expenditures
(All Categories):
Base Scenario]]*Table153643454611[[#This Row],[Smoking-Attributable Fraction (SAF) of Healthcare Expenditures: Upper Bound
Base Scenario]]</f>
        <v>327340000</v>
      </c>
      <c r="M110" s="43">
        <f>Table153643454611[[#This Row],[Total Government Healthcare Expenditures
(including national insurance):
Base Scenario]]*Table153643454611[[#This Row],[Smoking-Attributable Fraction (SAF) of Healthcare Expenditures
Base Scenario]]</f>
        <v>73953000</v>
      </c>
      <c r="N110" s="43">
        <f>Table153643454611[[#This Row],[Total Government Healthcare Expenditures
(including national insurance):
Base Scenario]]*Table153643454611[[#This Row],[Smoking-Attributable Fraction (SAF) of Healthcare Expenditures: Lower Bound
Base Scenario]]</f>
        <v>62997000.000000007</v>
      </c>
      <c r="O110" s="43">
        <f>Table153643454611[[#This Row],[Total Government Healthcare Expenditures
(including national insurance):
Base Scenario]]*Table153643454611[[#This Row],[Smoking-Attributable Fraction (SAF) of Healthcare Expenditures: Upper Bound
Base Scenario]]</f>
        <v>118690000</v>
      </c>
      <c r="P110" s="43">
        <f>Table153643454611[[#This Row],[Total Private (Out-of-Pocket) Healthcare Expenditures:
Base Scenario]]*Table153643454611[[#This Row],[Smoking-Attributable Fraction (SAF) of Healthcare Expenditures
Base Scenario]]</f>
        <v>116883000</v>
      </c>
      <c r="Q110" s="43">
        <f>Table153643454611[[#This Row],[Total Private (Out-of-Pocket) Healthcare Expenditures:
Base Scenario]]*Table153643454611[[#This Row],[Smoking-Attributable Fraction (SAF) of Healthcare Expenditures: Lower Bound
Base Scenario]]</f>
        <v>99567000.000000015</v>
      </c>
      <c r="R110" s="43">
        <f>Table153643454611[[#This Row],[Total Private (Out-of-Pocket) Healthcare Expenditures:
Base Scenario]]*Table153643454611[[#This Row],[Smoking-Attributable Fraction (SAF) of Healthcare Expenditures: Upper Bound
Base Scenario]]</f>
        <v>187590000</v>
      </c>
      <c r="S110" s="43">
        <f>Table153643454611[[#This Row],[Total Other Health Expenditures:
Base Scenario]]*Table153643454611[[#This Row],[Smoking-Attributable Fraction (SAF) of Healthcare Expenditures
Base Scenario]]</f>
        <v>13122000</v>
      </c>
      <c r="T110" s="43">
        <f>Table153643454611[[#This Row],[Total Other Health Expenditures:
Base Scenario]]*Table153643454611[[#This Row],[Smoking-Attributable Fraction (SAF) of Healthcare Expenditures: Lower Bound
Base Scenario]]</f>
        <v>11178000.000000002</v>
      </c>
      <c r="U110" s="43">
        <f>Table153643454611[[#This Row],[Total Other Health Expenditures:
Base Scenario]]*Table153643454611[[#This Row],[Smoking-Attributable Fraction (SAF) of Healthcare Expenditures: Upper Bound
Base Scenario]]</f>
        <v>21060000</v>
      </c>
      <c r="V110" s="61">
        <v>-1.9999999999999997E-2</v>
      </c>
      <c r="W110" s="60">
        <f>W109*(1+Table153643454611[[#This Row],[Relative Change in Smoking Prevalence:
Enforce Marketing Restrictions]])</f>
        <v>7.4711820959999994E-2</v>
      </c>
      <c r="X110" s="60">
        <f>X109*(1+Table153643454611[[#This Row],[Relative Change in Smoking Prevalence:
Enforce Marketing Restrictions]])</f>
        <v>6.3643403039999991E-2</v>
      </c>
      <c r="Y110" s="60">
        <f>Y109*(1+Table153643454611[[#This Row],[Relative Change in Smoking Prevalence:
Enforce Marketing Restrictions]])</f>
        <v>0.1199078608</v>
      </c>
      <c r="Z110" s="66">
        <f>Table153643454611[[#This Row],[Total Healthcare Expenditures
(All Categories):
Base Scenario]]*Table153643454611[[#This Row],[Smoking-Attributable Fraction (SAF) of Healthcare Expenditures:
Adjusted for Intervention Impacts]]</f>
        <v>188124365.17727998</v>
      </c>
      <c r="AA110" s="64">
        <f>Table153643454611[[#This Row],[Total Healthcare Expenditures
(All Categories):
Base Scenario]]*Table153643454611[[#This Row],[Smoking-Attributable Fraction (SAF) of Healthcare Expenditures: Lower Bound
Adjusted for Intervention Impacts]]</f>
        <v>160254088.85471997</v>
      </c>
      <c r="AB110" s="66">
        <f>Table153643454611[[#This Row],[Total Healthcare Expenditures
(All Categories):
Base Scenario]]*Table153643454611[[#This Row],[Smoking-Attributable Fraction (SAF) of Healthcare Expenditures: Upper Bound
Adjusted for Intervention Impacts]]</f>
        <v>301927993.49440002</v>
      </c>
      <c r="AC110" s="66">
        <f>Table153643454611[[#This Row],[Total Government Healthcare Expenditures
(including national insurance):
Base Scenario]]*Table153643454611[[#This Row],[Smoking-Attributable Fraction (SAF) of Healthcare Expenditures:
Adjusted for Intervention Impacts]]</f>
        <v>68211892.536479995</v>
      </c>
      <c r="AD110" s="66">
        <f>Table153643454611[[#This Row],[Total Government Healthcare Expenditures
(including national insurance):
Base Scenario]]*Table153643454611[[#This Row],[Smoking-Attributable Fraction (SAF) of Healthcare Expenditures: Lower Bound
Adjusted for Intervention Impacts]]</f>
        <v>58106426.975519992</v>
      </c>
      <c r="AE110" s="66">
        <f>Table153643454611[[#This Row],[Total Government Healthcare Expenditures
(including national insurance):
Base Scenario]]*Table153643454611[[#This Row],[Smoking-Attributable Fraction (SAF) of Healthcare Expenditures: Upper Bound
Adjusted for Intervention Impacts]]</f>
        <v>109475876.9104</v>
      </c>
      <c r="AF110" s="66">
        <f>Table153643454611[[#This Row],[Total Private (Out-of-Pocket) Healthcare Expenditures:
Base Scenario]]*Table153643454611[[#This Row],[Smoking-Attributable Fraction (SAF) of Healthcare Expenditures:
Adjusted for Intervention Impacts]]</f>
        <v>107809157.64527999</v>
      </c>
      <c r="AG110" s="66">
        <f>Table153643454611[[#This Row],[Total Private (Out-of-Pocket) Healthcare Expenditures:
Base Scenario]]*Table153643454611[[#This Row],[Smoking-Attributable Fraction (SAF) of Healthcare Expenditures: Lower Bound
Adjusted for Intervention Impacts]]</f>
        <v>91837430.58671999</v>
      </c>
      <c r="AH110" s="66">
        <f>Table153643454611[[#This Row],[Total Private (Out-of-Pocket) Healthcare Expenditures:
Base Scenario]]*Table153643454611[[#This Row],[Smoking-Attributable Fraction (SAF) of Healthcare Expenditures: Upper Bound
Adjusted for Intervention Impacts]]</f>
        <v>173027043.13440001</v>
      </c>
      <c r="AI110" s="65">
        <f>Table153643454611[[#This Row],[Total Other Health Expenditures:
Base Scenario]]*Table153643454611[[#This Row],[Smoking-Attributable Fraction (SAF) of Healthcare Expenditures:
Adjusted for Intervention Impacts]]</f>
        <v>12103314.995519999</v>
      </c>
      <c r="AJ110" s="65">
        <f>Table153643454611[[#This Row],[Total Other Health Expenditures:
Base Scenario]]*Table153643454611[[#This Row],[Smoking-Attributable Fraction (SAF) of Healthcare Expenditures: Lower Bound
Adjusted for Intervention Impacts]]</f>
        <v>10310231.292479999</v>
      </c>
      <c r="AK110" s="65">
        <f>Table153643454611[[#This Row],[Total Other Health Expenditures:
Base Scenario]]*Table153643454611[[#This Row],[Smoking-Attributable Fraction (SAF) of Healthcare Expenditures: Upper Bound
Adjusted for Intervention Impacts]]</f>
        <v>19425073.4496</v>
      </c>
      <c r="AL110" s="76">
        <f>Table153643454611[[#This Row],[Smoking-Attributable Total Healthcare Expenditures:
Base Scenario]]-Table153643454611[[#This Row],[Smoking-Attributable Total Healthcare Expenditures:
Intervention Scenario]]</f>
        <v>15833634.822720021</v>
      </c>
      <c r="AM110" s="76">
        <f>Table153643454611[[#This Row],[Smoking-Attributable Total Healthcare Expenditures: Lower Bound
Base Scenario]]-Table153643454611[[#This Row],[Smoking-Attributable Total Healthcare Expenditures: Lower Bound
Intervention Scenario]]</f>
        <v>13487911.145280033</v>
      </c>
      <c r="AN110" s="76">
        <f>Table153643454611[[#This Row],[Smoking-Attributable Total Healthcare Expenditures: Upper Bound
Base Scenario]]-Table153643454611[[#This Row],[Smoking-Attributable Total Healthcare Expenditures: Upper Bound
Intervention Scenario]]</f>
        <v>25412006.505599976</v>
      </c>
      <c r="AO110" s="76">
        <f>Table153643454611[[#This Row],[Smoking-Attributable Government Healthcare Expenditures
(including national insurance):
Base Scenario]]-Table153643454611[[#This Row],[Smoking-Attributable Government Healthcare Expenditures
(including national insurance):
Intervention Scenario]]</f>
        <v>5741107.4635200053</v>
      </c>
      <c r="AP110"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4890573.024480015</v>
      </c>
      <c r="AQ110"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9214123.0895999968</v>
      </c>
      <c r="AR110" s="76">
        <f>Table153643454611[[#This Row],[Smoking-Attributable Private Healthcare Expenditures:
Base Scenario]]-Table153643454611[[#This Row],[Smoking-Attributable Private Healthcare Expenditures:
Intervention Scenario]]</f>
        <v>9073842.3547200114</v>
      </c>
      <c r="AS110" s="76">
        <f>Table153643454611[[#This Row],[Smoking-Attributable Private Healthcare Expenditures: Lower Bound
Base Scenario]]-Table153643454611[[#This Row],[Smoking-Attributable Private Healthcare Expenditures: Lower Bound
Intervention Scenario]]</f>
        <v>7729569.4132800251</v>
      </c>
      <c r="AT110" s="76">
        <f>Table153643454611[[#This Row],[Smoking-Attributable Private Healthcare Expenditures: Upper Bound
Base Scenario]]-Table153643454611[[#This Row],[Smoking-Attributable Private Healthcare Expenditures: Upper Bound
Intervention Scenario]]</f>
        <v>14562956.86559999</v>
      </c>
      <c r="AU110" s="76">
        <f>Table153643454611[[#This Row],[Smoking-Attributable Other Health Expenditures:
Base Scenario]]-Table153643454611[[#This Row],[Smoking-Attributable Other Health Expenditures:
Intervention Scenario]]</f>
        <v>1018685.0044800006</v>
      </c>
      <c r="AV110" s="235">
        <f>Table153643454611[[#This Row],[Smoking-Attributable Other Health Expenditures: Lower Bound
Base Scenario]]-Table153643454611[[#This Row],[Smoking-Attributable Other Health Expenditures: Lower Bound
Intervention Scenario]]</f>
        <v>867768.7075200025</v>
      </c>
      <c r="AW110" s="235">
        <f>Table153643454611[[#This Row],[Smoking-Attributable Other Health Expenditures: Upper Bound
Base Scenario]]-Table153643454611[[#This Row],[Smoking-Attributable Other Health Expenditures: Upper Bound
Intervention Scenario]]</f>
        <v>1634926.5504000001</v>
      </c>
    </row>
    <row r="111" spans="2:49">
      <c r="B111" s="47">
        <v>5</v>
      </c>
      <c r="C111" s="48">
        <f t="shared" si="30"/>
        <v>2518000000</v>
      </c>
      <c r="D111" s="48">
        <f t="shared" si="31"/>
        <v>913000000</v>
      </c>
      <c r="E111" s="48">
        <f t="shared" si="32"/>
        <v>1443000000</v>
      </c>
      <c r="F111" s="48">
        <f t="shared" si="33"/>
        <v>162000000</v>
      </c>
      <c r="G111" s="232">
        <f t="shared" si="34"/>
        <v>8.1000000000000003E-2</v>
      </c>
      <c r="H111" s="46">
        <f t="shared" si="38"/>
        <v>6.9000000000000006E-2</v>
      </c>
      <c r="I111" s="46">
        <f t="shared" si="35"/>
        <v>0.13</v>
      </c>
      <c r="J111" s="43">
        <f>Table153643454611[[#This Row],[Total Healthcare Expenditures
(All Categories):
Base Scenario]]*Table153643454611[[#This Row],[Smoking-Attributable Fraction (SAF) of Healthcare Expenditures
Base Scenario]]</f>
        <v>203958000</v>
      </c>
      <c r="K111" s="43">
        <f>Table153643454611[[#This Row],[Total Healthcare Expenditures
(All Categories):
Base Scenario]]*Table153643454611[[#This Row],[Smoking-Attributable Fraction (SAF) of Healthcare Expenditures: Lower Bound
Base Scenario]]</f>
        <v>173742000</v>
      </c>
      <c r="L111" s="43">
        <f>Table153643454611[[#This Row],[Total Healthcare Expenditures
(All Categories):
Base Scenario]]*Table153643454611[[#This Row],[Smoking-Attributable Fraction (SAF) of Healthcare Expenditures: Upper Bound
Base Scenario]]</f>
        <v>327340000</v>
      </c>
      <c r="M111" s="43">
        <f>Table153643454611[[#This Row],[Total Government Healthcare Expenditures
(including national insurance):
Base Scenario]]*Table153643454611[[#This Row],[Smoking-Attributable Fraction (SAF) of Healthcare Expenditures
Base Scenario]]</f>
        <v>73953000</v>
      </c>
      <c r="N111" s="43">
        <f>Table153643454611[[#This Row],[Total Government Healthcare Expenditures
(including national insurance):
Base Scenario]]*Table153643454611[[#This Row],[Smoking-Attributable Fraction (SAF) of Healthcare Expenditures: Lower Bound
Base Scenario]]</f>
        <v>62997000.000000007</v>
      </c>
      <c r="O111" s="43">
        <f>Table153643454611[[#This Row],[Total Government Healthcare Expenditures
(including national insurance):
Base Scenario]]*Table153643454611[[#This Row],[Smoking-Attributable Fraction (SAF) of Healthcare Expenditures: Upper Bound
Base Scenario]]</f>
        <v>118690000</v>
      </c>
      <c r="P111" s="43">
        <f>Table153643454611[[#This Row],[Total Private (Out-of-Pocket) Healthcare Expenditures:
Base Scenario]]*Table153643454611[[#This Row],[Smoking-Attributable Fraction (SAF) of Healthcare Expenditures
Base Scenario]]</f>
        <v>116883000</v>
      </c>
      <c r="Q111" s="43">
        <f>Table153643454611[[#This Row],[Total Private (Out-of-Pocket) Healthcare Expenditures:
Base Scenario]]*Table153643454611[[#This Row],[Smoking-Attributable Fraction (SAF) of Healthcare Expenditures: Lower Bound
Base Scenario]]</f>
        <v>99567000.000000015</v>
      </c>
      <c r="R111" s="43">
        <f>Table153643454611[[#This Row],[Total Private (Out-of-Pocket) Healthcare Expenditures:
Base Scenario]]*Table153643454611[[#This Row],[Smoking-Attributable Fraction (SAF) of Healthcare Expenditures: Upper Bound
Base Scenario]]</f>
        <v>187590000</v>
      </c>
      <c r="S111" s="43">
        <f>Table153643454611[[#This Row],[Total Other Health Expenditures:
Base Scenario]]*Table153643454611[[#This Row],[Smoking-Attributable Fraction (SAF) of Healthcare Expenditures
Base Scenario]]</f>
        <v>13122000</v>
      </c>
      <c r="T111" s="43">
        <f>Table153643454611[[#This Row],[Total Other Health Expenditures:
Base Scenario]]*Table153643454611[[#This Row],[Smoking-Attributable Fraction (SAF) of Healthcare Expenditures: Lower Bound
Base Scenario]]</f>
        <v>11178000.000000002</v>
      </c>
      <c r="U111" s="43">
        <f>Table153643454611[[#This Row],[Total Other Health Expenditures:
Base Scenario]]*Table153643454611[[#This Row],[Smoking-Attributable Fraction (SAF) of Healthcare Expenditures: Upper Bound
Base Scenario]]</f>
        <v>21060000</v>
      </c>
      <c r="V111" s="61">
        <v>-1.9999999999999997E-2</v>
      </c>
      <c r="W111" s="60">
        <f>W110*(1+Table153643454611[[#This Row],[Relative Change in Smoking Prevalence:
Enforce Marketing Restrictions]])</f>
        <v>7.321758454079999E-2</v>
      </c>
      <c r="X111" s="60">
        <f>X110*(1+Table153643454611[[#This Row],[Relative Change in Smoking Prevalence:
Enforce Marketing Restrictions]])</f>
        <v>6.237053497919999E-2</v>
      </c>
      <c r="Y111" s="60">
        <f>Y110*(1+Table153643454611[[#This Row],[Relative Change in Smoking Prevalence:
Enforce Marketing Restrictions]])</f>
        <v>0.11750970358399999</v>
      </c>
      <c r="Z111" s="66">
        <f>Table153643454611[[#This Row],[Total Healthcare Expenditures
(All Categories):
Base Scenario]]*Table153643454611[[#This Row],[Smoking-Attributable Fraction (SAF) of Healthcare Expenditures:
Adjusted for Intervention Impacts]]</f>
        <v>184361877.87373438</v>
      </c>
      <c r="AA111" s="64">
        <f>Table153643454611[[#This Row],[Total Healthcare Expenditures
(All Categories):
Base Scenario]]*Table153643454611[[#This Row],[Smoking-Attributable Fraction (SAF) of Healthcare Expenditures: Lower Bound
Adjusted for Intervention Impacts]]</f>
        <v>157049007.07762557</v>
      </c>
      <c r="AB111" s="66">
        <f>Table153643454611[[#This Row],[Total Healthcare Expenditures
(All Categories):
Base Scenario]]*Table153643454611[[#This Row],[Smoking-Attributable Fraction (SAF) of Healthcare Expenditures: Upper Bound
Adjusted for Intervention Impacts]]</f>
        <v>295889433.62451196</v>
      </c>
      <c r="AC111" s="66">
        <f>Table153643454611[[#This Row],[Total Government Healthcare Expenditures
(including national insurance):
Base Scenario]]*Table153643454611[[#This Row],[Smoking-Attributable Fraction (SAF) of Healthcare Expenditures:
Adjusted for Intervention Impacts]]</f>
        <v>66847654.685750388</v>
      </c>
      <c r="AD111" s="66">
        <f>Table153643454611[[#This Row],[Total Government Healthcare Expenditures
(including national insurance):
Base Scenario]]*Table153643454611[[#This Row],[Smoking-Attributable Fraction (SAF) of Healthcare Expenditures: Lower Bound
Adjusted for Intervention Impacts]]</f>
        <v>56944298.436009593</v>
      </c>
      <c r="AE111" s="66">
        <f>Table153643454611[[#This Row],[Total Government Healthcare Expenditures
(including national insurance):
Base Scenario]]*Table153643454611[[#This Row],[Smoking-Attributable Fraction (SAF) of Healthcare Expenditures: Upper Bound
Adjusted for Intervention Impacts]]</f>
        <v>107286359.372192</v>
      </c>
      <c r="AF111" s="66">
        <f>Table153643454611[[#This Row],[Total Private (Out-of-Pocket) Healthcare Expenditures:
Base Scenario]]*Table153643454611[[#This Row],[Smoking-Attributable Fraction (SAF) of Healthcare Expenditures:
Adjusted for Intervention Impacts]]</f>
        <v>105652974.49237439</v>
      </c>
      <c r="AG111" s="66">
        <f>Table153643454611[[#This Row],[Total Private (Out-of-Pocket) Healthcare Expenditures:
Base Scenario]]*Table153643454611[[#This Row],[Smoking-Attributable Fraction (SAF) of Healthcare Expenditures: Lower Bound
Adjusted for Intervention Impacts]]</f>
        <v>90000681.974985585</v>
      </c>
      <c r="AH111" s="66">
        <f>Table153643454611[[#This Row],[Total Private (Out-of-Pocket) Healthcare Expenditures:
Base Scenario]]*Table153643454611[[#This Row],[Smoking-Attributable Fraction (SAF) of Healthcare Expenditures: Upper Bound
Adjusted for Intervention Impacts]]</f>
        <v>169566502.27171201</v>
      </c>
      <c r="AI111" s="65">
        <f>Table153643454611[[#This Row],[Total Other Health Expenditures:
Base Scenario]]*Table153643454611[[#This Row],[Smoking-Attributable Fraction (SAF) of Healthcare Expenditures:
Adjusted for Intervention Impacts]]</f>
        <v>11861248.695609599</v>
      </c>
      <c r="AJ111" s="65">
        <f>Table153643454611[[#This Row],[Total Other Health Expenditures:
Base Scenario]]*Table153643454611[[#This Row],[Smoking-Attributable Fraction (SAF) of Healthcare Expenditures: Lower Bound
Adjusted for Intervention Impacts]]</f>
        <v>10104026.666630398</v>
      </c>
      <c r="AK111" s="65">
        <f>Table153643454611[[#This Row],[Total Other Health Expenditures:
Base Scenario]]*Table153643454611[[#This Row],[Smoking-Attributable Fraction (SAF) of Healthcare Expenditures: Upper Bound
Adjusted for Intervention Impacts]]</f>
        <v>19036571.980607998</v>
      </c>
      <c r="AL111" s="76">
        <f>Table153643454611[[#This Row],[Smoking-Attributable Total Healthcare Expenditures:
Base Scenario]]-Table153643454611[[#This Row],[Smoking-Attributable Total Healthcare Expenditures:
Intervention Scenario]]</f>
        <v>19596122.126265615</v>
      </c>
      <c r="AM111" s="76">
        <f>Table153643454611[[#This Row],[Smoking-Attributable Total Healthcare Expenditures: Lower Bound
Base Scenario]]-Table153643454611[[#This Row],[Smoking-Attributable Total Healthcare Expenditures: Lower Bound
Intervention Scenario]]</f>
        <v>16692992.922374427</v>
      </c>
      <c r="AN111" s="76">
        <f>Table153643454611[[#This Row],[Smoking-Attributable Total Healthcare Expenditures: Upper Bound
Base Scenario]]-Table153643454611[[#This Row],[Smoking-Attributable Total Healthcare Expenditures: Upper Bound
Intervention Scenario]]</f>
        <v>31450566.375488043</v>
      </c>
      <c r="AO111" s="76">
        <f>Table153643454611[[#This Row],[Smoking-Attributable Government Healthcare Expenditures
(including national insurance):
Base Scenario]]-Table153643454611[[#This Row],[Smoking-Attributable Government Healthcare Expenditures
(including national insurance):
Intervention Scenario]]</f>
        <v>7105345.3142496124</v>
      </c>
      <c r="AP111"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6052701.5639904141</v>
      </c>
      <c r="AQ111"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11403640.627808005</v>
      </c>
      <c r="AR111" s="76">
        <f>Table153643454611[[#This Row],[Smoking-Attributable Private Healthcare Expenditures:
Base Scenario]]-Table153643454611[[#This Row],[Smoking-Attributable Private Healthcare Expenditures:
Intervention Scenario]]</f>
        <v>11230025.50762561</v>
      </c>
      <c r="AS111" s="76">
        <f>Table153643454611[[#This Row],[Smoking-Attributable Private Healthcare Expenditures: Lower Bound
Base Scenario]]-Table153643454611[[#This Row],[Smoking-Attributable Private Healthcare Expenditures: Lower Bound
Intervention Scenario]]</f>
        <v>9566318.0250144303</v>
      </c>
      <c r="AT111" s="76">
        <f>Table153643454611[[#This Row],[Smoking-Attributable Private Healthcare Expenditures: Upper Bound
Base Scenario]]-Table153643454611[[#This Row],[Smoking-Attributable Private Healthcare Expenditures: Upper Bound
Intervention Scenario]]</f>
        <v>18023497.728287995</v>
      </c>
      <c r="AU111" s="76">
        <f>Table153643454611[[#This Row],[Smoking-Attributable Other Health Expenditures:
Base Scenario]]-Table153643454611[[#This Row],[Smoking-Attributable Other Health Expenditures:
Intervention Scenario]]</f>
        <v>1260751.3043904006</v>
      </c>
      <c r="AV111" s="235">
        <f>Table153643454611[[#This Row],[Smoking-Attributable Other Health Expenditures: Lower Bound
Base Scenario]]-Table153643454611[[#This Row],[Smoking-Attributable Other Health Expenditures: Lower Bound
Intervention Scenario]]</f>
        <v>1073973.3333696034</v>
      </c>
      <c r="AW111" s="235">
        <f>Table153643454611[[#This Row],[Smoking-Attributable Other Health Expenditures: Upper Bound
Base Scenario]]-Table153643454611[[#This Row],[Smoking-Attributable Other Health Expenditures: Upper Bound
Intervention Scenario]]</f>
        <v>2023428.0193920024</v>
      </c>
    </row>
    <row r="112" spans="2:49">
      <c r="B112" s="47">
        <v>6</v>
      </c>
      <c r="C112" s="48">
        <f t="shared" si="30"/>
        <v>2518000000</v>
      </c>
      <c r="D112" s="48">
        <f t="shared" si="31"/>
        <v>913000000</v>
      </c>
      <c r="E112" s="48">
        <f t="shared" si="32"/>
        <v>1443000000</v>
      </c>
      <c r="F112" s="48">
        <f t="shared" si="33"/>
        <v>162000000</v>
      </c>
      <c r="G112" s="232">
        <f t="shared" si="34"/>
        <v>8.1000000000000003E-2</v>
      </c>
      <c r="H112" s="46">
        <f t="shared" si="38"/>
        <v>6.9000000000000006E-2</v>
      </c>
      <c r="I112" s="46">
        <f t="shared" si="35"/>
        <v>0.13</v>
      </c>
      <c r="J112" s="43">
        <f>Table153643454611[[#This Row],[Total Healthcare Expenditures
(All Categories):
Base Scenario]]*Table153643454611[[#This Row],[Smoking-Attributable Fraction (SAF) of Healthcare Expenditures
Base Scenario]]</f>
        <v>203958000</v>
      </c>
      <c r="K112" s="43">
        <f>Table153643454611[[#This Row],[Total Healthcare Expenditures
(All Categories):
Base Scenario]]*Table153643454611[[#This Row],[Smoking-Attributable Fraction (SAF) of Healthcare Expenditures: Lower Bound
Base Scenario]]</f>
        <v>173742000</v>
      </c>
      <c r="L112" s="43">
        <f>Table153643454611[[#This Row],[Total Healthcare Expenditures
(All Categories):
Base Scenario]]*Table153643454611[[#This Row],[Smoking-Attributable Fraction (SAF) of Healthcare Expenditures: Upper Bound
Base Scenario]]</f>
        <v>327340000</v>
      </c>
      <c r="M112" s="43">
        <f>Table153643454611[[#This Row],[Total Government Healthcare Expenditures
(including national insurance):
Base Scenario]]*Table153643454611[[#This Row],[Smoking-Attributable Fraction (SAF) of Healthcare Expenditures
Base Scenario]]</f>
        <v>73953000</v>
      </c>
      <c r="N112" s="43">
        <f>Table153643454611[[#This Row],[Total Government Healthcare Expenditures
(including national insurance):
Base Scenario]]*Table153643454611[[#This Row],[Smoking-Attributable Fraction (SAF) of Healthcare Expenditures: Lower Bound
Base Scenario]]</f>
        <v>62997000.000000007</v>
      </c>
      <c r="O112" s="43">
        <f>Table153643454611[[#This Row],[Total Government Healthcare Expenditures
(including national insurance):
Base Scenario]]*Table153643454611[[#This Row],[Smoking-Attributable Fraction (SAF) of Healthcare Expenditures: Upper Bound
Base Scenario]]</f>
        <v>118690000</v>
      </c>
      <c r="P112" s="43">
        <f>Table153643454611[[#This Row],[Total Private (Out-of-Pocket) Healthcare Expenditures:
Base Scenario]]*Table153643454611[[#This Row],[Smoking-Attributable Fraction (SAF) of Healthcare Expenditures
Base Scenario]]</f>
        <v>116883000</v>
      </c>
      <c r="Q112" s="43">
        <f>Table153643454611[[#This Row],[Total Private (Out-of-Pocket) Healthcare Expenditures:
Base Scenario]]*Table153643454611[[#This Row],[Smoking-Attributable Fraction (SAF) of Healthcare Expenditures: Lower Bound
Base Scenario]]</f>
        <v>99567000.000000015</v>
      </c>
      <c r="R112" s="43">
        <f>Table153643454611[[#This Row],[Total Private (Out-of-Pocket) Healthcare Expenditures:
Base Scenario]]*Table153643454611[[#This Row],[Smoking-Attributable Fraction (SAF) of Healthcare Expenditures: Upper Bound
Base Scenario]]</f>
        <v>187590000</v>
      </c>
      <c r="S112" s="43">
        <f>Table153643454611[[#This Row],[Total Other Health Expenditures:
Base Scenario]]*Table153643454611[[#This Row],[Smoking-Attributable Fraction (SAF) of Healthcare Expenditures
Base Scenario]]</f>
        <v>13122000</v>
      </c>
      <c r="T112" s="43">
        <f>Table153643454611[[#This Row],[Total Other Health Expenditures:
Base Scenario]]*Table153643454611[[#This Row],[Smoking-Attributable Fraction (SAF) of Healthcare Expenditures: Lower Bound
Base Scenario]]</f>
        <v>11178000.000000002</v>
      </c>
      <c r="U112" s="43">
        <f>Table153643454611[[#This Row],[Total Other Health Expenditures:
Base Scenario]]*Table153643454611[[#This Row],[Smoking-Attributable Fraction (SAF) of Healthcare Expenditures: Upper Bound
Base Scenario]]</f>
        <v>21060000</v>
      </c>
      <c r="V112" s="62">
        <v>-1.9999999999999987E-3</v>
      </c>
      <c r="W112" s="60">
        <f>W111*(1+Table153643454611[[#This Row],[Relative Change in Smoking Prevalence:
Enforce Marketing Restrictions]])</f>
        <v>7.3071149371718394E-2</v>
      </c>
      <c r="X112" s="60">
        <f>X111*(1+Table153643454611[[#This Row],[Relative Change in Smoking Prevalence:
Enforce Marketing Restrictions]])</f>
        <v>6.2245793909241592E-2</v>
      </c>
      <c r="Y112" s="60">
        <f>Y111*(1+Table153643454611[[#This Row],[Relative Change in Smoking Prevalence:
Enforce Marketing Restrictions]])</f>
        <v>0.117274684176832</v>
      </c>
      <c r="Z112" s="66">
        <f>Table153643454611[[#This Row],[Total Healthcare Expenditures
(All Categories):
Base Scenario]]*Table153643454611[[#This Row],[Smoking-Attributable Fraction (SAF) of Healthcare Expenditures:
Adjusted for Intervention Impacts]]</f>
        <v>183993154.11798692</v>
      </c>
      <c r="AA112" s="64">
        <f>Table153643454611[[#This Row],[Total Healthcare Expenditures
(All Categories):
Base Scenario]]*Table153643454611[[#This Row],[Smoking-Attributable Fraction (SAF) of Healthcare Expenditures: Lower Bound
Adjusted for Intervention Impacts]]</f>
        <v>156734909.06347033</v>
      </c>
      <c r="AB112" s="66">
        <f>Table153643454611[[#This Row],[Total Healthcare Expenditures
(All Categories):
Base Scenario]]*Table153643454611[[#This Row],[Smoking-Attributable Fraction (SAF) of Healthcare Expenditures: Upper Bound
Adjusted for Intervention Impacts]]</f>
        <v>295297654.75726295</v>
      </c>
      <c r="AC112" s="66">
        <f>Table153643454611[[#This Row],[Total Government Healthcare Expenditures
(including national insurance):
Base Scenario]]*Table153643454611[[#This Row],[Smoking-Attributable Fraction (SAF) of Healthcare Expenditures:
Adjusted for Intervention Impacts]]</f>
        <v>66713959.376378894</v>
      </c>
      <c r="AD112" s="66">
        <f>Table153643454611[[#This Row],[Total Government Healthcare Expenditures
(including national insurance):
Base Scenario]]*Table153643454611[[#This Row],[Smoking-Attributable Fraction (SAF) of Healthcare Expenditures: Lower Bound
Adjusted for Intervention Impacts]]</f>
        <v>56830409.839137577</v>
      </c>
      <c r="AE112" s="66">
        <f>Table153643454611[[#This Row],[Total Government Healthcare Expenditures
(including national insurance):
Base Scenario]]*Table153643454611[[#This Row],[Smoking-Attributable Fraction (SAF) of Healthcare Expenditures: Upper Bound
Adjusted for Intervention Impacts]]</f>
        <v>107071786.65344761</v>
      </c>
      <c r="AF112" s="66">
        <f>Table153643454611[[#This Row],[Total Private (Out-of-Pocket) Healthcare Expenditures:
Base Scenario]]*Table153643454611[[#This Row],[Smoking-Attributable Fraction (SAF) of Healthcare Expenditures:
Adjusted for Intervention Impacts]]</f>
        <v>105441668.54338965</v>
      </c>
      <c r="AG112" s="66">
        <f>Table153643454611[[#This Row],[Total Private (Out-of-Pocket) Healthcare Expenditures:
Base Scenario]]*Table153643454611[[#This Row],[Smoking-Attributable Fraction (SAF) of Healthcare Expenditures: Lower Bound
Adjusted for Intervention Impacts]]</f>
        <v>89820680.611035615</v>
      </c>
      <c r="AH112" s="66">
        <f>Table153643454611[[#This Row],[Total Private (Out-of-Pocket) Healthcare Expenditures:
Base Scenario]]*Table153643454611[[#This Row],[Smoking-Attributable Fraction (SAF) of Healthcare Expenditures: Upper Bound
Adjusted for Intervention Impacts]]</f>
        <v>169227369.26716858</v>
      </c>
      <c r="AI112" s="65">
        <f>Table153643454611[[#This Row],[Total Other Health Expenditures:
Base Scenario]]*Table153643454611[[#This Row],[Smoking-Attributable Fraction (SAF) of Healthcare Expenditures:
Adjusted for Intervention Impacts]]</f>
        <v>11837526.198218379</v>
      </c>
      <c r="AJ112" s="65">
        <f>Table153643454611[[#This Row],[Total Other Health Expenditures:
Base Scenario]]*Table153643454611[[#This Row],[Smoking-Attributable Fraction (SAF) of Healthcare Expenditures: Lower Bound
Adjusted for Intervention Impacts]]</f>
        <v>10083818.613297138</v>
      </c>
      <c r="AK112" s="65">
        <f>Table153643454611[[#This Row],[Total Other Health Expenditures:
Base Scenario]]*Table153643454611[[#This Row],[Smoking-Attributable Fraction (SAF) of Healthcare Expenditures: Upper Bound
Adjusted for Intervention Impacts]]</f>
        <v>18998498.836646784</v>
      </c>
      <c r="AL112" s="76">
        <f>Table153643454611[[#This Row],[Smoking-Attributable Total Healthcare Expenditures:
Base Scenario]]-Table153643454611[[#This Row],[Smoking-Attributable Total Healthcare Expenditures:
Intervention Scenario]]</f>
        <v>19964845.882013083</v>
      </c>
      <c r="AM112" s="76">
        <f>Table153643454611[[#This Row],[Smoking-Attributable Total Healthcare Expenditures: Lower Bound
Base Scenario]]-Table153643454611[[#This Row],[Smoking-Attributable Total Healthcare Expenditures: Lower Bound
Intervention Scenario]]</f>
        <v>17007090.936529666</v>
      </c>
      <c r="AN112" s="76">
        <f>Table153643454611[[#This Row],[Smoking-Attributable Total Healthcare Expenditures: Upper Bound
Base Scenario]]-Table153643454611[[#This Row],[Smoking-Attributable Total Healthcare Expenditures: Upper Bound
Intervention Scenario]]</f>
        <v>32042345.242737055</v>
      </c>
      <c r="AO112" s="76">
        <f>Table153643454611[[#This Row],[Smoking-Attributable Government Healthcare Expenditures
(including national insurance):
Base Scenario]]-Table153643454611[[#This Row],[Smoking-Attributable Government Healthcare Expenditures
(including national insurance):
Intervention Scenario]]</f>
        <v>7239040.6236211061</v>
      </c>
      <c r="AP112"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6166590.1608624309</v>
      </c>
      <c r="AQ112"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11618213.346552387</v>
      </c>
      <c r="AR112" s="76">
        <f>Table153643454611[[#This Row],[Smoking-Attributable Private Healthcare Expenditures:
Base Scenario]]-Table153643454611[[#This Row],[Smoking-Attributable Private Healthcare Expenditures:
Intervention Scenario]]</f>
        <v>11441331.456610352</v>
      </c>
      <c r="AS112" s="76">
        <f>Table153643454611[[#This Row],[Smoking-Attributable Private Healthcare Expenditures: Lower Bound
Base Scenario]]-Table153643454611[[#This Row],[Smoking-Attributable Private Healthcare Expenditures: Lower Bound
Intervention Scenario]]</f>
        <v>9746319.3889643997</v>
      </c>
      <c r="AT112" s="76">
        <f>Table153643454611[[#This Row],[Smoking-Attributable Private Healthcare Expenditures: Upper Bound
Base Scenario]]-Table153643454611[[#This Row],[Smoking-Attributable Private Healthcare Expenditures: Upper Bound
Intervention Scenario]]</f>
        <v>18362630.732831419</v>
      </c>
      <c r="AU112" s="76">
        <f>Table153643454611[[#This Row],[Smoking-Attributable Other Health Expenditures:
Base Scenario]]-Table153643454611[[#This Row],[Smoking-Attributable Other Health Expenditures:
Intervention Scenario]]</f>
        <v>1284473.8017816208</v>
      </c>
      <c r="AV112" s="235">
        <f>Table153643454611[[#This Row],[Smoking-Attributable Other Health Expenditures: Lower Bound
Base Scenario]]-Table153643454611[[#This Row],[Smoking-Attributable Other Health Expenditures: Lower Bound
Intervention Scenario]]</f>
        <v>1094181.3867028635</v>
      </c>
      <c r="AW112" s="235">
        <f>Table153643454611[[#This Row],[Smoking-Attributable Other Health Expenditures: Upper Bound
Base Scenario]]-Table153643454611[[#This Row],[Smoking-Attributable Other Health Expenditures: Upper Bound
Intervention Scenario]]</f>
        <v>2061501.1633532159</v>
      </c>
    </row>
    <row r="113" spans="2:49">
      <c r="B113" s="47">
        <v>7</v>
      </c>
      <c r="C113" s="48">
        <f t="shared" si="30"/>
        <v>2518000000</v>
      </c>
      <c r="D113" s="48">
        <f t="shared" si="31"/>
        <v>913000000</v>
      </c>
      <c r="E113" s="48">
        <f t="shared" si="32"/>
        <v>1443000000</v>
      </c>
      <c r="F113" s="48">
        <f t="shared" si="33"/>
        <v>162000000</v>
      </c>
      <c r="G113" s="232">
        <f t="shared" si="34"/>
        <v>8.1000000000000003E-2</v>
      </c>
      <c r="H113" s="46">
        <f t="shared" si="38"/>
        <v>6.9000000000000006E-2</v>
      </c>
      <c r="I113" s="46">
        <f t="shared" si="35"/>
        <v>0.13</v>
      </c>
      <c r="J113" s="43">
        <f>Table153643454611[[#This Row],[Total Healthcare Expenditures
(All Categories):
Base Scenario]]*Table153643454611[[#This Row],[Smoking-Attributable Fraction (SAF) of Healthcare Expenditures
Base Scenario]]</f>
        <v>203958000</v>
      </c>
      <c r="K113" s="43">
        <f>Table153643454611[[#This Row],[Total Healthcare Expenditures
(All Categories):
Base Scenario]]*Table153643454611[[#This Row],[Smoking-Attributable Fraction (SAF) of Healthcare Expenditures: Lower Bound
Base Scenario]]</f>
        <v>173742000</v>
      </c>
      <c r="L113" s="43">
        <f>Table153643454611[[#This Row],[Total Healthcare Expenditures
(All Categories):
Base Scenario]]*Table153643454611[[#This Row],[Smoking-Attributable Fraction (SAF) of Healthcare Expenditures: Upper Bound
Base Scenario]]</f>
        <v>327340000</v>
      </c>
      <c r="M113" s="43">
        <f>Table153643454611[[#This Row],[Total Government Healthcare Expenditures
(including national insurance):
Base Scenario]]*Table153643454611[[#This Row],[Smoking-Attributable Fraction (SAF) of Healthcare Expenditures
Base Scenario]]</f>
        <v>73953000</v>
      </c>
      <c r="N113" s="43">
        <f>Table153643454611[[#This Row],[Total Government Healthcare Expenditures
(including national insurance):
Base Scenario]]*Table153643454611[[#This Row],[Smoking-Attributable Fraction (SAF) of Healthcare Expenditures: Lower Bound
Base Scenario]]</f>
        <v>62997000.000000007</v>
      </c>
      <c r="O113" s="43">
        <f>Table153643454611[[#This Row],[Total Government Healthcare Expenditures
(including national insurance):
Base Scenario]]*Table153643454611[[#This Row],[Smoking-Attributable Fraction (SAF) of Healthcare Expenditures: Upper Bound
Base Scenario]]</f>
        <v>118690000</v>
      </c>
      <c r="P113" s="43">
        <f>Table153643454611[[#This Row],[Total Private (Out-of-Pocket) Healthcare Expenditures:
Base Scenario]]*Table153643454611[[#This Row],[Smoking-Attributable Fraction (SAF) of Healthcare Expenditures
Base Scenario]]</f>
        <v>116883000</v>
      </c>
      <c r="Q113" s="43">
        <f>Table153643454611[[#This Row],[Total Private (Out-of-Pocket) Healthcare Expenditures:
Base Scenario]]*Table153643454611[[#This Row],[Smoking-Attributable Fraction (SAF) of Healthcare Expenditures: Lower Bound
Base Scenario]]</f>
        <v>99567000.000000015</v>
      </c>
      <c r="R113" s="43">
        <f>Table153643454611[[#This Row],[Total Private (Out-of-Pocket) Healthcare Expenditures:
Base Scenario]]*Table153643454611[[#This Row],[Smoking-Attributable Fraction (SAF) of Healthcare Expenditures: Upper Bound
Base Scenario]]</f>
        <v>187590000</v>
      </c>
      <c r="S113" s="43">
        <f>Table153643454611[[#This Row],[Total Other Health Expenditures:
Base Scenario]]*Table153643454611[[#This Row],[Smoking-Attributable Fraction (SAF) of Healthcare Expenditures
Base Scenario]]</f>
        <v>13122000</v>
      </c>
      <c r="T113" s="43">
        <f>Table153643454611[[#This Row],[Total Other Health Expenditures:
Base Scenario]]*Table153643454611[[#This Row],[Smoking-Attributable Fraction (SAF) of Healthcare Expenditures: Lower Bound
Base Scenario]]</f>
        <v>11178000.000000002</v>
      </c>
      <c r="U113" s="43">
        <f>Table153643454611[[#This Row],[Total Other Health Expenditures:
Base Scenario]]*Table153643454611[[#This Row],[Smoking-Attributable Fraction (SAF) of Healthcare Expenditures: Upper Bound
Base Scenario]]</f>
        <v>21060000</v>
      </c>
      <c r="V113" s="62">
        <v>-1.9999999999999987E-3</v>
      </c>
      <c r="W113" s="60">
        <f>W112*(1+Table153643454611[[#This Row],[Relative Change in Smoking Prevalence:
Enforce Marketing Restrictions]])</f>
        <v>7.2925007072974959E-2</v>
      </c>
      <c r="X113" s="60">
        <f>X112*(1+Table153643454611[[#This Row],[Relative Change in Smoking Prevalence:
Enforce Marketing Restrictions]])</f>
        <v>6.2121302321423107E-2</v>
      </c>
      <c r="Y113" s="60">
        <f>Y112*(1+Table153643454611[[#This Row],[Relative Change in Smoking Prevalence:
Enforce Marketing Restrictions]])</f>
        <v>0.11704013480847833</v>
      </c>
      <c r="Z113" s="66">
        <f>Table153643454611[[#This Row],[Total Healthcare Expenditures
(All Categories):
Base Scenario]]*Table153643454611[[#This Row],[Smoking-Attributable Fraction (SAF) of Healthcare Expenditures:
Adjusted for Intervention Impacts]]</f>
        <v>183625167.80975094</v>
      </c>
      <c r="AA113" s="64">
        <f>Table153643454611[[#This Row],[Total Healthcare Expenditures
(All Categories):
Base Scenario]]*Table153643454611[[#This Row],[Smoking-Attributable Fraction (SAF) of Healthcare Expenditures: Lower Bound
Adjusted for Intervention Impacts]]</f>
        <v>156421439.24534339</v>
      </c>
      <c r="AB113" s="66">
        <f>Table153643454611[[#This Row],[Total Healthcare Expenditures
(All Categories):
Base Scenario]]*Table153643454611[[#This Row],[Smoking-Attributable Fraction (SAF) of Healthcare Expenditures: Upper Bound
Adjusted for Intervention Impacts]]</f>
        <v>294707059.44774842</v>
      </c>
      <c r="AC113" s="66">
        <f>Table153643454611[[#This Row],[Total Government Healthcare Expenditures
(including national insurance):
Base Scenario]]*Table153643454611[[#This Row],[Smoking-Attributable Fraction (SAF) of Healthcare Expenditures:
Adjusted for Intervention Impacts]]</f>
        <v>66580531.457626142</v>
      </c>
      <c r="AD113" s="66">
        <f>Table153643454611[[#This Row],[Total Government Healthcare Expenditures
(including national insurance):
Base Scenario]]*Table153643454611[[#This Row],[Smoking-Attributable Fraction (SAF) of Healthcare Expenditures: Lower Bound
Adjusted for Intervention Impacts]]</f>
        <v>56716749.0194593</v>
      </c>
      <c r="AE113" s="66">
        <f>Table153643454611[[#This Row],[Total Government Healthcare Expenditures
(including national insurance):
Base Scenario]]*Table153643454611[[#This Row],[Smoking-Attributable Fraction (SAF) of Healthcare Expenditures: Upper Bound
Adjusted for Intervention Impacts]]</f>
        <v>106857643.08014071</v>
      </c>
      <c r="AF113" s="66">
        <f>Table153643454611[[#This Row],[Total Private (Out-of-Pocket) Healthcare Expenditures:
Base Scenario]]*Table153643454611[[#This Row],[Smoking-Attributable Fraction (SAF) of Healthcare Expenditures:
Adjusted for Intervention Impacts]]</f>
        <v>105230785.20630287</v>
      </c>
      <c r="AG113" s="66">
        <f>Table153643454611[[#This Row],[Total Private (Out-of-Pocket) Healthcare Expenditures:
Base Scenario]]*Table153643454611[[#This Row],[Smoking-Attributable Fraction (SAF) of Healthcare Expenditures: Lower Bound
Adjusted for Intervention Impacts]]</f>
        <v>89641039.249813542</v>
      </c>
      <c r="AH113" s="66">
        <f>Table153643454611[[#This Row],[Total Private (Out-of-Pocket) Healthcare Expenditures:
Base Scenario]]*Table153643454611[[#This Row],[Smoking-Attributable Fraction (SAF) of Healthcare Expenditures: Upper Bound
Adjusted for Intervention Impacts]]</f>
        <v>168888914.52863422</v>
      </c>
      <c r="AI113" s="65">
        <f>Table153643454611[[#This Row],[Total Other Health Expenditures:
Base Scenario]]*Table153643454611[[#This Row],[Smoking-Attributable Fraction (SAF) of Healthcare Expenditures:
Adjusted for Intervention Impacts]]</f>
        <v>11813851.145821944</v>
      </c>
      <c r="AJ113" s="65">
        <f>Table153643454611[[#This Row],[Total Other Health Expenditures:
Base Scenario]]*Table153643454611[[#This Row],[Smoking-Attributable Fraction (SAF) of Healthcare Expenditures: Lower Bound
Adjusted for Intervention Impacts]]</f>
        <v>10063650.976070544</v>
      </c>
      <c r="AK113" s="65">
        <f>Table153643454611[[#This Row],[Total Other Health Expenditures:
Base Scenario]]*Table153643454611[[#This Row],[Smoking-Attributable Fraction (SAF) of Healthcare Expenditures: Upper Bound
Adjusted for Intervention Impacts]]</f>
        <v>18960501.838973489</v>
      </c>
      <c r="AL113" s="76">
        <f>Table153643454611[[#This Row],[Smoking-Attributable Total Healthcare Expenditures:
Base Scenario]]-Table153643454611[[#This Row],[Smoking-Attributable Total Healthcare Expenditures:
Intervention Scenario]]</f>
        <v>20332832.190249056</v>
      </c>
      <c r="AM113" s="76">
        <f>Table153643454611[[#This Row],[Smoking-Attributable Total Healthcare Expenditures: Lower Bound
Base Scenario]]-Table153643454611[[#This Row],[Smoking-Attributable Total Healthcare Expenditures: Lower Bound
Intervention Scenario]]</f>
        <v>17320560.754656613</v>
      </c>
      <c r="AN113" s="76">
        <f>Table153643454611[[#This Row],[Smoking-Attributable Total Healthcare Expenditures: Upper Bound
Base Scenario]]-Table153643454611[[#This Row],[Smoking-Attributable Total Healthcare Expenditures: Upper Bound
Intervention Scenario]]</f>
        <v>32632940.552251577</v>
      </c>
      <c r="AO113" s="76">
        <f>Table153643454611[[#This Row],[Smoking-Attributable Government Healthcare Expenditures
(including national insurance):
Base Scenario]]-Table153643454611[[#This Row],[Smoking-Attributable Government Healthcare Expenditures
(including national insurance):
Intervention Scenario]]</f>
        <v>7372468.5423738584</v>
      </c>
      <c r="AP113"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6280250.9805407077</v>
      </c>
      <c r="AQ113"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11832356.91985929</v>
      </c>
      <c r="AR113" s="76">
        <f>Table153643454611[[#This Row],[Smoking-Attributable Private Healthcare Expenditures:
Base Scenario]]-Table153643454611[[#This Row],[Smoking-Attributable Private Healthcare Expenditures:
Intervention Scenario]]</f>
        <v>11652214.793697134</v>
      </c>
      <c r="AS113" s="76">
        <f>Table153643454611[[#This Row],[Smoking-Attributable Private Healthcare Expenditures: Lower Bound
Base Scenario]]-Table153643454611[[#This Row],[Smoking-Attributable Private Healthcare Expenditures: Lower Bound
Intervention Scenario]]</f>
        <v>9925960.7501864731</v>
      </c>
      <c r="AT113" s="76">
        <f>Table153643454611[[#This Row],[Smoking-Attributable Private Healthcare Expenditures: Upper Bound
Base Scenario]]-Table153643454611[[#This Row],[Smoking-Attributable Private Healthcare Expenditures: Upper Bound
Intervention Scenario]]</f>
        <v>18701085.47136578</v>
      </c>
      <c r="AU113" s="76">
        <f>Table153643454611[[#This Row],[Smoking-Attributable Other Health Expenditures:
Base Scenario]]-Table153643454611[[#This Row],[Smoking-Attributable Other Health Expenditures:
Intervention Scenario]]</f>
        <v>1308148.8541780561</v>
      </c>
      <c r="AV113" s="235">
        <f>Table153643454611[[#This Row],[Smoking-Attributable Other Health Expenditures: Lower Bound
Base Scenario]]-Table153643454611[[#This Row],[Smoking-Attributable Other Health Expenditures: Lower Bound
Intervention Scenario]]</f>
        <v>1114349.0239294581</v>
      </c>
      <c r="AW113" s="235">
        <f>Table153643454611[[#This Row],[Smoking-Attributable Other Health Expenditures: Upper Bound
Base Scenario]]-Table153643454611[[#This Row],[Smoking-Attributable Other Health Expenditures: Upper Bound
Intervention Scenario]]</f>
        <v>2099498.1610265113</v>
      </c>
    </row>
    <row r="114" spans="2:49">
      <c r="B114" s="47">
        <v>8</v>
      </c>
      <c r="C114" s="48">
        <f t="shared" si="30"/>
        <v>2518000000</v>
      </c>
      <c r="D114" s="48">
        <f t="shared" si="31"/>
        <v>913000000</v>
      </c>
      <c r="E114" s="48">
        <f t="shared" si="32"/>
        <v>1443000000</v>
      </c>
      <c r="F114" s="48">
        <f t="shared" si="33"/>
        <v>162000000</v>
      </c>
      <c r="G114" s="232">
        <f t="shared" si="34"/>
        <v>8.1000000000000003E-2</v>
      </c>
      <c r="H114" s="46">
        <f t="shared" si="38"/>
        <v>6.9000000000000006E-2</v>
      </c>
      <c r="I114" s="46">
        <f t="shared" si="35"/>
        <v>0.13</v>
      </c>
      <c r="J114" s="43">
        <f>Table153643454611[[#This Row],[Total Healthcare Expenditures
(All Categories):
Base Scenario]]*Table153643454611[[#This Row],[Smoking-Attributable Fraction (SAF) of Healthcare Expenditures
Base Scenario]]</f>
        <v>203958000</v>
      </c>
      <c r="K114" s="43">
        <f>Table153643454611[[#This Row],[Total Healthcare Expenditures
(All Categories):
Base Scenario]]*Table153643454611[[#This Row],[Smoking-Attributable Fraction (SAF) of Healthcare Expenditures: Lower Bound
Base Scenario]]</f>
        <v>173742000</v>
      </c>
      <c r="L114" s="43">
        <f>Table153643454611[[#This Row],[Total Healthcare Expenditures
(All Categories):
Base Scenario]]*Table153643454611[[#This Row],[Smoking-Attributable Fraction (SAF) of Healthcare Expenditures: Upper Bound
Base Scenario]]</f>
        <v>327340000</v>
      </c>
      <c r="M114" s="43">
        <f>Table153643454611[[#This Row],[Total Government Healthcare Expenditures
(including national insurance):
Base Scenario]]*Table153643454611[[#This Row],[Smoking-Attributable Fraction (SAF) of Healthcare Expenditures
Base Scenario]]</f>
        <v>73953000</v>
      </c>
      <c r="N114" s="43">
        <f>Table153643454611[[#This Row],[Total Government Healthcare Expenditures
(including national insurance):
Base Scenario]]*Table153643454611[[#This Row],[Smoking-Attributable Fraction (SAF) of Healthcare Expenditures: Lower Bound
Base Scenario]]</f>
        <v>62997000.000000007</v>
      </c>
      <c r="O114" s="43">
        <f>Table153643454611[[#This Row],[Total Government Healthcare Expenditures
(including national insurance):
Base Scenario]]*Table153643454611[[#This Row],[Smoking-Attributable Fraction (SAF) of Healthcare Expenditures: Upper Bound
Base Scenario]]</f>
        <v>118690000</v>
      </c>
      <c r="P114" s="43">
        <f>Table153643454611[[#This Row],[Total Private (Out-of-Pocket) Healthcare Expenditures:
Base Scenario]]*Table153643454611[[#This Row],[Smoking-Attributable Fraction (SAF) of Healthcare Expenditures
Base Scenario]]</f>
        <v>116883000</v>
      </c>
      <c r="Q114" s="43">
        <f>Table153643454611[[#This Row],[Total Private (Out-of-Pocket) Healthcare Expenditures:
Base Scenario]]*Table153643454611[[#This Row],[Smoking-Attributable Fraction (SAF) of Healthcare Expenditures: Lower Bound
Base Scenario]]</f>
        <v>99567000.000000015</v>
      </c>
      <c r="R114" s="43">
        <f>Table153643454611[[#This Row],[Total Private (Out-of-Pocket) Healthcare Expenditures:
Base Scenario]]*Table153643454611[[#This Row],[Smoking-Attributable Fraction (SAF) of Healthcare Expenditures: Upper Bound
Base Scenario]]</f>
        <v>187590000</v>
      </c>
      <c r="S114" s="43">
        <f>Table153643454611[[#This Row],[Total Other Health Expenditures:
Base Scenario]]*Table153643454611[[#This Row],[Smoking-Attributable Fraction (SAF) of Healthcare Expenditures
Base Scenario]]</f>
        <v>13122000</v>
      </c>
      <c r="T114" s="43">
        <f>Table153643454611[[#This Row],[Total Other Health Expenditures:
Base Scenario]]*Table153643454611[[#This Row],[Smoking-Attributable Fraction (SAF) of Healthcare Expenditures: Lower Bound
Base Scenario]]</f>
        <v>11178000.000000002</v>
      </c>
      <c r="U114" s="43">
        <f>Table153643454611[[#This Row],[Total Other Health Expenditures:
Base Scenario]]*Table153643454611[[#This Row],[Smoking-Attributable Fraction (SAF) of Healthcare Expenditures: Upper Bound
Base Scenario]]</f>
        <v>21060000</v>
      </c>
      <c r="V114" s="62">
        <v>-1.9999999999999987E-3</v>
      </c>
      <c r="W114" s="60">
        <f>W113*(1+Table153643454611[[#This Row],[Relative Change in Smoking Prevalence:
Enforce Marketing Restrictions]])</f>
        <v>7.2779157058829008E-2</v>
      </c>
      <c r="X114" s="60">
        <f>X113*(1+Table153643454611[[#This Row],[Relative Change in Smoking Prevalence:
Enforce Marketing Restrictions]])</f>
        <v>6.199705971678026E-2</v>
      </c>
      <c r="Y114" s="60">
        <f>Y113*(1+Table153643454611[[#This Row],[Relative Change in Smoking Prevalence:
Enforce Marketing Restrictions]])</f>
        <v>0.11680605453886138</v>
      </c>
      <c r="Z114" s="66">
        <f>Table153643454611[[#This Row],[Total Healthcare Expenditures
(All Categories):
Base Scenario]]*Table153643454611[[#This Row],[Smoking-Attributable Fraction (SAF) of Healthcare Expenditures:
Adjusted for Intervention Impacts]]</f>
        <v>183257917.47413144</v>
      </c>
      <c r="AA114" s="64">
        <f>Table153643454611[[#This Row],[Total Healthcare Expenditures
(All Categories):
Base Scenario]]*Table153643454611[[#This Row],[Smoking-Attributable Fraction (SAF) of Healthcare Expenditures: Lower Bound
Adjusted for Intervention Impacts]]</f>
        <v>156108596.3668527</v>
      </c>
      <c r="AB114" s="66">
        <f>Table153643454611[[#This Row],[Total Healthcare Expenditures
(All Categories):
Base Scenario]]*Table153643454611[[#This Row],[Smoking-Attributable Fraction (SAF) of Healthcare Expenditures: Upper Bound
Adjusted for Intervention Impacts]]</f>
        <v>294117645.32885295</v>
      </c>
      <c r="AC114" s="66">
        <f>Table153643454611[[#This Row],[Total Government Healthcare Expenditures
(including national insurance):
Base Scenario]]*Table153643454611[[#This Row],[Smoking-Attributable Fraction (SAF) of Healthcare Expenditures:
Adjusted for Intervention Impacts]]</f>
        <v>66447370.394710883</v>
      </c>
      <c r="AD114" s="66">
        <f>Table153643454611[[#This Row],[Total Government Healthcare Expenditures
(including national insurance):
Base Scenario]]*Table153643454611[[#This Row],[Smoking-Attributable Fraction (SAF) of Healthcare Expenditures: Lower Bound
Adjusted for Intervention Impacts]]</f>
        <v>56603315.521420375</v>
      </c>
      <c r="AE114" s="66">
        <f>Table153643454611[[#This Row],[Total Government Healthcare Expenditures
(including national insurance):
Base Scenario]]*Table153643454611[[#This Row],[Smoking-Attributable Fraction (SAF) of Healthcare Expenditures: Upper Bound
Adjusted for Intervention Impacts]]</f>
        <v>106643927.79398043</v>
      </c>
      <c r="AF114" s="66">
        <f>Table153643454611[[#This Row],[Total Private (Out-of-Pocket) Healthcare Expenditures:
Base Scenario]]*Table153643454611[[#This Row],[Smoking-Attributable Fraction (SAF) of Healthcare Expenditures:
Adjusted for Intervention Impacts]]</f>
        <v>105020323.63589026</v>
      </c>
      <c r="AG114" s="66">
        <f>Table153643454611[[#This Row],[Total Private (Out-of-Pocket) Healthcare Expenditures:
Base Scenario]]*Table153643454611[[#This Row],[Smoking-Attributable Fraction (SAF) of Healthcare Expenditures: Lower Bound
Adjusted for Intervention Impacts]]</f>
        <v>89461757.171313912</v>
      </c>
      <c r="AH114" s="66">
        <f>Table153643454611[[#This Row],[Total Private (Out-of-Pocket) Healthcare Expenditures:
Base Scenario]]*Table153643454611[[#This Row],[Smoking-Attributable Fraction (SAF) of Healthcare Expenditures: Upper Bound
Adjusted for Intervention Impacts]]</f>
        <v>168551136.69957697</v>
      </c>
      <c r="AI114" s="65">
        <f>Table153643454611[[#This Row],[Total Other Health Expenditures:
Base Scenario]]*Table153643454611[[#This Row],[Smoking-Attributable Fraction (SAF) of Healthcare Expenditures:
Adjusted for Intervention Impacts]]</f>
        <v>11790223.443530299</v>
      </c>
      <c r="AJ114" s="65">
        <f>Table153643454611[[#This Row],[Total Other Health Expenditures:
Base Scenario]]*Table153643454611[[#This Row],[Smoking-Attributable Fraction (SAF) of Healthcare Expenditures: Lower Bound
Adjusted for Intervention Impacts]]</f>
        <v>10043523.674118401</v>
      </c>
      <c r="AK114" s="65">
        <f>Table153643454611[[#This Row],[Total Other Health Expenditures:
Base Scenario]]*Table153643454611[[#This Row],[Smoking-Attributable Fraction (SAF) of Healthcare Expenditures: Upper Bound
Adjusted for Intervention Impacts]]</f>
        <v>18922580.835295543</v>
      </c>
      <c r="AL114" s="76">
        <f>Table153643454611[[#This Row],[Smoking-Attributable Total Healthcare Expenditures:
Base Scenario]]-Table153643454611[[#This Row],[Smoking-Attributable Total Healthcare Expenditures:
Intervention Scenario]]</f>
        <v>20700082.525868565</v>
      </c>
      <c r="AM114" s="76">
        <f>Table153643454611[[#This Row],[Smoking-Attributable Total Healthcare Expenditures: Lower Bound
Base Scenario]]-Table153643454611[[#This Row],[Smoking-Attributable Total Healthcare Expenditures: Lower Bound
Intervention Scenario]]</f>
        <v>17633403.633147299</v>
      </c>
      <c r="AN114" s="76">
        <f>Table153643454611[[#This Row],[Smoking-Attributable Total Healthcare Expenditures: Upper Bound
Base Scenario]]-Table153643454611[[#This Row],[Smoking-Attributable Total Healthcare Expenditures: Upper Bound
Intervention Scenario]]</f>
        <v>33222354.671147048</v>
      </c>
      <c r="AO114" s="76">
        <f>Table153643454611[[#This Row],[Smoking-Attributable Government Healthcare Expenditures
(including national insurance):
Base Scenario]]-Table153643454611[[#This Row],[Smoking-Attributable Government Healthcare Expenditures
(including national insurance):
Intervention Scenario]]</f>
        <v>7505629.6052891165</v>
      </c>
      <c r="AP114"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6393684.4785796329</v>
      </c>
      <c r="AQ114"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12046072.206019565</v>
      </c>
      <c r="AR114" s="76">
        <f>Table153643454611[[#This Row],[Smoking-Attributable Private Healthcare Expenditures:
Base Scenario]]-Table153643454611[[#This Row],[Smoking-Attributable Private Healthcare Expenditures:
Intervention Scenario]]</f>
        <v>11862676.36410974</v>
      </c>
      <c r="AS114" s="76">
        <f>Table153643454611[[#This Row],[Smoking-Attributable Private Healthcare Expenditures: Lower Bound
Base Scenario]]-Table153643454611[[#This Row],[Smoking-Attributable Private Healthcare Expenditures: Lower Bound
Intervention Scenario]]</f>
        <v>10105242.828686103</v>
      </c>
      <c r="AT114" s="76">
        <f>Table153643454611[[#This Row],[Smoking-Attributable Private Healthcare Expenditures: Upper Bound
Base Scenario]]-Table153643454611[[#This Row],[Smoking-Attributable Private Healthcare Expenditures: Upper Bound
Intervention Scenario]]</f>
        <v>19038863.300423026</v>
      </c>
      <c r="AU114" s="76">
        <f>Table153643454611[[#This Row],[Smoking-Attributable Other Health Expenditures:
Base Scenario]]-Table153643454611[[#This Row],[Smoking-Attributable Other Health Expenditures:
Intervention Scenario]]</f>
        <v>1331776.5564697012</v>
      </c>
      <c r="AV114" s="235">
        <f>Table153643454611[[#This Row],[Smoking-Attributable Other Health Expenditures: Lower Bound
Base Scenario]]-Table153643454611[[#This Row],[Smoking-Attributable Other Health Expenditures: Lower Bound
Intervention Scenario]]</f>
        <v>1134476.3258816004</v>
      </c>
      <c r="AW114" s="235">
        <f>Table153643454611[[#This Row],[Smoking-Attributable Other Health Expenditures: Upper Bound
Base Scenario]]-Table153643454611[[#This Row],[Smoking-Attributable Other Health Expenditures: Upper Bound
Intervention Scenario]]</f>
        <v>2137419.1647044569</v>
      </c>
    </row>
    <row r="115" spans="2:49">
      <c r="B115" s="47">
        <v>9</v>
      </c>
      <c r="C115" s="48">
        <f t="shared" si="30"/>
        <v>2518000000</v>
      </c>
      <c r="D115" s="48">
        <f t="shared" si="31"/>
        <v>913000000</v>
      </c>
      <c r="E115" s="48">
        <f t="shared" si="32"/>
        <v>1443000000</v>
      </c>
      <c r="F115" s="48">
        <f t="shared" si="33"/>
        <v>162000000</v>
      </c>
      <c r="G115" s="232">
        <f t="shared" si="34"/>
        <v>8.1000000000000003E-2</v>
      </c>
      <c r="H115" s="46">
        <f t="shared" si="38"/>
        <v>6.9000000000000006E-2</v>
      </c>
      <c r="I115" s="46">
        <f t="shared" si="35"/>
        <v>0.13</v>
      </c>
      <c r="J115" s="43">
        <f>Table153643454611[[#This Row],[Total Healthcare Expenditures
(All Categories):
Base Scenario]]*Table153643454611[[#This Row],[Smoking-Attributable Fraction (SAF) of Healthcare Expenditures
Base Scenario]]</f>
        <v>203958000</v>
      </c>
      <c r="K115" s="43">
        <f>Table153643454611[[#This Row],[Total Healthcare Expenditures
(All Categories):
Base Scenario]]*Table153643454611[[#This Row],[Smoking-Attributable Fraction (SAF) of Healthcare Expenditures: Lower Bound
Base Scenario]]</f>
        <v>173742000</v>
      </c>
      <c r="L115" s="43">
        <f>Table153643454611[[#This Row],[Total Healthcare Expenditures
(All Categories):
Base Scenario]]*Table153643454611[[#This Row],[Smoking-Attributable Fraction (SAF) of Healthcare Expenditures: Upper Bound
Base Scenario]]</f>
        <v>327340000</v>
      </c>
      <c r="M115" s="43">
        <f>Table153643454611[[#This Row],[Total Government Healthcare Expenditures
(including national insurance):
Base Scenario]]*Table153643454611[[#This Row],[Smoking-Attributable Fraction (SAF) of Healthcare Expenditures
Base Scenario]]</f>
        <v>73953000</v>
      </c>
      <c r="N115" s="43">
        <f>Table153643454611[[#This Row],[Total Government Healthcare Expenditures
(including national insurance):
Base Scenario]]*Table153643454611[[#This Row],[Smoking-Attributable Fraction (SAF) of Healthcare Expenditures: Lower Bound
Base Scenario]]</f>
        <v>62997000.000000007</v>
      </c>
      <c r="O115" s="43">
        <f>Table153643454611[[#This Row],[Total Government Healthcare Expenditures
(including national insurance):
Base Scenario]]*Table153643454611[[#This Row],[Smoking-Attributable Fraction (SAF) of Healthcare Expenditures: Upper Bound
Base Scenario]]</f>
        <v>118690000</v>
      </c>
      <c r="P115" s="43">
        <f>Table153643454611[[#This Row],[Total Private (Out-of-Pocket) Healthcare Expenditures:
Base Scenario]]*Table153643454611[[#This Row],[Smoking-Attributable Fraction (SAF) of Healthcare Expenditures
Base Scenario]]</f>
        <v>116883000</v>
      </c>
      <c r="Q115" s="43">
        <f>Table153643454611[[#This Row],[Total Private (Out-of-Pocket) Healthcare Expenditures:
Base Scenario]]*Table153643454611[[#This Row],[Smoking-Attributable Fraction (SAF) of Healthcare Expenditures: Lower Bound
Base Scenario]]</f>
        <v>99567000.000000015</v>
      </c>
      <c r="R115" s="43">
        <f>Table153643454611[[#This Row],[Total Private (Out-of-Pocket) Healthcare Expenditures:
Base Scenario]]*Table153643454611[[#This Row],[Smoking-Attributable Fraction (SAF) of Healthcare Expenditures: Upper Bound
Base Scenario]]</f>
        <v>187590000</v>
      </c>
      <c r="S115" s="43">
        <f>Table153643454611[[#This Row],[Total Other Health Expenditures:
Base Scenario]]*Table153643454611[[#This Row],[Smoking-Attributable Fraction (SAF) of Healthcare Expenditures
Base Scenario]]</f>
        <v>13122000</v>
      </c>
      <c r="T115" s="43">
        <f>Table153643454611[[#This Row],[Total Other Health Expenditures:
Base Scenario]]*Table153643454611[[#This Row],[Smoking-Attributable Fraction (SAF) of Healthcare Expenditures: Lower Bound
Base Scenario]]</f>
        <v>11178000.000000002</v>
      </c>
      <c r="U115" s="43">
        <f>Table153643454611[[#This Row],[Total Other Health Expenditures:
Base Scenario]]*Table153643454611[[#This Row],[Smoking-Attributable Fraction (SAF) of Healthcare Expenditures: Upper Bound
Base Scenario]]</f>
        <v>21060000</v>
      </c>
      <c r="V115" s="62">
        <v>-1.9999999999999987E-3</v>
      </c>
      <c r="W115" s="60">
        <f>W114*(1+Table153643454611[[#This Row],[Relative Change in Smoking Prevalence:
Enforce Marketing Restrictions]])</f>
        <v>7.2633598744711356E-2</v>
      </c>
      <c r="X115" s="60">
        <f>X114*(1+Table153643454611[[#This Row],[Relative Change in Smoking Prevalence:
Enforce Marketing Restrictions]])</f>
        <v>6.1873065597346698E-2</v>
      </c>
      <c r="Y115" s="60">
        <f>Y114*(1+Table153643454611[[#This Row],[Relative Change in Smoking Prevalence:
Enforce Marketing Restrictions]])</f>
        <v>0.11657244242978365</v>
      </c>
      <c r="Z115" s="66">
        <f>Table153643454611[[#This Row],[Total Healthcare Expenditures
(All Categories):
Base Scenario]]*Table153643454611[[#This Row],[Smoking-Attributable Fraction (SAF) of Healthcare Expenditures:
Adjusted for Intervention Impacts]]</f>
        <v>182891401.63918319</v>
      </c>
      <c r="AA115" s="64">
        <f>Table153643454611[[#This Row],[Total Healthcare Expenditures
(All Categories):
Base Scenario]]*Table153643454611[[#This Row],[Smoking-Attributable Fraction (SAF) of Healthcare Expenditures: Lower Bound
Adjusted for Intervention Impacts]]</f>
        <v>155796379.174119</v>
      </c>
      <c r="AB115" s="66">
        <f>Table153643454611[[#This Row],[Total Healthcare Expenditures
(All Categories):
Base Scenario]]*Table153643454611[[#This Row],[Smoking-Attributable Fraction (SAF) of Healthcare Expenditures: Upper Bound
Adjusted for Intervention Impacts]]</f>
        <v>293529410.03819525</v>
      </c>
      <c r="AC115" s="66">
        <f>Table153643454611[[#This Row],[Total Government Healthcare Expenditures
(including national insurance):
Base Scenario]]*Table153643454611[[#This Row],[Smoking-Attributable Fraction (SAF) of Healthcare Expenditures:
Adjusted for Intervention Impacts]]</f>
        <v>66314475.65392147</v>
      </c>
      <c r="AD115" s="66">
        <f>Table153643454611[[#This Row],[Total Government Healthcare Expenditures
(including national insurance):
Base Scenario]]*Table153643454611[[#This Row],[Smoking-Attributable Fraction (SAF) of Healthcare Expenditures: Lower Bound
Adjusted for Intervention Impacts]]</f>
        <v>56490108.890377536</v>
      </c>
      <c r="AE115" s="66">
        <f>Table153643454611[[#This Row],[Total Government Healthcare Expenditures
(including national insurance):
Base Scenario]]*Table153643454611[[#This Row],[Smoking-Attributable Fraction (SAF) of Healthcare Expenditures: Upper Bound
Adjusted for Intervention Impacts]]</f>
        <v>106430639.93839248</v>
      </c>
      <c r="AF115" s="66">
        <f>Table153643454611[[#This Row],[Total Private (Out-of-Pocket) Healthcare Expenditures:
Base Scenario]]*Table153643454611[[#This Row],[Smoking-Attributable Fraction (SAF) of Healthcare Expenditures:
Adjusted for Intervention Impacts]]</f>
        <v>104810282.98861849</v>
      </c>
      <c r="AG115" s="66">
        <f>Table153643454611[[#This Row],[Total Private (Out-of-Pocket) Healthcare Expenditures:
Base Scenario]]*Table153643454611[[#This Row],[Smoking-Attributable Fraction (SAF) of Healthcare Expenditures: Lower Bound
Adjusted for Intervention Impacts]]</f>
        <v>89282833.656971291</v>
      </c>
      <c r="AH115" s="66">
        <f>Table153643454611[[#This Row],[Total Private (Out-of-Pocket) Healthcare Expenditures:
Base Scenario]]*Table153643454611[[#This Row],[Smoking-Attributable Fraction (SAF) of Healthcare Expenditures: Upper Bound
Adjusted for Intervention Impacts]]</f>
        <v>168214034.4261778</v>
      </c>
      <c r="AI115" s="65">
        <f>Table153643454611[[#This Row],[Total Other Health Expenditures:
Base Scenario]]*Table153643454611[[#This Row],[Smoking-Attributable Fraction (SAF) of Healthcare Expenditures:
Adjusted for Intervention Impacts]]</f>
        <v>11766642.99664324</v>
      </c>
      <c r="AJ115" s="65">
        <f>Table153643454611[[#This Row],[Total Other Health Expenditures:
Base Scenario]]*Table153643454611[[#This Row],[Smoking-Attributable Fraction (SAF) of Healthcare Expenditures: Lower Bound
Adjusted for Intervention Impacts]]</f>
        <v>10023436.626770165</v>
      </c>
      <c r="AK115" s="65">
        <f>Table153643454611[[#This Row],[Total Other Health Expenditures:
Base Scenario]]*Table153643454611[[#This Row],[Smoking-Attributable Fraction (SAF) of Healthcare Expenditures: Upper Bound
Adjusted for Intervention Impacts]]</f>
        <v>18884735.673624951</v>
      </c>
      <c r="AL115" s="76">
        <f>Table153643454611[[#This Row],[Smoking-Attributable Total Healthcare Expenditures:
Base Scenario]]-Table153643454611[[#This Row],[Smoking-Attributable Total Healthcare Expenditures:
Intervention Scenario]]</f>
        <v>21066598.360816807</v>
      </c>
      <c r="AM115" s="76">
        <f>Table153643454611[[#This Row],[Smoking-Attributable Total Healthcare Expenditures: Lower Bound
Base Scenario]]-Table153643454611[[#This Row],[Smoking-Attributable Total Healthcare Expenditures: Lower Bound
Intervention Scenario]]</f>
        <v>17945620.825881004</v>
      </c>
      <c r="AN115" s="76">
        <f>Table153643454611[[#This Row],[Smoking-Attributable Total Healthcare Expenditures: Upper Bound
Base Scenario]]-Table153643454611[[#This Row],[Smoking-Attributable Total Healthcare Expenditures: Upper Bound
Intervention Scenario]]</f>
        <v>33810589.961804748</v>
      </c>
      <c r="AO115" s="76">
        <f>Table153643454611[[#This Row],[Smoking-Attributable Government Healthcare Expenditures
(including national insurance):
Base Scenario]]-Table153643454611[[#This Row],[Smoking-Attributable Government Healthcare Expenditures
(including national insurance):
Intervention Scenario]]</f>
        <v>7638524.34607853</v>
      </c>
      <c r="AP115"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6506891.109622471</v>
      </c>
      <c r="AQ115"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12259360.061607525</v>
      </c>
      <c r="AR115" s="76">
        <f>Table153643454611[[#This Row],[Smoking-Attributable Private Healthcare Expenditures:
Base Scenario]]-Table153643454611[[#This Row],[Smoking-Attributable Private Healthcare Expenditures:
Intervention Scenario]]</f>
        <v>12072717.011381507</v>
      </c>
      <c r="AS115" s="76">
        <f>Table153643454611[[#This Row],[Smoking-Attributable Private Healthcare Expenditures: Lower Bound
Base Scenario]]-Table153643454611[[#This Row],[Smoking-Attributable Private Healthcare Expenditures: Lower Bound
Intervention Scenario]]</f>
        <v>10284166.343028724</v>
      </c>
      <c r="AT115" s="76">
        <f>Table153643454611[[#This Row],[Smoking-Attributable Private Healthcare Expenditures: Upper Bound
Base Scenario]]-Table153643454611[[#This Row],[Smoking-Attributable Private Healthcare Expenditures: Upper Bound
Intervention Scenario]]</f>
        <v>19375965.5738222</v>
      </c>
      <c r="AU115" s="76">
        <f>Table153643454611[[#This Row],[Smoking-Attributable Other Health Expenditures:
Base Scenario]]-Table153643454611[[#This Row],[Smoking-Attributable Other Health Expenditures:
Intervention Scenario]]</f>
        <v>1355357.0033567604</v>
      </c>
      <c r="AV115" s="235">
        <f>Table153643454611[[#This Row],[Smoking-Attributable Other Health Expenditures: Lower Bound
Base Scenario]]-Table153643454611[[#This Row],[Smoking-Attributable Other Health Expenditures: Lower Bound
Intervention Scenario]]</f>
        <v>1154563.373229837</v>
      </c>
      <c r="AW115" s="235">
        <f>Table153643454611[[#This Row],[Smoking-Attributable Other Health Expenditures: Upper Bound
Base Scenario]]-Table153643454611[[#This Row],[Smoking-Attributable Other Health Expenditures: Upper Bound
Intervention Scenario]]</f>
        <v>2175264.3263750486</v>
      </c>
    </row>
    <row r="116" spans="2:49">
      <c r="B116" s="47">
        <v>10</v>
      </c>
      <c r="C116" s="48">
        <f t="shared" si="30"/>
        <v>2518000000</v>
      </c>
      <c r="D116" s="48">
        <f t="shared" si="31"/>
        <v>913000000</v>
      </c>
      <c r="E116" s="48">
        <f t="shared" si="32"/>
        <v>1443000000</v>
      </c>
      <c r="F116" s="48">
        <f t="shared" si="33"/>
        <v>162000000</v>
      </c>
      <c r="G116" s="232">
        <f t="shared" si="34"/>
        <v>8.1000000000000003E-2</v>
      </c>
      <c r="H116" s="46">
        <f t="shared" si="38"/>
        <v>6.9000000000000006E-2</v>
      </c>
      <c r="I116" s="46">
        <f t="shared" si="35"/>
        <v>0.13</v>
      </c>
      <c r="J116" s="43">
        <f>Table153643454611[[#This Row],[Total Healthcare Expenditures
(All Categories):
Base Scenario]]*Table153643454611[[#This Row],[Smoking-Attributable Fraction (SAF) of Healthcare Expenditures
Base Scenario]]</f>
        <v>203958000</v>
      </c>
      <c r="K116" s="43">
        <f>Table153643454611[[#This Row],[Total Healthcare Expenditures
(All Categories):
Base Scenario]]*Table153643454611[[#This Row],[Smoking-Attributable Fraction (SAF) of Healthcare Expenditures: Lower Bound
Base Scenario]]</f>
        <v>173742000</v>
      </c>
      <c r="L116" s="43">
        <f>Table153643454611[[#This Row],[Total Healthcare Expenditures
(All Categories):
Base Scenario]]*Table153643454611[[#This Row],[Smoking-Attributable Fraction (SAF) of Healthcare Expenditures: Upper Bound
Base Scenario]]</f>
        <v>327340000</v>
      </c>
      <c r="M116" s="43">
        <f>Table153643454611[[#This Row],[Total Government Healthcare Expenditures
(including national insurance):
Base Scenario]]*Table153643454611[[#This Row],[Smoking-Attributable Fraction (SAF) of Healthcare Expenditures
Base Scenario]]</f>
        <v>73953000</v>
      </c>
      <c r="N116" s="43">
        <f>Table153643454611[[#This Row],[Total Government Healthcare Expenditures
(including national insurance):
Base Scenario]]*Table153643454611[[#This Row],[Smoking-Attributable Fraction (SAF) of Healthcare Expenditures: Lower Bound
Base Scenario]]</f>
        <v>62997000.000000007</v>
      </c>
      <c r="O116" s="43">
        <f>Table153643454611[[#This Row],[Total Government Healthcare Expenditures
(including national insurance):
Base Scenario]]*Table153643454611[[#This Row],[Smoking-Attributable Fraction (SAF) of Healthcare Expenditures: Upper Bound
Base Scenario]]</f>
        <v>118690000</v>
      </c>
      <c r="P116" s="43">
        <f>Table153643454611[[#This Row],[Total Private (Out-of-Pocket) Healthcare Expenditures:
Base Scenario]]*Table153643454611[[#This Row],[Smoking-Attributable Fraction (SAF) of Healthcare Expenditures
Base Scenario]]</f>
        <v>116883000</v>
      </c>
      <c r="Q116" s="43">
        <f>Table153643454611[[#This Row],[Total Private (Out-of-Pocket) Healthcare Expenditures:
Base Scenario]]*Table153643454611[[#This Row],[Smoking-Attributable Fraction (SAF) of Healthcare Expenditures: Lower Bound
Base Scenario]]</f>
        <v>99567000.000000015</v>
      </c>
      <c r="R116" s="43">
        <f>Table153643454611[[#This Row],[Total Private (Out-of-Pocket) Healthcare Expenditures:
Base Scenario]]*Table153643454611[[#This Row],[Smoking-Attributable Fraction (SAF) of Healthcare Expenditures: Upper Bound
Base Scenario]]</f>
        <v>187590000</v>
      </c>
      <c r="S116" s="43">
        <f>Table153643454611[[#This Row],[Total Other Health Expenditures:
Base Scenario]]*Table153643454611[[#This Row],[Smoking-Attributable Fraction (SAF) of Healthcare Expenditures
Base Scenario]]</f>
        <v>13122000</v>
      </c>
      <c r="T116" s="43">
        <f>Table153643454611[[#This Row],[Total Other Health Expenditures:
Base Scenario]]*Table153643454611[[#This Row],[Smoking-Attributable Fraction (SAF) of Healthcare Expenditures: Lower Bound
Base Scenario]]</f>
        <v>11178000.000000002</v>
      </c>
      <c r="U116" s="43">
        <f>Table153643454611[[#This Row],[Total Other Health Expenditures:
Base Scenario]]*Table153643454611[[#This Row],[Smoking-Attributable Fraction (SAF) of Healthcare Expenditures: Upper Bound
Base Scenario]]</f>
        <v>21060000</v>
      </c>
      <c r="V116" s="62">
        <v>-1.9999999999999987E-3</v>
      </c>
      <c r="W116" s="60">
        <f>W115*(1+Table153643454611[[#This Row],[Relative Change in Smoking Prevalence:
Enforce Marketing Restrictions]])</f>
        <v>7.2488331547221938E-2</v>
      </c>
      <c r="X116" s="60">
        <f>X115*(1+Table153643454611[[#This Row],[Relative Change in Smoking Prevalence:
Enforce Marketing Restrictions]])</f>
        <v>6.1749319466152003E-2</v>
      </c>
      <c r="Y116" s="60">
        <f>Y115*(1+Table153643454611[[#This Row],[Relative Change in Smoking Prevalence:
Enforce Marketing Restrictions]])</f>
        <v>0.11633929754492409</v>
      </c>
      <c r="Z116" s="66">
        <f>Table153643454611[[#This Row],[Total Healthcare Expenditures
(All Categories):
Base Scenario]]*Table153643454611[[#This Row],[Smoking-Attributable Fraction (SAF) of Healthcare Expenditures:
Adjusted for Intervention Impacts]]</f>
        <v>182525618.83590484</v>
      </c>
      <c r="AA116" s="64">
        <f>Table153643454611[[#This Row],[Total Healthcare Expenditures
(All Categories):
Base Scenario]]*Table153643454611[[#This Row],[Smoking-Attributable Fraction (SAF) of Healthcare Expenditures: Lower Bound
Adjusted for Intervention Impacts]]</f>
        <v>155484786.41577074</v>
      </c>
      <c r="AB116" s="66">
        <f>Table153643454611[[#This Row],[Total Healthcare Expenditures
(All Categories):
Base Scenario]]*Table153643454611[[#This Row],[Smoking-Attributable Fraction (SAF) of Healthcare Expenditures: Upper Bound
Adjusted for Intervention Impacts]]</f>
        <v>292942351.21811885</v>
      </c>
      <c r="AC116" s="66">
        <f>Table153643454611[[#This Row],[Total Government Healthcare Expenditures
(including national insurance):
Base Scenario]]*Table153643454611[[#This Row],[Smoking-Attributable Fraction (SAF) of Healthcare Expenditures:
Adjusted for Intervention Impacts]]</f>
        <v>66181846.702613629</v>
      </c>
      <c r="AD116" s="66">
        <f>Table153643454611[[#This Row],[Total Government Healthcare Expenditures
(including national insurance):
Base Scenario]]*Table153643454611[[#This Row],[Smoking-Attributable Fraction (SAF) of Healthcare Expenditures: Lower Bound
Adjusted for Intervention Impacts]]</f>
        <v>56377128.672596775</v>
      </c>
      <c r="AE116" s="66">
        <f>Table153643454611[[#This Row],[Total Government Healthcare Expenditures
(including national insurance):
Base Scenario]]*Table153643454611[[#This Row],[Smoking-Attributable Fraction (SAF) of Healthcare Expenditures: Upper Bound
Adjusted for Intervention Impacts]]</f>
        <v>106217778.65851569</v>
      </c>
      <c r="AF116" s="66">
        <f>Table153643454611[[#This Row],[Total Private (Out-of-Pocket) Healthcare Expenditures:
Base Scenario]]*Table153643454611[[#This Row],[Smoking-Attributable Fraction (SAF) of Healthcare Expenditures:
Adjusted for Intervention Impacts]]</f>
        <v>104600662.42264126</v>
      </c>
      <c r="AG116" s="66">
        <f>Table153643454611[[#This Row],[Total Private (Out-of-Pocket) Healthcare Expenditures:
Base Scenario]]*Table153643454611[[#This Row],[Smoking-Attributable Fraction (SAF) of Healthcare Expenditures: Lower Bound
Adjusted for Intervention Impacts]]</f>
        <v>89104267.989657342</v>
      </c>
      <c r="AH116" s="66">
        <f>Table153643454611[[#This Row],[Total Private (Out-of-Pocket) Healthcare Expenditures:
Base Scenario]]*Table153643454611[[#This Row],[Smoking-Attributable Fraction (SAF) of Healthcare Expenditures: Upper Bound
Adjusted for Intervention Impacts]]</f>
        <v>167877606.35732546</v>
      </c>
      <c r="AI116" s="65">
        <f>Table153643454611[[#This Row],[Total Other Health Expenditures:
Base Scenario]]*Table153643454611[[#This Row],[Smoking-Attributable Fraction (SAF) of Healthcare Expenditures:
Adjusted for Intervention Impacts]]</f>
        <v>11743109.710649954</v>
      </c>
      <c r="AJ116" s="65">
        <f>Table153643454611[[#This Row],[Total Other Health Expenditures:
Base Scenario]]*Table153643454611[[#This Row],[Smoking-Attributable Fraction (SAF) of Healthcare Expenditures: Lower Bound
Adjusted for Intervention Impacts]]</f>
        <v>10003389.753516624</v>
      </c>
      <c r="AK116" s="65">
        <f>Table153643454611[[#This Row],[Total Other Health Expenditures:
Base Scenario]]*Table153643454611[[#This Row],[Smoking-Attributable Fraction (SAF) of Healthcare Expenditures: Upper Bound
Adjusted for Intervention Impacts]]</f>
        <v>18846966.202277701</v>
      </c>
      <c r="AL116" s="76">
        <f>Table153643454611[[#This Row],[Smoking-Attributable Total Healthcare Expenditures:
Base Scenario]]-Table153643454611[[#This Row],[Smoking-Attributable Total Healthcare Expenditures:
Intervention Scenario]]</f>
        <v>21432381.164095163</v>
      </c>
      <c r="AM116" s="76">
        <f>Table153643454611[[#This Row],[Smoking-Attributable Total Healthcare Expenditures: Lower Bound
Base Scenario]]-Table153643454611[[#This Row],[Smoking-Attributable Total Healthcare Expenditures: Lower Bound
Intervention Scenario]]</f>
        <v>18257213.584229261</v>
      </c>
      <c r="AN116" s="76">
        <f>Table153643454611[[#This Row],[Smoking-Attributable Total Healthcare Expenditures: Upper Bound
Base Scenario]]-Table153643454611[[#This Row],[Smoking-Attributable Total Healthcare Expenditures: Upper Bound
Intervention Scenario]]</f>
        <v>34397648.781881154</v>
      </c>
      <c r="AO116" s="76">
        <f>Table153643454611[[#This Row],[Smoking-Attributable Government Healthcare Expenditures
(including national insurance):
Base Scenario]]-Table153643454611[[#This Row],[Smoking-Attributable Government Healthcare Expenditures
(including national insurance):
Intervention Scenario]]</f>
        <v>7771153.2973863706</v>
      </c>
      <c r="AP116"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6619871.3274032325</v>
      </c>
      <c r="AQ116"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12472221.341484308</v>
      </c>
      <c r="AR116" s="76">
        <f>Table153643454611[[#This Row],[Smoking-Attributable Private Healthcare Expenditures:
Base Scenario]]-Table153643454611[[#This Row],[Smoking-Attributable Private Healthcare Expenditures:
Intervention Scenario]]</f>
        <v>12282337.577358738</v>
      </c>
      <c r="AS116" s="76">
        <f>Table153643454611[[#This Row],[Smoking-Attributable Private Healthcare Expenditures: Lower Bound
Base Scenario]]-Table153643454611[[#This Row],[Smoking-Attributable Private Healthcare Expenditures: Lower Bound
Intervention Scenario]]</f>
        <v>10462732.010342672</v>
      </c>
      <c r="AT116" s="76">
        <f>Table153643454611[[#This Row],[Smoking-Attributable Private Healthcare Expenditures: Upper Bound
Base Scenario]]-Table153643454611[[#This Row],[Smoking-Attributable Private Healthcare Expenditures: Upper Bound
Intervention Scenario]]</f>
        <v>19712393.642674536</v>
      </c>
      <c r="AU116" s="76">
        <f>Table153643454611[[#This Row],[Smoking-Attributable Other Health Expenditures:
Base Scenario]]-Table153643454611[[#This Row],[Smoking-Attributable Other Health Expenditures:
Intervention Scenario]]</f>
        <v>1378890.2893500458</v>
      </c>
      <c r="AV116" s="235">
        <f>Table153643454611[[#This Row],[Smoking-Attributable Other Health Expenditures: Lower Bound
Base Scenario]]-Table153643454611[[#This Row],[Smoking-Attributable Other Health Expenditures: Lower Bound
Intervention Scenario]]</f>
        <v>1174610.2464833781</v>
      </c>
      <c r="AW116" s="235">
        <f>Table153643454611[[#This Row],[Smoking-Attributable Other Health Expenditures: Upper Bound
Base Scenario]]-Table153643454611[[#This Row],[Smoking-Attributable Other Health Expenditures: Upper Bound
Intervention Scenario]]</f>
        <v>2213033.7977222987</v>
      </c>
    </row>
    <row r="117" spans="2:49">
      <c r="B117" s="47">
        <v>11</v>
      </c>
      <c r="C117" s="48">
        <f t="shared" si="30"/>
        <v>2518000000</v>
      </c>
      <c r="D117" s="48">
        <f t="shared" si="31"/>
        <v>913000000</v>
      </c>
      <c r="E117" s="48">
        <f t="shared" si="32"/>
        <v>1443000000</v>
      </c>
      <c r="F117" s="48">
        <f t="shared" si="33"/>
        <v>162000000</v>
      </c>
      <c r="G117" s="232">
        <f t="shared" si="34"/>
        <v>8.1000000000000003E-2</v>
      </c>
      <c r="H117" s="46">
        <f t="shared" si="38"/>
        <v>6.9000000000000006E-2</v>
      </c>
      <c r="I117" s="46">
        <f t="shared" si="35"/>
        <v>0.13</v>
      </c>
      <c r="J117" s="43">
        <f>Table153643454611[[#This Row],[Total Healthcare Expenditures
(All Categories):
Base Scenario]]*Table153643454611[[#This Row],[Smoking-Attributable Fraction (SAF) of Healthcare Expenditures
Base Scenario]]</f>
        <v>203958000</v>
      </c>
      <c r="K117" s="43">
        <f>Table153643454611[[#This Row],[Total Healthcare Expenditures
(All Categories):
Base Scenario]]*Table153643454611[[#This Row],[Smoking-Attributable Fraction (SAF) of Healthcare Expenditures: Lower Bound
Base Scenario]]</f>
        <v>173742000</v>
      </c>
      <c r="L117" s="43">
        <f>Table153643454611[[#This Row],[Total Healthcare Expenditures
(All Categories):
Base Scenario]]*Table153643454611[[#This Row],[Smoking-Attributable Fraction (SAF) of Healthcare Expenditures: Upper Bound
Base Scenario]]</f>
        <v>327340000</v>
      </c>
      <c r="M117" s="43">
        <f>Table153643454611[[#This Row],[Total Government Healthcare Expenditures
(including national insurance):
Base Scenario]]*Table153643454611[[#This Row],[Smoking-Attributable Fraction (SAF) of Healthcare Expenditures
Base Scenario]]</f>
        <v>73953000</v>
      </c>
      <c r="N117" s="43">
        <f>Table153643454611[[#This Row],[Total Government Healthcare Expenditures
(including national insurance):
Base Scenario]]*Table153643454611[[#This Row],[Smoking-Attributable Fraction (SAF) of Healthcare Expenditures: Lower Bound
Base Scenario]]</f>
        <v>62997000.000000007</v>
      </c>
      <c r="O117" s="43">
        <f>Table153643454611[[#This Row],[Total Government Healthcare Expenditures
(including national insurance):
Base Scenario]]*Table153643454611[[#This Row],[Smoking-Attributable Fraction (SAF) of Healthcare Expenditures: Upper Bound
Base Scenario]]</f>
        <v>118690000</v>
      </c>
      <c r="P117" s="43">
        <f>Table153643454611[[#This Row],[Total Private (Out-of-Pocket) Healthcare Expenditures:
Base Scenario]]*Table153643454611[[#This Row],[Smoking-Attributable Fraction (SAF) of Healthcare Expenditures
Base Scenario]]</f>
        <v>116883000</v>
      </c>
      <c r="Q117" s="43">
        <f>Table153643454611[[#This Row],[Total Private (Out-of-Pocket) Healthcare Expenditures:
Base Scenario]]*Table153643454611[[#This Row],[Smoking-Attributable Fraction (SAF) of Healthcare Expenditures: Lower Bound
Base Scenario]]</f>
        <v>99567000.000000015</v>
      </c>
      <c r="R117" s="43">
        <f>Table153643454611[[#This Row],[Total Private (Out-of-Pocket) Healthcare Expenditures:
Base Scenario]]*Table153643454611[[#This Row],[Smoking-Attributable Fraction (SAF) of Healthcare Expenditures: Upper Bound
Base Scenario]]</f>
        <v>187590000</v>
      </c>
      <c r="S117" s="43">
        <f>Table153643454611[[#This Row],[Total Other Health Expenditures:
Base Scenario]]*Table153643454611[[#This Row],[Smoking-Attributable Fraction (SAF) of Healthcare Expenditures
Base Scenario]]</f>
        <v>13122000</v>
      </c>
      <c r="T117" s="43">
        <f>Table153643454611[[#This Row],[Total Other Health Expenditures:
Base Scenario]]*Table153643454611[[#This Row],[Smoking-Attributable Fraction (SAF) of Healthcare Expenditures: Lower Bound
Base Scenario]]</f>
        <v>11178000.000000002</v>
      </c>
      <c r="U117" s="43">
        <f>Table153643454611[[#This Row],[Total Other Health Expenditures:
Base Scenario]]*Table153643454611[[#This Row],[Smoking-Attributable Fraction (SAF) of Healthcare Expenditures: Upper Bound
Base Scenario]]</f>
        <v>21060000</v>
      </c>
      <c r="V117" s="62">
        <v>-1.9999999999999987E-3</v>
      </c>
      <c r="W117" s="60">
        <f>W116*(1+Table153643454611[[#This Row],[Relative Change in Smoking Prevalence:
Enforce Marketing Restrictions]])</f>
        <v>7.2343354884127492E-2</v>
      </c>
      <c r="X117" s="60">
        <f>X116*(1+Table153643454611[[#This Row],[Relative Change in Smoking Prevalence:
Enforce Marketing Restrictions]])</f>
        <v>6.16258208272197E-2</v>
      </c>
      <c r="Y117" s="60">
        <f>Y116*(1+Table153643454611[[#This Row],[Relative Change in Smoking Prevalence:
Enforce Marketing Restrictions]])</f>
        <v>0.11610661894983423</v>
      </c>
      <c r="Z117" s="66">
        <f>Table153643454611[[#This Row],[Total Healthcare Expenditures
(All Categories):
Base Scenario]]*Table153643454611[[#This Row],[Smoking-Attributable Fraction (SAF) of Healthcare Expenditures:
Adjusted for Intervention Impacts]]</f>
        <v>182160567.59823301</v>
      </c>
      <c r="AA117" s="64">
        <f>Table153643454611[[#This Row],[Total Healthcare Expenditures
(All Categories):
Base Scenario]]*Table153643454611[[#This Row],[Smoking-Attributable Fraction (SAF) of Healthcare Expenditures: Lower Bound
Adjusted for Intervention Impacts]]</f>
        <v>155173816.8429392</v>
      </c>
      <c r="AB117" s="66">
        <f>Table153643454611[[#This Row],[Total Healthcare Expenditures
(All Categories):
Base Scenario]]*Table153643454611[[#This Row],[Smoking-Attributable Fraction (SAF) of Healthcare Expenditures: Upper Bound
Adjusted for Intervention Impacts]]</f>
        <v>292356466.51568258</v>
      </c>
      <c r="AC117" s="66">
        <f>Table153643454611[[#This Row],[Total Government Healthcare Expenditures
(including national insurance):
Base Scenario]]*Table153643454611[[#This Row],[Smoking-Attributable Fraction (SAF) of Healthcare Expenditures:
Adjusted for Intervention Impacts]]</f>
        <v>66049483.009208404</v>
      </c>
      <c r="AD117" s="66">
        <f>Table153643454611[[#This Row],[Total Government Healthcare Expenditures
(including national insurance):
Base Scenario]]*Table153643454611[[#This Row],[Smoking-Attributable Fraction (SAF) of Healthcare Expenditures: Lower Bound
Adjusted for Intervention Impacts]]</f>
        <v>56264374.415251583</v>
      </c>
      <c r="AE117" s="66">
        <f>Table153643454611[[#This Row],[Total Government Healthcare Expenditures
(including national insurance):
Base Scenario]]*Table153643454611[[#This Row],[Smoking-Attributable Fraction (SAF) of Healthcare Expenditures: Upper Bound
Adjusted for Intervention Impacts]]</f>
        <v>106005343.10119866</v>
      </c>
      <c r="AF117" s="66">
        <f>Table153643454611[[#This Row],[Total Private (Out-of-Pocket) Healthcare Expenditures:
Base Scenario]]*Table153643454611[[#This Row],[Smoking-Attributable Fraction (SAF) of Healthcare Expenditures:
Adjusted for Intervention Impacts]]</f>
        <v>104391461.09779598</v>
      </c>
      <c r="AG117" s="66">
        <f>Table153643454611[[#This Row],[Total Private (Out-of-Pocket) Healthcare Expenditures:
Base Scenario]]*Table153643454611[[#This Row],[Smoking-Attributable Fraction (SAF) of Healthcare Expenditures: Lower Bound
Adjusted for Intervention Impacts]]</f>
        <v>88926059.453678027</v>
      </c>
      <c r="AH117" s="66">
        <f>Table153643454611[[#This Row],[Total Private (Out-of-Pocket) Healthcare Expenditures:
Base Scenario]]*Table153643454611[[#This Row],[Smoking-Attributable Fraction (SAF) of Healthcare Expenditures: Upper Bound
Adjusted for Intervention Impacts]]</f>
        <v>167541851.14461079</v>
      </c>
      <c r="AI117" s="65">
        <f>Table153643454611[[#This Row],[Total Other Health Expenditures:
Base Scenario]]*Table153643454611[[#This Row],[Smoking-Attributable Fraction (SAF) of Healthcare Expenditures:
Adjusted for Intervention Impacts]]</f>
        <v>11719623.491228653</v>
      </c>
      <c r="AJ117" s="65">
        <f>Table153643454611[[#This Row],[Total Other Health Expenditures:
Base Scenario]]*Table153643454611[[#This Row],[Smoking-Attributable Fraction (SAF) of Healthcare Expenditures: Lower Bound
Adjusted for Intervention Impacts]]</f>
        <v>9983382.9740095921</v>
      </c>
      <c r="AK117" s="65">
        <f>Table153643454611[[#This Row],[Total Other Health Expenditures:
Base Scenario]]*Table153643454611[[#This Row],[Smoking-Attributable Fraction (SAF) of Healthcare Expenditures: Upper Bound
Adjusted for Intervention Impacts]]</f>
        <v>18809272.269873146</v>
      </c>
      <c r="AL117" s="76">
        <f>Table153643454611[[#This Row],[Smoking-Attributable Total Healthcare Expenditures:
Base Scenario]]-Table153643454611[[#This Row],[Smoking-Attributable Total Healthcare Expenditures:
Intervention Scenario]]</f>
        <v>21797432.401766986</v>
      </c>
      <c r="AM117" s="76">
        <f>Table153643454611[[#This Row],[Smoking-Attributable Total Healthcare Expenditures: Lower Bound
Base Scenario]]-Table153643454611[[#This Row],[Smoking-Attributable Total Healthcare Expenditures: Lower Bound
Intervention Scenario]]</f>
        <v>18568183.157060802</v>
      </c>
      <c r="AN117" s="76">
        <f>Table153643454611[[#This Row],[Smoking-Attributable Total Healthcare Expenditures: Upper Bound
Base Scenario]]-Table153643454611[[#This Row],[Smoking-Attributable Total Healthcare Expenditures: Upper Bound
Intervention Scenario]]</f>
        <v>34983533.484317422</v>
      </c>
      <c r="AO117" s="76">
        <f>Table153643454611[[#This Row],[Smoking-Attributable Government Healthcare Expenditures
(including national insurance):
Base Scenario]]-Table153643454611[[#This Row],[Smoking-Attributable Government Healthcare Expenditures
(including national insurance):
Intervention Scenario]]</f>
        <v>7903516.9907915965</v>
      </c>
      <c r="AP117"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6732625.5847484246</v>
      </c>
      <c r="AQ117"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12684656.898801342</v>
      </c>
      <c r="AR117" s="76">
        <f>Table153643454611[[#This Row],[Smoking-Attributable Private Healthcare Expenditures:
Base Scenario]]-Table153643454611[[#This Row],[Smoking-Attributable Private Healthcare Expenditures:
Intervention Scenario]]</f>
        <v>12491538.902204022</v>
      </c>
      <c r="AS117" s="76">
        <f>Table153643454611[[#This Row],[Smoking-Attributable Private Healthcare Expenditures: Lower Bound
Base Scenario]]-Table153643454611[[#This Row],[Smoking-Attributable Private Healthcare Expenditures: Lower Bound
Intervention Scenario]]</f>
        <v>10640940.546321988</v>
      </c>
      <c r="AT117" s="76">
        <f>Table153643454611[[#This Row],[Smoking-Attributable Private Healthcare Expenditures: Upper Bound
Base Scenario]]-Table153643454611[[#This Row],[Smoking-Attributable Private Healthcare Expenditures: Upper Bound
Intervention Scenario]]</f>
        <v>20048148.855389208</v>
      </c>
      <c r="AU117" s="76">
        <f>Table153643454611[[#This Row],[Smoking-Attributable Other Health Expenditures:
Base Scenario]]-Table153643454611[[#This Row],[Smoking-Attributable Other Health Expenditures:
Intervention Scenario]]</f>
        <v>1402376.5087713469</v>
      </c>
      <c r="AV117" s="235">
        <f>Table153643454611[[#This Row],[Smoking-Attributable Other Health Expenditures: Lower Bound
Base Scenario]]-Table153643454611[[#This Row],[Smoking-Attributable Other Health Expenditures: Lower Bound
Intervention Scenario]]</f>
        <v>1194617.0259904098</v>
      </c>
      <c r="AW117" s="235">
        <f>Table153643454611[[#This Row],[Smoking-Attributable Other Health Expenditures: Upper Bound
Base Scenario]]-Table153643454611[[#This Row],[Smoking-Attributable Other Health Expenditures: Upper Bound
Intervention Scenario]]</f>
        <v>2250727.730126854</v>
      </c>
    </row>
    <row r="118" spans="2:49">
      <c r="B118" s="47">
        <v>12</v>
      </c>
      <c r="C118" s="48">
        <f t="shared" si="30"/>
        <v>2518000000</v>
      </c>
      <c r="D118" s="48">
        <f t="shared" si="31"/>
        <v>913000000</v>
      </c>
      <c r="E118" s="48">
        <f t="shared" si="32"/>
        <v>1443000000</v>
      </c>
      <c r="F118" s="48">
        <f t="shared" si="33"/>
        <v>162000000</v>
      </c>
      <c r="G118" s="232">
        <f t="shared" si="34"/>
        <v>8.1000000000000003E-2</v>
      </c>
      <c r="H118" s="46">
        <f t="shared" si="38"/>
        <v>6.9000000000000006E-2</v>
      </c>
      <c r="I118" s="46">
        <f t="shared" si="35"/>
        <v>0.13</v>
      </c>
      <c r="J118" s="43">
        <f>Table153643454611[[#This Row],[Total Healthcare Expenditures
(All Categories):
Base Scenario]]*Table153643454611[[#This Row],[Smoking-Attributable Fraction (SAF) of Healthcare Expenditures
Base Scenario]]</f>
        <v>203958000</v>
      </c>
      <c r="K118" s="43">
        <f>Table153643454611[[#This Row],[Total Healthcare Expenditures
(All Categories):
Base Scenario]]*Table153643454611[[#This Row],[Smoking-Attributable Fraction (SAF) of Healthcare Expenditures: Lower Bound
Base Scenario]]</f>
        <v>173742000</v>
      </c>
      <c r="L118" s="43">
        <f>Table153643454611[[#This Row],[Total Healthcare Expenditures
(All Categories):
Base Scenario]]*Table153643454611[[#This Row],[Smoking-Attributable Fraction (SAF) of Healthcare Expenditures: Upper Bound
Base Scenario]]</f>
        <v>327340000</v>
      </c>
      <c r="M118" s="43">
        <f>Table153643454611[[#This Row],[Total Government Healthcare Expenditures
(including national insurance):
Base Scenario]]*Table153643454611[[#This Row],[Smoking-Attributable Fraction (SAF) of Healthcare Expenditures
Base Scenario]]</f>
        <v>73953000</v>
      </c>
      <c r="N118" s="43">
        <f>Table153643454611[[#This Row],[Total Government Healthcare Expenditures
(including national insurance):
Base Scenario]]*Table153643454611[[#This Row],[Smoking-Attributable Fraction (SAF) of Healthcare Expenditures: Lower Bound
Base Scenario]]</f>
        <v>62997000.000000007</v>
      </c>
      <c r="O118" s="43">
        <f>Table153643454611[[#This Row],[Total Government Healthcare Expenditures
(including national insurance):
Base Scenario]]*Table153643454611[[#This Row],[Smoking-Attributable Fraction (SAF) of Healthcare Expenditures: Upper Bound
Base Scenario]]</f>
        <v>118690000</v>
      </c>
      <c r="P118" s="43">
        <f>Table153643454611[[#This Row],[Total Private (Out-of-Pocket) Healthcare Expenditures:
Base Scenario]]*Table153643454611[[#This Row],[Smoking-Attributable Fraction (SAF) of Healthcare Expenditures
Base Scenario]]</f>
        <v>116883000</v>
      </c>
      <c r="Q118" s="43">
        <f>Table153643454611[[#This Row],[Total Private (Out-of-Pocket) Healthcare Expenditures:
Base Scenario]]*Table153643454611[[#This Row],[Smoking-Attributable Fraction (SAF) of Healthcare Expenditures: Lower Bound
Base Scenario]]</f>
        <v>99567000.000000015</v>
      </c>
      <c r="R118" s="43">
        <f>Table153643454611[[#This Row],[Total Private (Out-of-Pocket) Healthcare Expenditures:
Base Scenario]]*Table153643454611[[#This Row],[Smoking-Attributable Fraction (SAF) of Healthcare Expenditures: Upper Bound
Base Scenario]]</f>
        <v>187590000</v>
      </c>
      <c r="S118" s="43">
        <f>Table153643454611[[#This Row],[Total Other Health Expenditures:
Base Scenario]]*Table153643454611[[#This Row],[Smoking-Attributable Fraction (SAF) of Healthcare Expenditures
Base Scenario]]</f>
        <v>13122000</v>
      </c>
      <c r="T118" s="43">
        <f>Table153643454611[[#This Row],[Total Other Health Expenditures:
Base Scenario]]*Table153643454611[[#This Row],[Smoking-Attributable Fraction (SAF) of Healthcare Expenditures: Lower Bound
Base Scenario]]</f>
        <v>11178000.000000002</v>
      </c>
      <c r="U118" s="43">
        <f>Table153643454611[[#This Row],[Total Other Health Expenditures:
Base Scenario]]*Table153643454611[[#This Row],[Smoking-Attributable Fraction (SAF) of Healthcare Expenditures: Upper Bound
Base Scenario]]</f>
        <v>21060000</v>
      </c>
      <c r="V118" s="62">
        <v>-1.9999999999999987E-3</v>
      </c>
      <c r="W118" s="60">
        <f>W117*(1+Table153643454611[[#This Row],[Relative Change in Smoking Prevalence:
Enforce Marketing Restrictions]])</f>
        <v>7.2198668174359243E-2</v>
      </c>
      <c r="X118" s="60">
        <f>X117*(1+Table153643454611[[#This Row],[Relative Change in Smoking Prevalence:
Enforce Marketing Restrictions]])</f>
        <v>6.1502569185565258E-2</v>
      </c>
      <c r="Y118" s="60">
        <f>Y117*(1+Table153643454611[[#This Row],[Relative Change in Smoking Prevalence:
Enforce Marketing Restrictions]])</f>
        <v>0.11587440571193457</v>
      </c>
      <c r="Z118" s="66">
        <f>Table153643454611[[#This Row],[Total Healthcare Expenditures
(All Categories):
Base Scenario]]*Table153643454611[[#This Row],[Smoking-Attributable Fraction (SAF) of Healthcare Expenditures:
Adjusted for Intervention Impacts]]</f>
        <v>181796246.46303657</v>
      </c>
      <c r="AA118" s="64">
        <f>Table153643454611[[#This Row],[Total Healthcare Expenditures
(All Categories):
Base Scenario]]*Table153643454611[[#This Row],[Smoking-Attributable Fraction (SAF) of Healthcare Expenditures: Lower Bound
Adjusted for Intervention Impacts]]</f>
        <v>154863469.20925331</v>
      </c>
      <c r="AB118" s="66">
        <f>Table153643454611[[#This Row],[Total Healthcare Expenditures
(All Categories):
Base Scenario]]*Table153643454611[[#This Row],[Smoking-Attributable Fraction (SAF) of Healthcare Expenditures: Upper Bound
Adjusted for Intervention Impacts]]</f>
        <v>291771753.58265126</v>
      </c>
      <c r="AC118" s="66">
        <f>Table153643454611[[#This Row],[Total Government Healthcare Expenditures
(including national insurance):
Base Scenario]]*Table153643454611[[#This Row],[Smoking-Attributable Fraction (SAF) of Healthcare Expenditures:
Adjusted for Intervention Impacts]]</f>
        <v>65917384.043189988</v>
      </c>
      <c r="AD118" s="66">
        <f>Table153643454611[[#This Row],[Total Government Healthcare Expenditures
(including national insurance):
Base Scenario]]*Table153643454611[[#This Row],[Smoking-Attributable Fraction (SAF) of Healthcare Expenditures: Lower Bound
Adjusted for Intervention Impacts]]</f>
        <v>56151845.666421078</v>
      </c>
      <c r="AE118" s="66">
        <f>Table153643454611[[#This Row],[Total Government Healthcare Expenditures
(including national insurance):
Base Scenario]]*Table153643454611[[#This Row],[Smoking-Attributable Fraction (SAF) of Healthcare Expenditures: Upper Bound
Adjusted for Intervention Impacts]]</f>
        <v>105793332.41499627</v>
      </c>
      <c r="AF118" s="66">
        <f>Table153643454611[[#This Row],[Total Private (Out-of-Pocket) Healthcare Expenditures:
Base Scenario]]*Table153643454611[[#This Row],[Smoking-Attributable Fraction (SAF) of Healthcare Expenditures:
Adjusted for Intervention Impacts]]</f>
        <v>104182678.17560039</v>
      </c>
      <c r="AG118" s="66">
        <f>Table153643454611[[#This Row],[Total Private (Out-of-Pocket) Healthcare Expenditures:
Base Scenario]]*Table153643454611[[#This Row],[Smoking-Attributable Fraction (SAF) of Healthcare Expenditures: Lower Bound
Adjusted for Intervention Impacts]]</f>
        <v>88748207.334770665</v>
      </c>
      <c r="AH118" s="66">
        <f>Table153643454611[[#This Row],[Total Private (Out-of-Pocket) Healthcare Expenditures:
Base Scenario]]*Table153643454611[[#This Row],[Smoking-Attributable Fraction (SAF) of Healthcare Expenditures: Upper Bound
Adjusted for Intervention Impacts]]</f>
        <v>167206767.44232157</v>
      </c>
      <c r="AI118" s="65">
        <f>Table153643454611[[#This Row],[Total Other Health Expenditures:
Base Scenario]]*Table153643454611[[#This Row],[Smoking-Attributable Fraction (SAF) of Healthcare Expenditures:
Adjusted for Intervention Impacts]]</f>
        <v>11696184.244246198</v>
      </c>
      <c r="AJ118" s="65">
        <f>Table153643454611[[#This Row],[Total Other Health Expenditures:
Base Scenario]]*Table153643454611[[#This Row],[Smoking-Attributable Fraction (SAF) of Healthcare Expenditures: Lower Bound
Adjusted for Intervention Impacts]]</f>
        <v>9963416.2080615722</v>
      </c>
      <c r="AK118" s="65">
        <f>Table153643454611[[#This Row],[Total Other Health Expenditures:
Base Scenario]]*Table153643454611[[#This Row],[Smoking-Attributable Fraction (SAF) of Healthcare Expenditures: Upper Bound
Adjusted for Intervention Impacts]]</f>
        <v>18771653.7253334</v>
      </c>
      <c r="AL118" s="76">
        <f>Table153643454611[[#This Row],[Smoking-Attributable Total Healthcare Expenditures:
Base Scenario]]-Table153643454611[[#This Row],[Smoking-Attributable Total Healthcare Expenditures:
Intervention Scenario]]</f>
        <v>22161753.536963433</v>
      </c>
      <c r="AM118" s="76">
        <f>Table153643454611[[#This Row],[Smoking-Attributable Total Healthcare Expenditures: Lower Bound
Base Scenario]]-Table153643454611[[#This Row],[Smoking-Attributable Total Healthcare Expenditures: Lower Bound
Intervention Scenario]]</f>
        <v>18878530.790746689</v>
      </c>
      <c r="AN118" s="76">
        <f>Table153643454611[[#This Row],[Smoking-Attributable Total Healthcare Expenditures: Upper Bound
Base Scenario]]-Table153643454611[[#This Row],[Smoking-Attributable Total Healthcare Expenditures: Upper Bound
Intervention Scenario]]</f>
        <v>35568246.417348742</v>
      </c>
      <c r="AO118" s="76">
        <f>Table153643454611[[#This Row],[Smoking-Attributable Government Healthcare Expenditures
(including national insurance):
Base Scenario]]-Table153643454611[[#This Row],[Smoking-Attributable Government Healthcare Expenditures
(including national insurance):
Intervention Scenario]]</f>
        <v>8035615.9568100125</v>
      </c>
      <c r="AP118"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6845154.3335789293</v>
      </c>
      <c r="AQ118"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12896667.585003734</v>
      </c>
      <c r="AR118" s="76">
        <f>Table153643454611[[#This Row],[Smoking-Attributable Private Healthcare Expenditures:
Base Scenario]]-Table153643454611[[#This Row],[Smoking-Attributable Private Healthcare Expenditures:
Intervention Scenario]]</f>
        <v>12700321.824399605</v>
      </c>
      <c r="AS118" s="76">
        <f>Table153643454611[[#This Row],[Smoking-Attributable Private Healthcare Expenditures: Lower Bound
Base Scenario]]-Table153643454611[[#This Row],[Smoking-Attributable Private Healthcare Expenditures: Lower Bound
Intervention Scenario]]</f>
        <v>10818792.66522935</v>
      </c>
      <c r="AT118" s="76">
        <f>Table153643454611[[#This Row],[Smoking-Attributable Private Healthcare Expenditures: Upper Bound
Base Scenario]]-Table153643454611[[#This Row],[Smoking-Attributable Private Healthcare Expenditures: Upper Bound
Intervention Scenario]]</f>
        <v>20383232.557678431</v>
      </c>
      <c r="AU118" s="76">
        <f>Table153643454611[[#This Row],[Smoking-Attributable Other Health Expenditures:
Base Scenario]]-Table153643454611[[#This Row],[Smoking-Attributable Other Health Expenditures:
Intervention Scenario]]</f>
        <v>1425815.7557538021</v>
      </c>
      <c r="AV118" s="235">
        <f>Table153643454611[[#This Row],[Smoking-Attributable Other Health Expenditures: Lower Bound
Base Scenario]]-Table153643454611[[#This Row],[Smoking-Attributable Other Health Expenditures: Lower Bound
Intervention Scenario]]</f>
        <v>1214583.7919384297</v>
      </c>
      <c r="AW118" s="235">
        <f>Table153643454611[[#This Row],[Smoking-Attributable Other Health Expenditures: Upper Bound
Base Scenario]]-Table153643454611[[#This Row],[Smoking-Attributable Other Health Expenditures: Upper Bound
Intervention Scenario]]</f>
        <v>2288346.2746665999</v>
      </c>
    </row>
    <row r="119" spans="2:49">
      <c r="B119" s="47">
        <v>13</v>
      </c>
      <c r="C119" s="48">
        <f t="shared" si="30"/>
        <v>2518000000</v>
      </c>
      <c r="D119" s="48">
        <f t="shared" si="31"/>
        <v>913000000</v>
      </c>
      <c r="E119" s="48">
        <f t="shared" si="32"/>
        <v>1443000000</v>
      </c>
      <c r="F119" s="48">
        <f t="shared" si="33"/>
        <v>162000000</v>
      </c>
      <c r="G119" s="232">
        <f t="shared" si="34"/>
        <v>8.1000000000000003E-2</v>
      </c>
      <c r="H119" s="46">
        <f t="shared" si="38"/>
        <v>6.9000000000000006E-2</v>
      </c>
      <c r="I119" s="46">
        <f t="shared" si="35"/>
        <v>0.13</v>
      </c>
      <c r="J119" s="43">
        <f>Table153643454611[[#This Row],[Total Healthcare Expenditures
(All Categories):
Base Scenario]]*Table153643454611[[#This Row],[Smoking-Attributable Fraction (SAF) of Healthcare Expenditures
Base Scenario]]</f>
        <v>203958000</v>
      </c>
      <c r="K119" s="43">
        <f>Table153643454611[[#This Row],[Total Healthcare Expenditures
(All Categories):
Base Scenario]]*Table153643454611[[#This Row],[Smoking-Attributable Fraction (SAF) of Healthcare Expenditures: Lower Bound
Base Scenario]]</f>
        <v>173742000</v>
      </c>
      <c r="L119" s="43">
        <f>Table153643454611[[#This Row],[Total Healthcare Expenditures
(All Categories):
Base Scenario]]*Table153643454611[[#This Row],[Smoking-Attributable Fraction (SAF) of Healthcare Expenditures: Upper Bound
Base Scenario]]</f>
        <v>327340000</v>
      </c>
      <c r="M119" s="43">
        <f>Table153643454611[[#This Row],[Total Government Healthcare Expenditures
(including national insurance):
Base Scenario]]*Table153643454611[[#This Row],[Smoking-Attributable Fraction (SAF) of Healthcare Expenditures
Base Scenario]]</f>
        <v>73953000</v>
      </c>
      <c r="N119" s="43">
        <f>Table153643454611[[#This Row],[Total Government Healthcare Expenditures
(including national insurance):
Base Scenario]]*Table153643454611[[#This Row],[Smoking-Attributable Fraction (SAF) of Healthcare Expenditures: Lower Bound
Base Scenario]]</f>
        <v>62997000.000000007</v>
      </c>
      <c r="O119" s="43">
        <f>Table153643454611[[#This Row],[Total Government Healthcare Expenditures
(including national insurance):
Base Scenario]]*Table153643454611[[#This Row],[Smoking-Attributable Fraction (SAF) of Healthcare Expenditures: Upper Bound
Base Scenario]]</f>
        <v>118690000</v>
      </c>
      <c r="P119" s="43">
        <f>Table153643454611[[#This Row],[Total Private (Out-of-Pocket) Healthcare Expenditures:
Base Scenario]]*Table153643454611[[#This Row],[Smoking-Attributable Fraction (SAF) of Healthcare Expenditures
Base Scenario]]</f>
        <v>116883000</v>
      </c>
      <c r="Q119" s="43">
        <f>Table153643454611[[#This Row],[Total Private (Out-of-Pocket) Healthcare Expenditures:
Base Scenario]]*Table153643454611[[#This Row],[Smoking-Attributable Fraction (SAF) of Healthcare Expenditures: Lower Bound
Base Scenario]]</f>
        <v>99567000.000000015</v>
      </c>
      <c r="R119" s="43">
        <f>Table153643454611[[#This Row],[Total Private (Out-of-Pocket) Healthcare Expenditures:
Base Scenario]]*Table153643454611[[#This Row],[Smoking-Attributable Fraction (SAF) of Healthcare Expenditures: Upper Bound
Base Scenario]]</f>
        <v>187590000</v>
      </c>
      <c r="S119" s="43">
        <f>Table153643454611[[#This Row],[Total Other Health Expenditures:
Base Scenario]]*Table153643454611[[#This Row],[Smoking-Attributable Fraction (SAF) of Healthcare Expenditures
Base Scenario]]</f>
        <v>13122000</v>
      </c>
      <c r="T119" s="43">
        <f>Table153643454611[[#This Row],[Total Other Health Expenditures:
Base Scenario]]*Table153643454611[[#This Row],[Smoking-Attributable Fraction (SAF) of Healthcare Expenditures: Lower Bound
Base Scenario]]</f>
        <v>11178000.000000002</v>
      </c>
      <c r="U119" s="43">
        <f>Table153643454611[[#This Row],[Total Other Health Expenditures:
Base Scenario]]*Table153643454611[[#This Row],[Smoking-Attributable Fraction (SAF) of Healthcare Expenditures: Upper Bound
Base Scenario]]</f>
        <v>21060000</v>
      </c>
      <c r="V119" s="62">
        <v>-1.9999999999999987E-3</v>
      </c>
      <c r="W119" s="60">
        <f>W118*(1+Table153643454611[[#This Row],[Relative Change in Smoking Prevalence:
Enforce Marketing Restrictions]])</f>
        <v>7.2054270838010526E-2</v>
      </c>
      <c r="X119" s="60">
        <f>X118*(1+Table153643454611[[#This Row],[Relative Change in Smoking Prevalence:
Enforce Marketing Restrictions]])</f>
        <v>6.1379564047194128E-2</v>
      </c>
      <c r="Y119" s="60">
        <f>Y118*(1+Table153643454611[[#This Row],[Relative Change in Smoking Prevalence:
Enforce Marketing Restrictions]])</f>
        <v>0.1156426569005107</v>
      </c>
      <c r="Z119" s="66">
        <f>Table153643454611[[#This Row],[Total Healthcare Expenditures
(All Categories):
Base Scenario]]*Table153643454611[[#This Row],[Smoking-Attributable Fraction (SAF) of Healthcare Expenditures:
Adjusted for Intervention Impacts]]</f>
        <v>181432653.97011051</v>
      </c>
      <c r="AA119" s="64">
        <f>Table153643454611[[#This Row],[Total Healthcare Expenditures
(All Categories):
Base Scenario]]*Table153643454611[[#This Row],[Smoking-Attributable Fraction (SAF) of Healthcare Expenditures: Lower Bound
Adjusted for Intervention Impacts]]</f>
        <v>154553742.2708348</v>
      </c>
      <c r="AB119" s="66">
        <f>Table153643454611[[#This Row],[Total Healthcare Expenditures
(All Categories):
Base Scenario]]*Table153643454611[[#This Row],[Smoking-Attributable Fraction (SAF) of Healthcare Expenditures: Upper Bound
Adjusted for Intervention Impacts]]</f>
        <v>291188210.07548594</v>
      </c>
      <c r="AC119" s="66">
        <f>Table153643454611[[#This Row],[Total Government Healthcare Expenditures
(including national insurance):
Base Scenario]]*Table153643454611[[#This Row],[Smoking-Attributable Fraction (SAF) of Healthcare Expenditures:
Adjusted for Intervention Impacts]]</f>
        <v>65785549.275103606</v>
      </c>
      <c r="AD119" s="66">
        <f>Table153643454611[[#This Row],[Total Government Healthcare Expenditures
(including national insurance):
Base Scenario]]*Table153643454611[[#This Row],[Smoking-Attributable Fraction (SAF) of Healthcare Expenditures: Lower Bound
Adjusted for Intervention Impacts]]</f>
        <v>56039541.975088239</v>
      </c>
      <c r="AE119" s="66">
        <f>Table153643454611[[#This Row],[Total Government Healthcare Expenditures
(including national insurance):
Base Scenario]]*Table153643454611[[#This Row],[Smoking-Attributable Fraction (SAF) of Healthcare Expenditures: Upper Bound
Adjusted for Intervention Impacts]]</f>
        <v>105581745.75016627</v>
      </c>
      <c r="AF119" s="66">
        <f>Table153643454611[[#This Row],[Total Private (Out-of-Pocket) Healthcare Expenditures:
Base Scenario]]*Table153643454611[[#This Row],[Smoking-Attributable Fraction (SAF) of Healthcare Expenditures:
Adjusted for Intervention Impacts]]</f>
        <v>103974312.81924918</v>
      </c>
      <c r="AG119" s="66">
        <f>Table153643454611[[#This Row],[Total Private (Out-of-Pocket) Healthcare Expenditures:
Base Scenario]]*Table153643454611[[#This Row],[Smoking-Attributable Fraction (SAF) of Healthcare Expenditures: Lower Bound
Adjusted for Intervention Impacts]]</f>
        <v>88570710.920101121</v>
      </c>
      <c r="AH119" s="66">
        <f>Table153643454611[[#This Row],[Total Private (Out-of-Pocket) Healthcare Expenditures:
Base Scenario]]*Table153643454611[[#This Row],[Smoking-Attributable Fraction (SAF) of Healthcare Expenditures: Upper Bound
Adjusted for Intervention Impacts]]</f>
        <v>166872353.90743694</v>
      </c>
      <c r="AI119" s="65">
        <f>Table153643454611[[#This Row],[Total Other Health Expenditures:
Base Scenario]]*Table153643454611[[#This Row],[Smoking-Attributable Fraction (SAF) of Healthcare Expenditures:
Adjusted for Intervention Impacts]]</f>
        <v>11672791.875757705</v>
      </c>
      <c r="AJ119" s="65">
        <f>Table153643454611[[#This Row],[Total Other Health Expenditures:
Base Scenario]]*Table153643454611[[#This Row],[Smoking-Attributable Fraction (SAF) of Healthcare Expenditures: Lower Bound
Adjusted for Intervention Impacts]]</f>
        <v>9943489.3756454494</v>
      </c>
      <c r="AK119" s="65">
        <f>Table153643454611[[#This Row],[Total Other Health Expenditures:
Base Scenario]]*Table153643454611[[#This Row],[Smoking-Attributable Fraction (SAF) of Healthcare Expenditures: Upper Bound
Adjusted for Intervention Impacts]]</f>
        <v>18734110.417882733</v>
      </c>
      <c r="AL119" s="76">
        <f>Table153643454611[[#This Row],[Smoking-Attributable Total Healthcare Expenditures:
Base Scenario]]-Table153643454611[[#This Row],[Smoking-Attributable Total Healthcare Expenditures:
Intervention Scenario]]</f>
        <v>22525346.029889494</v>
      </c>
      <c r="AM119" s="76">
        <f>Table153643454611[[#This Row],[Smoking-Attributable Total Healthcare Expenditures: Lower Bound
Base Scenario]]-Table153643454611[[#This Row],[Smoking-Attributable Total Healthcare Expenditures: Lower Bound
Intervention Scenario]]</f>
        <v>19188257.729165196</v>
      </c>
      <c r="AN119" s="76">
        <f>Table153643454611[[#This Row],[Smoking-Attributable Total Healthcare Expenditures: Upper Bound
Base Scenario]]-Table153643454611[[#This Row],[Smoking-Attributable Total Healthcare Expenditures: Upper Bound
Intervention Scenario]]</f>
        <v>36151789.924514055</v>
      </c>
      <c r="AO119" s="76">
        <f>Table153643454611[[#This Row],[Smoking-Attributable Government Healthcare Expenditures
(including national insurance):
Base Scenario]]-Table153643454611[[#This Row],[Smoking-Attributable Government Healthcare Expenditures
(including national insurance):
Intervention Scenario]]</f>
        <v>8167450.7248963937</v>
      </c>
      <c r="AP119"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6957458.0249117687</v>
      </c>
      <c r="AQ119"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13108254.249833733</v>
      </c>
      <c r="AR119" s="76">
        <f>Table153643454611[[#This Row],[Smoking-Attributable Private Healthcare Expenditures:
Base Scenario]]-Table153643454611[[#This Row],[Smoking-Attributable Private Healthcare Expenditures:
Intervention Scenario]]</f>
        <v>12908687.180750817</v>
      </c>
      <c r="AS119" s="76">
        <f>Table153643454611[[#This Row],[Smoking-Attributable Private Healthcare Expenditures: Lower Bound
Base Scenario]]-Table153643454611[[#This Row],[Smoking-Attributable Private Healthcare Expenditures: Lower Bound
Intervention Scenario]]</f>
        <v>10996289.079898894</v>
      </c>
      <c r="AT119" s="76">
        <f>Table153643454611[[#This Row],[Smoking-Attributable Private Healthcare Expenditures: Upper Bound
Base Scenario]]-Table153643454611[[#This Row],[Smoking-Attributable Private Healthcare Expenditures: Upper Bound
Intervention Scenario]]</f>
        <v>20717646.092563063</v>
      </c>
      <c r="AU119" s="76">
        <f>Table153643454611[[#This Row],[Smoking-Attributable Other Health Expenditures:
Base Scenario]]-Table153643454611[[#This Row],[Smoking-Attributable Other Health Expenditures:
Intervention Scenario]]</f>
        <v>1449208.1242422946</v>
      </c>
      <c r="AV119" s="235">
        <f>Table153643454611[[#This Row],[Smoking-Attributable Other Health Expenditures: Lower Bound
Base Scenario]]-Table153643454611[[#This Row],[Smoking-Attributable Other Health Expenditures: Lower Bound
Intervention Scenario]]</f>
        <v>1234510.6243545525</v>
      </c>
      <c r="AW119" s="235">
        <f>Table153643454611[[#This Row],[Smoking-Attributable Other Health Expenditures: Upper Bound
Base Scenario]]-Table153643454611[[#This Row],[Smoking-Attributable Other Health Expenditures: Upper Bound
Intervention Scenario]]</f>
        <v>2325889.582117267</v>
      </c>
    </row>
    <row r="120" spans="2:49">
      <c r="B120" s="47">
        <v>14</v>
      </c>
      <c r="C120" s="48">
        <f t="shared" si="30"/>
        <v>2518000000</v>
      </c>
      <c r="D120" s="48">
        <f t="shared" si="31"/>
        <v>913000000</v>
      </c>
      <c r="E120" s="48">
        <f t="shared" si="32"/>
        <v>1443000000</v>
      </c>
      <c r="F120" s="48">
        <f t="shared" si="33"/>
        <v>162000000</v>
      </c>
      <c r="G120" s="232">
        <f t="shared" si="34"/>
        <v>8.1000000000000003E-2</v>
      </c>
      <c r="H120" s="46">
        <f t="shared" si="38"/>
        <v>6.9000000000000006E-2</v>
      </c>
      <c r="I120" s="46">
        <f t="shared" si="35"/>
        <v>0.13</v>
      </c>
      <c r="J120" s="43">
        <f>Table153643454611[[#This Row],[Total Healthcare Expenditures
(All Categories):
Base Scenario]]*Table153643454611[[#This Row],[Smoking-Attributable Fraction (SAF) of Healthcare Expenditures
Base Scenario]]</f>
        <v>203958000</v>
      </c>
      <c r="K120" s="43">
        <f>Table153643454611[[#This Row],[Total Healthcare Expenditures
(All Categories):
Base Scenario]]*Table153643454611[[#This Row],[Smoking-Attributable Fraction (SAF) of Healthcare Expenditures: Lower Bound
Base Scenario]]</f>
        <v>173742000</v>
      </c>
      <c r="L120" s="43">
        <f>Table153643454611[[#This Row],[Total Healthcare Expenditures
(All Categories):
Base Scenario]]*Table153643454611[[#This Row],[Smoking-Attributable Fraction (SAF) of Healthcare Expenditures: Upper Bound
Base Scenario]]</f>
        <v>327340000</v>
      </c>
      <c r="M120" s="43">
        <f>Table153643454611[[#This Row],[Total Government Healthcare Expenditures
(including national insurance):
Base Scenario]]*Table153643454611[[#This Row],[Smoking-Attributable Fraction (SAF) of Healthcare Expenditures
Base Scenario]]</f>
        <v>73953000</v>
      </c>
      <c r="N120" s="43">
        <f>Table153643454611[[#This Row],[Total Government Healthcare Expenditures
(including national insurance):
Base Scenario]]*Table153643454611[[#This Row],[Smoking-Attributable Fraction (SAF) of Healthcare Expenditures: Lower Bound
Base Scenario]]</f>
        <v>62997000.000000007</v>
      </c>
      <c r="O120" s="43">
        <f>Table153643454611[[#This Row],[Total Government Healthcare Expenditures
(including national insurance):
Base Scenario]]*Table153643454611[[#This Row],[Smoking-Attributable Fraction (SAF) of Healthcare Expenditures: Upper Bound
Base Scenario]]</f>
        <v>118690000</v>
      </c>
      <c r="P120" s="43">
        <f>Table153643454611[[#This Row],[Total Private (Out-of-Pocket) Healthcare Expenditures:
Base Scenario]]*Table153643454611[[#This Row],[Smoking-Attributable Fraction (SAF) of Healthcare Expenditures
Base Scenario]]</f>
        <v>116883000</v>
      </c>
      <c r="Q120" s="43">
        <f>Table153643454611[[#This Row],[Total Private (Out-of-Pocket) Healthcare Expenditures:
Base Scenario]]*Table153643454611[[#This Row],[Smoking-Attributable Fraction (SAF) of Healthcare Expenditures: Lower Bound
Base Scenario]]</f>
        <v>99567000.000000015</v>
      </c>
      <c r="R120" s="43">
        <f>Table153643454611[[#This Row],[Total Private (Out-of-Pocket) Healthcare Expenditures:
Base Scenario]]*Table153643454611[[#This Row],[Smoking-Attributable Fraction (SAF) of Healthcare Expenditures: Upper Bound
Base Scenario]]</f>
        <v>187590000</v>
      </c>
      <c r="S120" s="43">
        <f>Table153643454611[[#This Row],[Total Other Health Expenditures:
Base Scenario]]*Table153643454611[[#This Row],[Smoking-Attributable Fraction (SAF) of Healthcare Expenditures
Base Scenario]]</f>
        <v>13122000</v>
      </c>
      <c r="T120" s="43">
        <f>Table153643454611[[#This Row],[Total Other Health Expenditures:
Base Scenario]]*Table153643454611[[#This Row],[Smoking-Attributable Fraction (SAF) of Healthcare Expenditures: Lower Bound
Base Scenario]]</f>
        <v>11178000.000000002</v>
      </c>
      <c r="U120" s="43">
        <f>Table153643454611[[#This Row],[Total Other Health Expenditures:
Base Scenario]]*Table153643454611[[#This Row],[Smoking-Attributable Fraction (SAF) of Healthcare Expenditures: Upper Bound
Base Scenario]]</f>
        <v>21060000</v>
      </c>
      <c r="V120" s="62">
        <v>-1.9999999999999987E-3</v>
      </c>
      <c r="W120" s="60">
        <f>W119*(1+Table153643454611[[#This Row],[Relative Change in Smoking Prevalence:
Enforce Marketing Restrictions]])</f>
        <v>7.1910162296334498E-2</v>
      </c>
      <c r="X120" s="60">
        <f>X119*(1+Table153643454611[[#This Row],[Relative Change in Smoking Prevalence:
Enforce Marketing Restrictions]])</f>
        <v>6.1256804919099739E-2</v>
      </c>
      <c r="Y120" s="60">
        <f>Y119*(1+Table153643454611[[#This Row],[Relative Change in Smoking Prevalence:
Enforce Marketing Restrictions]])</f>
        <v>0.11541137158670968</v>
      </c>
      <c r="Z120" s="66">
        <f>Table153643454611[[#This Row],[Total Healthcare Expenditures
(All Categories):
Base Scenario]]*Table153643454611[[#This Row],[Smoking-Attributable Fraction (SAF) of Healthcare Expenditures:
Adjusted for Intervention Impacts]]</f>
        <v>181069788.66217026</v>
      </c>
      <c r="AA120" s="64">
        <f>Table153643454611[[#This Row],[Total Healthcare Expenditures
(All Categories):
Base Scenario]]*Table153643454611[[#This Row],[Smoking-Attributable Fraction (SAF) of Healthcare Expenditures: Lower Bound
Adjusted for Intervention Impacts]]</f>
        <v>154244634.78629315</v>
      </c>
      <c r="AB120" s="66">
        <f>Table153643454611[[#This Row],[Total Healthcare Expenditures
(All Categories):
Base Scenario]]*Table153643454611[[#This Row],[Smoking-Attributable Fraction (SAF) of Healthcare Expenditures: Upper Bound
Adjusted for Intervention Impacts]]</f>
        <v>290605833.65533495</v>
      </c>
      <c r="AC120" s="66">
        <f>Table153643454611[[#This Row],[Total Government Healthcare Expenditures
(including national insurance):
Base Scenario]]*Table153643454611[[#This Row],[Smoking-Attributable Fraction (SAF) of Healthcare Expenditures:
Adjusted for Intervention Impacts]]</f>
        <v>65653978.176553398</v>
      </c>
      <c r="AD120" s="66">
        <f>Table153643454611[[#This Row],[Total Government Healthcare Expenditures
(including national insurance):
Base Scenario]]*Table153643454611[[#This Row],[Smoking-Attributable Fraction (SAF) of Healthcare Expenditures: Lower Bound
Adjusted for Intervention Impacts]]</f>
        <v>55927462.891138062</v>
      </c>
      <c r="AE120" s="66">
        <f>Table153643454611[[#This Row],[Total Government Healthcare Expenditures
(including national insurance):
Base Scenario]]*Table153643454611[[#This Row],[Smoking-Attributable Fraction (SAF) of Healthcare Expenditures: Upper Bound
Adjusted for Intervention Impacts]]</f>
        <v>105370582.25866593</v>
      </c>
      <c r="AF120" s="66">
        <f>Table153643454611[[#This Row],[Total Private (Out-of-Pocket) Healthcare Expenditures:
Base Scenario]]*Table153643454611[[#This Row],[Smoking-Attributable Fraction (SAF) of Healthcare Expenditures:
Adjusted for Intervention Impacts]]</f>
        <v>103766364.19361068</v>
      </c>
      <c r="AG120" s="66">
        <f>Table153643454611[[#This Row],[Total Private (Out-of-Pocket) Healthcare Expenditures:
Base Scenario]]*Table153643454611[[#This Row],[Smoking-Attributable Fraction (SAF) of Healthcare Expenditures: Lower Bound
Adjusted for Intervention Impacts]]</f>
        <v>88393569.49826093</v>
      </c>
      <c r="AH120" s="66">
        <f>Table153643454611[[#This Row],[Total Private (Out-of-Pocket) Healthcare Expenditures:
Base Scenario]]*Table153643454611[[#This Row],[Smoking-Attributable Fraction (SAF) of Healthcare Expenditures: Upper Bound
Adjusted for Intervention Impacts]]</f>
        <v>166538609.19962206</v>
      </c>
      <c r="AI120" s="65">
        <f>Table153643454611[[#This Row],[Total Other Health Expenditures:
Base Scenario]]*Table153643454611[[#This Row],[Smoking-Attributable Fraction (SAF) of Healthcare Expenditures:
Adjusted for Intervention Impacts]]</f>
        <v>11649446.292006189</v>
      </c>
      <c r="AJ120" s="65">
        <f>Table153643454611[[#This Row],[Total Other Health Expenditures:
Base Scenario]]*Table153643454611[[#This Row],[Smoking-Attributable Fraction (SAF) of Healthcare Expenditures: Lower Bound
Adjusted for Intervention Impacts]]</f>
        <v>9923602.3968941569</v>
      </c>
      <c r="AK120" s="65">
        <f>Table153643454611[[#This Row],[Total Other Health Expenditures:
Base Scenario]]*Table153643454611[[#This Row],[Smoking-Attributable Fraction (SAF) of Healthcare Expenditures: Upper Bound
Adjusted for Intervention Impacts]]</f>
        <v>18696642.197046969</v>
      </c>
      <c r="AL120" s="76">
        <f>Table153643454611[[#This Row],[Smoking-Attributable Total Healthcare Expenditures:
Base Scenario]]-Table153643454611[[#This Row],[Smoking-Attributable Total Healthcare Expenditures:
Intervention Scenario]]</f>
        <v>22888211.337829739</v>
      </c>
      <c r="AM120" s="76">
        <f>Table153643454611[[#This Row],[Smoking-Attributable Total Healthcare Expenditures: Lower Bound
Base Scenario]]-Table153643454611[[#This Row],[Smoking-Attributable Total Healthcare Expenditures: Lower Bound
Intervention Scenario]]</f>
        <v>19497365.213706851</v>
      </c>
      <c r="AN120" s="76">
        <f>Table153643454611[[#This Row],[Smoking-Attributable Total Healthcare Expenditures: Upper Bound
Base Scenario]]-Table153643454611[[#This Row],[Smoking-Attributable Total Healthcare Expenditures: Upper Bound
Intervention Scenario]]</f>
        <v>36734166.344665051</v>
      </c>
      <c r="AO120" s="76">
        <f>Table153643454611[[#This Row],[Smoking-Attributable Government Healthcare Expenditures
(including national insurance):
Base Scenario]]-Table153643454611[[#This Row],[Smoking-Attributable Government Healthcare Expenditures
(including national insurance):
Intervention Scenario]]</f>
        <v>8299021.8234466016</v>
      </c>
      <c r="AP120"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7069537.1088619456</v>
      </c>
      <c r="AQ120"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13319417.741334066</v>
      </c>
      <c r="AR120" s="76">
        <f>Table153643454611[[#This Row],[Smoking-Attributable Private Healthcare Expenditures:
Base Scenario]]-Table153643454611[[#This Row],[Smoking-Attributable Private Healthcare Expenditures:
Intervention Scenario]]</f>
        <v>13116635.806389317</v>
      </c>
      <c r="AS120" s="76">
        <f>Table153643454611[[#This Row],[Smoking-Attributable Private Healthcare Expenditures: Lower Bound
Base Scenario]]-Table153643454611[[#This Row],[Smoking-Attributable Private Healthcare Expenditures: Lower Bound
Intervention Scenario]]</f>
        <v>11173430.501739085</v>
      </c>
      <c r="AT120" s="76">
        <f>Table153643454611[[#This Row],[Smoking-Attributable Private Healthcare Expenditures: Upper Bound
Base Scenario]]-Table153643454611[[#This Row],[Smoking-Attributable Private Healthcare Expenditures: Upper Bound
Intervention Scenario]]</f>
        <v>21051390.800377935</v>
      </c>
      <c r="AU120" s="76">
        <f>Table153643454611[[#This Row],[Smoking-Attributable Other Health Expenditures:
Base Scenario]]-Table153643454611[[#This Row],[Smoking-Attributable Other Health Expenditures:
Intervention Scenario]]</f>
        <v>1472553.707993811</v>
      </c>
      <c r="AV120" s="235">
        <f>Table153643454611[[#This Row],[Smoking-Attributable Other Health Expenditures: Lower Bound
Base Scenario]]-Table153643454611[[#This Row],[Smoking-Attributable Other Health Expenditures: Lower Bound
Intervention Scenario]]</f>
        <v>1254397.6031058449</v>
      </c>
      <c r="AW120" s="235">
        <f>Table153643454611[[#This Row],[Smoking-Attributable Other Health Expenditures: Upper Bound
Base Scenario]]-Table153643454611[[#This Row],[Smoking-Attributable Other Health Expenditures: Upper Bound
Intervention Scenario]]</f>
        <v>2363357.8029530309</v>
      </c>
    </row>
    <row r="121" spans="2:49">
      <c r="B121" s="47">
        <v>15</v>
      </c>
      <c r="C121" s="48">
        <f t="shared" si="30"/>
        <v>2518000000</v>
      </c>
      <c r="D121" s="48">
        <f t="shared" si="31"/>
        <v>913000000</v>
      </c>
      <c r="E121" s="48">
        <f t="shared" si="32"/>
        <v>1443000000</v>
      </c>
      <c r="F121" s="48">
        <f t="shared" si="33"/>
        <v>162000000</v>
      </c>
      <c r="G121" s="232">
        <f t="shared" si="34"/>
        <v>8.1000000000000003E-2</v>
      </c>
      <c r="H121" s="46">
        <f t="shared" si="38"/>
        <v>6.9000000000000006E-2</v>
      </c>
      <c r="I121" s="46">
        <f t="shared" si="35"/>
        <v>0.13</v>
      </c>
      <c r="J121" s="43">
        <f>Table153643454611[[#This Row],[Total Healthcare Expenditures
(All Categories):
Base Scenario]]*Table153643454611[[#This Row],[Smoking-Attributable Fraction (SAF) of Healthcare Expenditures
Base Scenario]]</f>
        <v>203958000</v>
      </c>
      <c r="K121" s="43">
        <f>Table153643454611[[#This Row],[Total Healthcare Expenditures
(All Categories):
Base Scenario]]*Table153643454611[[#This Row],[Smoking-Attributable Fraction (SAF) of Healthcare Expenditures: Lower Bound
Base Scenario]]</f>
        <v>173742000</v>
      </c>
      <c r="L121" s="43">
        <f>Table153643454611[[#This Row],[Total Healthcare Expenditures
(All Categories):
Base Scenario]]*Table153643454611[[#This Row],[Smoking-Attributable Fraction (SAF) of Healthcare Expenditures: Upper Bound
Base Scenario]]</f>
        <v>327340000</v>
      </c>
      <c r="M121" s="43">
        <f>Table153643454611[[#This Row],[Total Government Healthcare Expenditures
(including national insurance):
Base Scenario]]*Table153643454611[[#This Row],[Smoking-Attributable Fraction (SAF) of Healthcare Expenditures
Base Scenario]]</f>
        <v>73953000</v>
      </c>
      <c r="N121" s="43">
        <f>Table153643454611[[#This Row],[Total Government Healthcare Expenditures
(including national insurance):
Base Scenario]]*Table153643454611[[#This Row],[Smoking-Attributable Fraction (SAF) of Healthcare Expenditures: Lower Bound
Base Scenario]]</f>
        <v>62997000.000000007</v>
      </c>
      <c r="O121" s="43">
        <f>Table153643454611[[#This Row],[Total Government Healthcare Expenditures
(including national insurance):
Base Scenario]]*Table153643454611[[#This Row],[Smoking-Attributable Fraction (SAF) of Healthcare Expenditures: Upper Bound
Base Scenario]]</f>
        <v>118690000</v>
      </c>
      <c r="P121" s="43">
        <f>Table153643454611[[#This Row],[Total Private (Out-of-Pocket) Healthcare Expenditures:
Base Scenario]]*Table153643454611[[#This Row],[Smoking-Attributable Fraction (SAF) of Healthcare Expenditures
Base Scenario]]</f>
        <v>116883000</v>
      </c>
      <c r="Q121" s="43">
        <f>Table153643454611[[#This Row],[Total Private (Out-of-Pocket) Healthcare Expenditures:
Base Scenario]]*Table153643454611[[#This Row],[Smoking-Attributable Fraction (SAF) of Healthcare Expenditures: Lower Bound
Base Scenario]]</f>
        <v>99567000.000000015</v>
      </c>
      <c r="R121" s="43">
        <f>Table153643454611[[#This Row],[Total Private (Out-of-Pocket) Healthcare Expenditures:
Base Scenario]]*Table153643454611[[#This Row],[Smoking-Attributable Fraction (SAF) of Healthcare Expenditures: Upper Bound
Base Scenario]]</f>
        <v>187590000</v>
      </c>
      <c r="S121" s="43">
        <f>Table153643454611[[#This Row],[Total Other Health Expenditures:
Base Scenario]]*Table153643454611[[#This Row],[Smoking-Attributable Fraction (SAF) of Healthcare Expenditures
Base Scenario]]</f>
        <v>13122000</v>
      </c>
      <c r="T121" s="43">
        <f>Table153643454611[[#This Row],[Total Other Health Expenditures:
Base Scenario]]*Table153643454611[[#This Row],[Smoking-Attributable Fraction (SAF) of Healthcare Expenditures: Lower Bound
Base Scenario]]</f>
        <v>11178000.000000002</v>
      </c>
      <c r="U121" s="43">
        <f>Table153643454611[[#This Row],[Total Other Health Expenditures:
Base Scenario]]*Table153643454611[[#This Row],[Smoking-Attributable Fraction (SAF) of Healthcare Expenditures: Upper Bound
Base Scenario]]</f>
        <v>21060000</v>
      </c>
      <c r="V121" s="62">
        <v>-1.9999999999999987E-3</v>
      </c>
      <c r="W121" s="60">
        <f>W120*(1+Table153643454611[[#This Row],[Relative Change in Smoking Prevalence:
Enforce Marketing Restrictions]])</f>
        <v>7.1766341971741823E-2</v>
      </c>
      <c r="X121" s="60">
        <f>X120*(1+Table153643454611[[#This Row],[Relative Change in Smoking Prevalence:
Enforce Marketing Restrictions]])</f>
        <v>6.113429130926154E-2</v>
      </c>
      <c r="Y121" s="60">
        <f>Y120*(1+Table153643454611[[#This Row],[Relative Change in Smoking Prevalence:
Enforce Marketing Restrictions]])</f>
        <v>0.11518054884353626</v>
      </c>
      <c r="Z121" s="66">
        <f>Table153643454611[[#This Row],[Total Healthcare Expenditures
(All Categories):
Base Scenario]]*Table153643454611[[#This Row],[Smoking-Attributable Fraction (SAF) of Healthcare Expenditures:
Adjusted for Intervention Impacts]]</f>
        <v>180707649.0848459</v>
      </c>
      <c r="AA121" s="64">
        <f>Table153643454611[[#This Row],[Total Healthcare Expenditures
(All Categories):
Base Scenario]]*Table153643454611[[#This Row],[Smoking-Attributable Fraction (SAF) of Healthcare Expenditures: Lower Bound
Adjusted for Intervention Impacts]]</f>
        <v>153936145.51672056</v>
      </c>
      <c r="AB121" s="66">
        <f>Table153643454611[[#This Row],[Total Healthcare Expenditures
(All Categories):
Base Scenario]]*Table153643454611[[#This Row],[Smoking-Attributable Fraction (SAF) of Healthcare Expenditures: Upper Bound
Adjusted for Intervention Impacts]]</f>
        <v>290024621.98802429</v>
      </c>
      <c r="AC121" s="66">
        <f>Table153643454611[[#This Row],[Total Government Healthcare Expenditures
(including national insurance):
Base Scenario]]*Table153643454611[[#This Row],[Smoking-Attributable Fraction (SAF) of Healthcare Expenditures:
Adjusted for Intervention Impacts]]</f>
        <v>65522670.220200285</v>
      </c>
      <c r="AD121" s="66">
        <f>Table153643454611[[#This Row],[Total Government Healthcare Expenditures
(including national insurance):
Base Scenario]]*Table153643454611[[#This Row],[Smoking-Attributable Fraction (SAF) of Healthcare Expenditures: Lower Bound
Adjusted for Intervention Impacts]]</f>
        <v>55815607.965355784</v>
      </c>
      <c r="AE121" s="66">
        <f>Table153643454611[[#This Row],[Total Government Healthcare Expenditures
(including national insurance):
Base Scenario]]*Table153643454611[[#This Row],[Smoking-Attributable Fraction (SAF) of Healthcare Expenditures: Upper Bound
Adjusted for Intervention Impacts]]</f>
        <v>105159841.09414861</v>
      </c>
      <c r="AF121" s="66">
        <f>Table153643454611[[#This Row],[Total Private (Out-of-Pocket) Healthcare Expenditures:
Base Scenario]]*Table153643454611[[#This Row],[Smoking-Attributable Fraction (SAF) of Healthcare Expenditures:
Adjusted for Intervention Impacts]]</f>
        <v>103558831.46522345</v>
      </c>
      <c r="AG121" s="66">
        <f>Table153643454611[[#This Row],[Total Private (Out-of-Pocket) Healthcare Expenditures:
Base Scenario]]*Table153643454611[[#This Row],[Smoking-Attributable Fraction (SAF) of Healthcare Expenditures: Lower Bound
Adjusted for Intervention Impacts]]</f>
        <v>88216782.359264404</v>
      </c>
      <c r="AH121" s="66">
        <f>Table153643454611[[#This Row],[Total Private (Out-of-Pocket) Healthcare Expenditures:
Base Scenario]]*Table153643454611[[#This Row],[Smoking-Attributable Fraction (SAF) of Healthcare Expenditures: Upper Bound
Adjusted for Intervention Impacts]]</f>
        <v>166205531.98122284</v>
      </c>
      <c r="AI121" s="65">
        <f>Table153643454611[[#This Row],[Total Other Health Expenditures:
Base Scenario]]*Table153643454611[[#This Row],[Smoking-Attributable Fraction (SAF) of Healthcare Expenditures:
Adjusted for Intervention Impacts]]</f>
        <v>11626147.399422176</v>
      </c>
      <c r="AJ121" s="65">
        <f>Table153643454611[[#This Row],[Total Other Health Expenditures:
Base Scenario]]*Table153643454611[[#This Row],[Smoking-Attributable Fraction (SAF) of Healthcare Expenditures: Lower Bound
Adjusted for Intervention Impacts]]</f>
        <v>9903755.1921003703</v>
      </c>
      <c r="AK121" s="65">
        <f>Table153643454611[[#This Row],[Total Other Health Expenditures:
Base Scenario]]*Table153643454611[[#This Row],[Smoking-Attributable Fraction (SAF) of Healthcare Expenditures: Upper Bound
Adjusted for Intervention Impacts]]</f>
        <v>18659248.912652876</v>
      </c>
      <c r="AL121" s="76">
        <f>Table153643454611[[#This Row],[Smoking-Attributable Total Healthcare Expenditures:
Base Scenario]]-Table153643454611[[#This Row],[Smoking-Attributable Total Healthcare Expenditures:
Intervention Scenario]]</f>
        <v>23250350.915154099</v>
      </c>
      <c r="AM121" s="76">
        <f>Table153643454611[[#This Row],[Smoking-Attributable Total Healthcare Expenditures: Lower Bound
Base Scenario]]-Table153643454611[[#This Row],[Smoking-Attributable Total Healthcare Expenditures: Lower Bound
Intervention Scenario]]</f>
        <v>19805854.483279437</v>
      </c>
      <c r="AN121" s="76">
        <f>Table153643454611[[#This Row],[Smoking-Attributable Total Healthcare Expenditures: Upper Bound
Base Scenario]]-Table153643454611[[#This Row],[Smoking-Attributable Total Healthcare Expenditures: Upper Bound
Intervention Scenario]]</f>
        <v>37315378.011975706</v>
      </c>
      <c r="AO121" s="76">
        <f>Table153643454611[[#This Row],[Smoking-Attributable Government Healthcare Expenditures
(including national insurance):
Base Scenario]]-Table153643454611[[#This Row],[Smoking-Attributable Government Healthcare Expenditures
(including national insurance):
Intervention Scenario]]</f>
        <v>8430329.7797997147</v>
      </c>
      <c r="AP121" s="76">
        <f>Table153643454611[[#This Row],[Smoking-Attributable Government Healthcare Expenditures
(including national insurance): Lower Bound
Base Scenario]]-Table153643454611[[#This Row],[Smoking-Attributable Government Healthcare Expenditures
(including national insurance): Lower Bound
Intervention Scenario]]</f>
        <v>7181392.0346442237</v>
      </c>
      <c r="AQ121" s="76">
        <f>Table153643454611[[#This Row],[Smoking-Attributable Government Healthcare Expenditures
(including national insurance): Upper Bound
Base Scenario]]-Table153643454611[[#This Row],[Smoking-Attributable Government Healthcare Expenditures
(including national insurance): Upper Bound
Intervention Scenario]]</f>
        <v>13530158.905851394</v>
      </c>
      <c r="AR121" s="76">
        <f>Table153643454611[[#This Row],[Smoking-Attributable Private Healthcare Expenditures:
Base Scenario]]-Table153643454611[[#This Row],[Smoking-Attributable Private Healthcare Expenditures:
Intervention Scenario]]</f>
        <v>13324168.534776554</v>
      </c>
      <c r="AS121" s="76">
        <f>Table153643454611[[#This Row],[Smoking-Attributable Private Healthcare Expenditures: Lower Bound
Base Scenario]]-Table153643454611[[#This Row],[Smoking-Attributable Private Healthcare Expenditures: Lower Bound
Intervention Scenario]]</f>
        <v>11350217.640735611</v>
      </c>
      <c r="AT121" s="76">
        <f>Table153643454611[[#This Row],[Smoking-Attributable Private Healthcare Expenditures: Upper Bound
Base Scenario]]-Table153643454611[[#This Row],[Smoking-Attributable Private Healthcare Expenditures: Upper Bound
Intervention Scenario]]</f>
        <v>21384468.018777162</v>
      </c>
      <c r="AU121" s="76">
        <f>Table153643454611[[#This Row],[Smoking-Attributable Other Health Expenditures:
Base Scenario]]-Table153643454611[[#This Row],[Smoking-Attributable Other Health Expenditures:
Intervention Scenario]]</f>
        <v>1495852.6005778238</v>
      </c>
      <c r="AV121" s="236">
        <f>Table153643454611[[#This Row],[Smoking-Attributable Other Health Expenditures: Lower Bound
Base Scenario]]-Table153643454611[[#This Row],[Smoking-Attributable Other Health Expenditures: Lower Bound
Intervention Scenario]]</f>
        <v>1274244.8078996316</v>
      </c>
      <c r="AW121" s="236">
        <f>Table153643454611[[#This Row],[Smoking-Attributable Other Health Expenditures: Upper Bound
Base Scenario]]-Table153643454611[[#This Row],[Smoking-Attributable Other Health Expenditures: Upper Bound
Intervention Scenario]]</f>
        <v>2400751.0873471238</v>
      </c>
    </row>
    <row r="125" spans="2:49" ht="21">
      <c r="B125" s="81" t="s">
        <v>118</v>
      </c>
    </row>
    <row r="126" spans="2:49" ht="17.25">
      <c r="B126" s="41"/>
    </row>
    <row r="127" spans="2:49" ht="90.95" customHeight="1">
      <c r="B127" s="71"/>
      <c r="C127" s="167"/>
      <c r="D127" s="100"/>
      <c r="E127" s="100"/>
      <c r="F127" s="100"/>
      <c r="G127" s="69"/>
      <c r="I127" s="100"/>
      <c r="J127" s="167"/>
      <c r="K127" s="100"/>
      <c r="O127" s="72"/>
      <c r="P127" s="72"/>
      <c r="Q127" s="72"/>
      <c r="S127" s="233"/>
      <c r="T127" s="233"/>
      <c r="U127" s="233"/>
      <c r="V127" s="68" t="s">
        <v>110</v>
      </c>
      <c r="W127" s="364" t="s">
        <v>113</v>
      </c>
      <c r="X127" s="364"/>
      <c r="Y127" s="364"/>
      <c r="Z127" s="73" t="s">
        <v>112</v>
      </c>
      <c r="AL127" s="78" t="s">
        <v>114</v>
      </c>
    </row>
    <row r="128" spans="2:49" ht="17.25">
      <c r="B128" s="9"/>
    </row>
    <row r="129" spans="2:49" ht="110.25">
      <c r="B129" s="33" t="s">
        <v>81</v>
      </c>
      <c r="C129" s="57" t="s">
        <v>104</v>
      </c>
      <c r="D129" s="57" t="s">
        <v>103</v>
      </c>
      <c r="E129" s="57" t="s">
        <v>283</v>
      </c>
      <c r="F129" s="57" t="s">
        <v>105</v>
      </c>
      <c r="G129" s="33" t="s">
        <v>381</v>
      </c>
      <c r="H129" s="33" t="s">
        <v>373</v>
      </c>
      <c r="I129" s="33" t="s">
        <v>372</v>
      </c>
      <c r="J129" s="57" t="s">
        <v>94</v>
      </c>
      <c r="K129" s="57" t="s">
        <v>382</v>
      </c>
      <c r="L129" s="57" t="s">
        <v>383</v>
      </c>
      <c r="M129" s="57" t="s">
        <v>95</v>
      </c>
      <c r="N129" s="57" t="s">
        <v>384</v>
      </c>
      <c r="O129" s="57" t="s">
        <v>385</v>
      </c>
      <c r="P129" s="57" t="s">
        <v>96</v>
      </c>
      <c r="Q129" s="57" t="s">
        <v>386</v>
      </c>
      <c r="R129" s="57" t="s">
        <v>387</v>
      </c>
      <c r="S129" s="57" t="s">
        <v>97</v>
      </c>
      <c r="T129" s="57" t="s">
        <v>388</v>
      </c>
      <c r="U129" s="57" t="s">
        <v>389</v>
      </c>
      <c r="V129" s="63" t="s">
        <v>74</v>
      </c>
      <c r="W129" s="58" t="s">
        <v>98</v>
      </c>
      <c r="X129" s="58" t="s">
        <v>390</v>
      </c>
      <c r="Y129" s="58" t="s">
        <v>391</v>
      </c>
      <c r="Z129" s="33" t="s">
        <v>99</v>
      </c>
      <c r="AA129" s="33" t="s">
        <v>392</v>
      </c>
      <c r="AB129" s="33" t="s">
        <v>393</v>
      </c>
      <c r="AC129" s="33" t="s">
        <v>100</v>
      </c>
      <c r="AD129" s="33" t="s">
        <v>394</v>
      </c>
      <c r="AE129" s="33" t="s">
        <v>395</v>
      </c>
      <c r="AF129" s="33" t="s">
        <v>101</v>
      </c>
      <c r="AG129" s="33" t="s">
        <v>396</v>
      </c>
      <c r="AH129" s="33" t="s">
        <v>397</v>
      </c>
      <c r="AI129" s="33" t="s">
        <v>102</v>
      </c>
      <c r="AJ129" s="33" t="s">
        <v>398</v>
      </c>
      <c r="AK129" s="33" t="s">
        <v>399</v>
      </c>
      <c r="AL129" s="77" t="s">
        <v>106</v>
      </c>
      <c r="AM129" s="77" t="s">
        <v>400</v>
      </c>
      <c r="AN129" s="77" t="s">
        <v>401</v>
      </c>
      <c r="AO129" s="77" t="s">
        <v>107</v>
      </c>
      <c r="AP129" s="77" t="s">
        <v>402</v>
      </c>
      <c r="AQ129" s="77" t="s">
        <v>403</v>
      </c>
      <c r="AR129" s="77" t="s">
        <v>108</v>
      </c>
      <c r="AS129" s="77" t="s">
        <v>404</v>
      </c>
      <c r="AT129" s="77" t="s">
        <v>405</v>
      </c>
      <c r="AU129" s="77" t="s">
        <v>109</v>
      </c>
      <c r="AV129" s="77" t="s">
        <v>406</v>
      </c>
      <c r="AW129" s="77" t="s">
        <v>407</v>
      </c>
    </row>
    <row r="130" spans="2:49">
      <c r="B130" s="44">
        <v>0</v>
      </c>
      <c r="C130" s="45">
        <f t="shared" ref="C130:C145" si="39">$D$22</f>
        <v>2518000000</v>
      </c>
      <c r="D130" s="45">
        <f t="shared" ref="D130:D145" si="40">$D$23</f>
        <v>913000000</v>
      </c>
      <c r="E130" s="45">
        <f t="shared" ref="E130:E145" si="41">$D$24</f>
        <v>1443000000</v>
      </c>
      <c r="F130" s="45">
        <f t="shared" ref="F130:F145" si="42">$D$25</f>
        <v>162000000</v>
      </c>
      <c r="G130" s="46">
        <f t="shared" ref="G130:G145" si="43">$C$16</f>
        <v>8.1000000000000003E-2</v>
      </c>
      <c r="H130" s="46">
        <f>$C$17</f>
        <v>6.9000000000000006E-2</v>
      </c>
      <c r="I130" s="46">
        <f t="shared" ref="I130:I145" si="44">$C$18</f>
        <v>0.13</v>
      </c>
      <c r="J130" s="42">
        <f>Table153643454613[[#This Row],[Total Healthcare Expenditures
(All Categories):
Base Scenario]]*Table153643454613[[#This Row],[Smoking-Attributable Fraction (SAF) of Healthcare Expenditures
Base Scenario]]</f>
        <v>203958000</v>
      </c>
      <c r="K130" s="42">
        <f>Table153643454613[[#This Row],[Total Healthcare Expenditures
(All Categories):
Base Scenario]]*Table153643454613[[#This Row],[Smoking-Attributable Fraction (SAF) of Healthcare Expenditures: Lower Bound
Base Scenario]]</f>
        <v>173742000</v>
      </c>
      <c r="L130" s="42">
        <f>Table153643454613[[#This Row],[Total Healthcare Expenditures
(All Categories):
Base Scenario]]*Table153643454613[[#This Row],[Smoking-Attributable Fraction (SAF) of Healthcare Expenditures: Upper Bound
Base Scenario]]</f>
        <v>327340000</v>
      </c>
      <c r="M130" s="42">
        <f>Table153643454613[[#This Row],[Total Government Healthcare Expenditures
(including national insurance):
Base Scenario]]*Table153643454613[[#This Row],[Smoking-Attributable Fraction (SAF) of Healthcare Expenditures
Base Scenario]]</f>
        <v>73953000</v>
      </c>
      <c r="N130" s="42">
        <f>Table153643454613[[#This Row],[Total Government Healthcare Expenditures
(including national insurance):
Base Scenario]]*Table153643454613[[#This Row],[Smoking-Attributable Fraction (SAF) of Healthcare Expenditures: Lower Bound
Base Scenario]]</f>
        <v>62997000.000000007</v>
      </c>
      <c r="O130" s="42">
        <f>Table153643454613[[#This Row],[Total Government Healthcare Expenditures
(including national insurance):
Base Scenario]]*Table153643454613[[#This Row],[Smoking-Attributable Fraction (SAF) of Healthcare Expenditures: Upper Bound
Base Scenario]]</f>
        <v>118690000</v>
      </c>
      <c r="P130" s="42">
        <f>Table153643454613[[#This Row],[Total Private (Out-of-Pocket) Healthcare Expenditures:
Base Scenario]]*Table153643454613[[#This Row],[Smoking-Attributable Fraction (SAF) of Healthcare Expenditures
Base Scenario]]</f>
        <v>116883000</v>
      </c>
      <c r="Q130" s="42">
        <f>Table153643454613[[#This Row],[Total Private (Out-of-Pocket) Healthcare Expenditures:
Base Scenario]]*Table153643454613[[#This Row],[Smoking-Attributable Fraction (SAF) of Healthcare Expenditures: Lower Bound
Base Scenario]]</f>
        <v>99567000.000000015</v>
      </c>
      <c r="R130" s="42">
        <f>Table153643454613[[#This Row],[Total Private (Out-of-Pocket) Healthcare Expenditures:
Base Scenario]]*Table153643454613[[#This Row],[Smoking-Attributable Fraction (SAF) of Healthcare Expenditures: Upper Bound
Base Scenario]]</f>
        <v>187590000</v>
      </c>
      <c r="S130" s="42">
        <f>Table153643454613[[#This Row],[Total Other Health Expenditures:
Base Scenario]]*Table153643454613[[#This Row],[Smoking-Attributable Fraction (SAF) of Healthcare Expenditures
Base Scenario]]</f>
        <v>13122000</v>
      </c>
      <c r="T130" s="42">
        <f>Table153643454613[[#This Row],[Total Other Health Expenditures:
Base Scenario]]*Table153643454613[[#This Row],[Smoking-Attributable Fraction (SAF) of Healthcare Expenditures: Lower Bound
Base Scenario]]</f>
        <v>11178000.000000002</v>
      </c>
      <c r="U130" s="42">
        <f>Table153643454613[[#This Row],[Total Other Health Expenditures:
Base Scenario]]*Table153643454613[[#This Row],[Smoking-Attributable Fraction (SAF) of Healthcare Expenditures: Upper Bound
Base Scenario]]</f>
        <v>21060000</v>
      </c>
      <c r="V130" s="79"/>
      <c r="W130" s="59">
        <f>$C$16</f>
        <v>8.1000000000000003E-2</v>
      </c>
      <c r="X130" s="59">
        <f t="shared" ref="X130" si="45">$C$17</f>
        <v>6.9000000000000006E-2</v>
      </c>
      <c r="Y130" s="59">
        <f t="shared" ref="Y130" si="46">$C$18</f>
        <v>0.13</v>
      </c>
      <c r="Z130" s="64">
        <f>Table153643454613[[#This Row],[Total Healthcare Expenditures
(All Categories):
Base Scenario]]*Table153643454613[[#This Row],[Smoking-Attributable Fraction (SAF) of Healthcare Expenditures:
Adjusted for Intervention Impacts]]</f>
        <v>203958000</v>
      </c>
      <c r="AA130" s="64">
        <f>Table153643454613[[#This Row],[Total Healthcare Expenditures
(All Categories):
Base Scenario]]*Table153643454613[[#This Row],[Smoking-Attributable Fraction (SAF) of Healthcare Expenditures: Lower Bound
Adjusted for Intervention Impacts]]</f>
        <v>173742000</v>
      </c>
      <c r="AB130" s="64">
        <f>Table153643454613[[#This Row],[Total Healthcare Expenditures
(All Categories):
Base Scenario]]*Table153643454613[[#This Row],[Smoking-Attributable Fraction (SAF) of Healthcare Expenditures: Upper Bound
Adjusted for Intervention Impacts]]</f>
        <v>327340000</v>
      </c>
      <c r="AC130" s="64">
        <f>Table153643454613[[#This Row],[Total Government Healthcare Expenditures
(including national insurance):
Base Scenario]]*Table153643454613[[#This Row],[Smoking-Attributable Fraction (SAF) of Healthcare Expenditures:
Adjusted for Intervention Impacts]]</f>
        <v>73953000</v>
      </c>
      <c r="AD130" s="64">
        <f>Table153643454613[[#This Row],[Total Government Healthcare Expenditures
(including national insurance):
Base Scenario]]*Table153643454613[[#This Row],[Smoking-Attributable Fraction (SAF) of Healthcare Expenditures: Lower Bound
Adjusted for Intervention Impacts]]</f>
        <v>62997000.000000007</v>
      </c>
      <c r="AE130" s="64">
        <f>Table153643454613[[#This Row],[Total Government Healthcare Expenditures
(including national insurance):
Base Scenario]]*Table153643454613[[#This Row],[Smoking-Attributable Fraction (SAF) of Healthcare Expenditures: Upper Bound
Adjusted for Intervention Impacts]]</f>
        <v>118690000</v>
      </c>
      <c r="AF130" s="64">
        <f>Table153643454613[[#This Row],[Total Private (Out-of-Pocket) Healthcare Expenditures:
Base Scenario]]*Table153643454613[[#This Row],[Smoking-Attributable Fraction (SAF) of Healthcare Expenditures:
Adjusted for Intervention Impacts]]</f>
        <v>116883000</v>
      </c>
      <c r="AG130" s="64">
        <f>Table153643454613[[#This Row],[Total Private (Out-of-Pocket) Healthcare Expenditures:
Base Scenario]]*Table153643454613[[#This Row],[Smoking-Attributable Fraction (SAF) of Healthcare Expenditures: Lower Bound
Adjusted for Intervention Impacts]]</f>
        <v>99567000.000000015</v>
      </c>
      <c r="AH130" s="64">
        <f>Table153643454613[[#This Row],[Total Private (Out-of-Pocket) Healthcare Expenditures:
Base Scenario]]*Table153643454613[[#This Row],[Smoking-Attributable Fraction (SAF) of Healthcare Expenditures: Upper Bound
Adjusted for Intervention Impacts]]</f>
        <v>187590000</v>
      </c>
      <c r="AI130" s="65">
        <f>Table153643454613[[#This Row],[Total Other Health Expenditures:
Base Scenario]]*Table153643454613[[#This Row],[Smoking-Attributable Fraction (SAF) of Healthcare Expenditures:
Adjusted for Intervention Impacts]]</f>
        <v>13122000</v>
      </c>
      <c r="AJ130" s="65">
        <f>Table153643454613[[#This Row],[Total Other Health Expenditures:
Base Scenario]]*Table153643454613[[#This Row],[Smoking-Attributable Fraction (SAF) of Healthcare Expenditures: Lower Bound
Adjusted for Intervention Impacts]]</f>
        <v>11178000.000000002</v>
      </c>
      <c r="AK130" s="65">
        <f>Table153643454613[[#This Row],[Total Other Health Expenditures:
Base Scenario]]*Table153643454613[[#This Row],[Smoking-Attributable Fraction (SAF) of Healthcare Expenditures: Upper Bound
Adjusted for Intervention Impacts]]</f>
        <v>21060000</v>
      </c>
      <c r="AL130" s="76">
        <f>Table153643454613[[#This Row],[Smoking-Attributable Total Healthcare Expenditures:
Base Scenario]]-Table153643454613[[#This Row],[Smoking-Attributable Total Healthcare Expenditures:
Intervention Scenario]]</f>
        <v>0</v>
      </c>
      <c r="AM130" s="76">
        <f>Table153643454613[[#This Row],[Smoking-Attributable Total Healthcare Expenditures: Lower Bound
Base Scenario]]-Table153643454613[[#This Row],[Smoking-Attributable Total Healthcare Expenditures: Lower Bound
Intervention Scenario]]</f>
        <v>0</v>
      </c>
      <c r="AN130" s="76">
        <f>Table153643454613[[#This Row],[Smoking-Attributable Total Healthcare Expenditures: Upper Bound
Base Scenario]]-Table153643454613[[#This Row],[Smoking-Attributable Total Healthcare Expenditures: Upper Bound
Intervention Scenario]]</f>
        <v>0</v>
      </c>
      <c r="AO130" s="76">
        <f>Table153643454613[[#This Row],[Smoking-Attributable Government Healthcare Expenditures
(including national insurance):
Base Scenario]]-Table153643454613[[#This Row],[Smoking-Attributable Government Healthcare Expenditures
(including national insurance):
Intervention Scenario]]</f>
        <v>0</v>
      </c>
      <c r="AP130"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0</v>
      </c>
      <c r="AQ130"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0</v>
      </c>
      <c r="AR130" s="76">
        <f>Table153643454613[[#This Row],[Smoking-Attributable Private Healthcare Expenditures:
Base Scenario]]-Table153643454613[[#This Row],[Smoking-Attributable Private Healthcare Expenditures:
Intervention Scenario]]</f>
        <v>0</v>
      </c>
      <c r="AS130" s="76">
        <f>Table153643454613[[#This Row],[Smoking-Attributable Private Healthcare Expenditures: Lower Bound
Base Scenario]]-Table153643454613[[#This Row],[Smoking-Attributable Private Healthcare Expenditures: Lower Bound
Intervention Scenario]]</f>
        <v>0</v>
      </c>
      <c r="AT130" s="76">
        <f>Table153643454613[[#This Row],[Smoking-Attributable Private Healthcare Expenditures: Upper Bound
Base Scenario]]-Table153643454613[[#This Row],[Smoking-Attributable Private Healthcare Expenditures: Upper Bound
Intervention Scenario]]</f>
        <v>0</v>
      </c>
      <c r="AU130" s="76">
        <f>Table153643454613[[#This Row],[Smoking-Attributable Other Health Expenditures:
Base Scenario]]-Table153643454613[[#This Row],[Smoking-Attributable Other Health Expenditures:
Intervention Scenario]]</f>
        <v>0</v>
      </c>
      <c r="AV130" s="234">
        <f>Table153643454613[[#This Row],[Smoking-Attributable Other Health Expenditures: Lower Bound
Base Scenario]]-Table153643454613[[#This Row],[Smoking-Attributable Other Health Expenditures: Lower Bound
Intervention Scenario]]</f>
        <v>0</v>
      </c>
      <c r="AW130" s="234">
        <f>Table153643454613[[#This Row],[Smoking-Attributable Other Health Expenditures: Upper Bound
Base Scenario]]-Table153643454613[[#This Row],[Smoking-Attributable Other Health Expenditures: Upper Bound
Intervention Scenario]]</f>
        <v>0</v>
      </c>
    </row>
    <row r="131" spans="2:49">
      <c r="B131" s="47">
        <v>1</v>
      </c>
      <c r="C131" s="48">
        <f t="shared" si="39"/>
        <v>2518000000</v>
      </c>
      <c r="D131" s="48">
        <f t="shared" si="40"/>
        <v>913000000</v>
      </c>
      <c r="E131" s="48">
        <f t="shared" si="41"/>
        <v>1443000000</v>
      </c>
      <c r="F131" s="48">
        <f t="shared" si="42"/>
        <v>162000000</v>
      </c>
      <c r="G131" s="232">
        <f t="shared" si="43"/>
        <v>8.1000000000000003E-2</v>
      </c>
      <c r="H131" s="46">
        <f t="shared" ref="H131:H145" si="47">$C$17</f>
        <v>6.9000000000000006E-2</v>
      </c>
      <c r="I131" s="46">
        <f t="shared" si="44"/>
        <v>0.13</v>
      </c>
      <c r="J131" s="43">
        <f>Table153643454613[[#This Row],[Total Healthcare Expenditures
(All Categories):
Base Scenario]]*Table153643454613[[#This Row],[Smoking-Attributable Fraction (SAF) of Healthcare Expenditures
Base Scenario]]</f>
        <v>203958000</v>
      </c>
      <c r="K131" s="43">
        <f>Table153643454613[[#This Row],[Total Healthcare Expenditures
(All Categories):
Base Scenario]]*Table153643454613[[#This Row],[Smoking-Attributable Fraction (SAF) of Healthcare Expenditures: Lower Bound
Base Scenario]]</f>
        <v>173742000</v>
      </c>
      <c r="L131" s="43">
        <f>Table153643454613[[#This Row],[Total Healthcare Expenditures
(All Categories):
Base Scenario]]*Table153643454613[[#This Row],[Smoking-Attributable Fraction (SAF) of Healthcare Expenditures: Upper Bound
Base Scenario]]</f>
        <v>327340000</v>
      </c>
      <c r="M131" s="43">
        <f>Table153643454613[[#This Row],[Total Government Healthcare Expenditures
(including national insurance):
Base Scenario]]*Table153643454613[[#This Row],[Smoking-Attributable Fraction (SAF) of Healthcare Expenditures
Base Scenario]]</f>
        <v>73953000</v>
      </c>
      <c r="N131" s="43">
        <f>Table153643454613[[#This Row],[Total Government Healthcare Expenditures
(including national insurance):
Base Scenario]]*Table153643454613[[#This Row],[Smoking-Attributable Fraction (SAF) of Healthcare Expenditures: Lower Bound
Base Scenario]]</f>
        <v>62997000.000000007</v>
      </c>
      <c r="O131" s="43">
        <f>Table153643454613[[#This Row],[Total Government Healthcare Expenditures
(including national insurance):
Base Scenario]]*Table153643454613[[#This Row],[Smoking-Attributable Fraction (SAF) of Healthcare Expenditures: Upper Bound
Base Scenario]]</f>
        <v>118690000</v>
      </c>
      <c r="P131" s="43">
        <f>Table153643454613[[#This Row],[Total Private (Out-of-Pocket) Healthcare Expenditures:
Base Scenario]]*Table153643454613[[#This Row],[Smoking-Attributable Fraction (SAF) of Healthcare Expenditures
Base Scenario]]</f>
        <v>116883000</v>
      </c>
      <c r="Q131" s="43">
        <f>Table153643454613[[#This Row],[Total Private (Out-of-Pocket) Healthcare Expenditures:
Base Scenario]]*Table153643454613[[#This Row],[Smoking-Attributable Fraction (SAF) of Healthcare Expenditures: Lower Bound
Base Scenario]]</f>
        <v>99567000.000000015</v>
      </c>
      <c r="R131" s="43">
        <f>Table153643454613[[#This Row],[Total Private (Out-of-Pocket) Healthcare Expenditures:
Base Scenario]]*Table153643454613[[#This Row],[Smoking-Attributable Fraction (SAF) of Healthcare Expenditures: Upper Bound
Base Scenario]]</f>
        <v>187590000</v>
      </c>
      <c r="S131" s="43">
        <f>Table153643454613[[#This Row],[Total Other Health Expenditures:
Base Scenario]]*Table153643454613[[#This Row],[Smoking-Attributable Fraction (SAF) of Healthcare Expenditures
Base Scenario]]</f>
        <v>13122000</v>
      </c>
      <c r="T131" s="43">
        <f>Table153643454613[[#This Row],[Total Other Health Expenditures:
Base Scenario]]*Table153643454613[[#This Row],[Smoking-Attributable Fraction (SAF) of Healthcare Expenditures: Lower Bound
Base Scenario]]</f>
        <v>11178000.000000002</v>
      </c>
      <c r="U131" s="43">
        <f>Table153643454613[[#This Row],[Total Other Health Expenditures:
Base Scenario]]*Table153643454613[[#This Row],[Smoking-Attributable Fraction (SAF) of Healthcare Expenditures: Upper Bound
Base Scenario]]</f>
        <v>21060000</v>
      </c>
      <c r="V131" s="61">
        <v>-1.1999999999999999E-2</v>
      </c>
      <c r="W131" s="60">
        <f>W130*(1+Table153643454613[[#This Row],[Relative Change in Smoking Prevalence:
Cigarette Package Warnings]])</f>
        <v>8.0028000000000002E-2</v>
      </c>
      <c r="X131" s="60">
        <f>X130*(1+Table153643454613[[#This Row],[Relative Change in Smoking Prevalence:
Cigarette Package Warnings]])</f>
        <v>6.817200000000001E-2</v>
      </c>
      <c r="Y131" s="60">
        <f>Y130*(1+Table153643454613[[#This Row],[Relative Change in Smoking Prevalence:
Cigarette Package Warnings]])</f>
        <v>0.12844</v>
      </c>
      <c r="Z131" s="66">
        <f>Table153643454613[[#This Row],[Total Healthcare Expenditures
(All Categories):
Base Scenario]]*Table153643454613[[#This Row],[Smoking-Attributable Fraction (SAF) of Healthcare Expenditures:
Adjusted for Intervention Impacts]]</f>
        <v>201510504</v>
      </c>
      <c r="AA131" s="64">
        <f>Table153643454613[[#This Row],[Total Healthcare Expenditures
(All Categories):
Base Scenario]]*Table153643454613[[#This Row],[Smoking-Attributable Fraction (SAF) of Healthcare Expenditures: Lower Bound
Adjusted for Intervention Impacts]]</f>
        <v>171657096.00000003</v>
      </c>
      <c r="AB131" s="66">
        <f>Table153643454613[[#This Row],[Total Healthcare Expenditures
(All Categories):
Base Scenario]]*Table153643454613[[#This Row],[Smoking-Attributable Fraction (SAF) of Healthcare Expenditures: Upper Bound
Adjusted for Intervention Impacts]]</f>
        <v>323411920</v>
      </c>
      <c r="AC131" s="66">
        <f>Table153643454613[[#This Row],[Total Government Healthcare Expenditures
(including national insurance):
Base Scenario]]*Table153643454613[[#This Row],[Smoking-Attributable Fraction (SAF) of Healthcare Expenditures:
Adjusted for Intervention Impacts]]</f>
        <v>73065564</v>
      </c>
      <c r="AD131" s="66">
        <f>Table153643454613[[#This Row],[Total Government Healthcare Expenditures
(including national insurance):
Base Scenario]]*Table153643454613[[#This Row],[Smoking-Attributable Fraction (SAF) of Healthcare Expenditures: Lower Bound
Adjusted for Intervention Impacts]]</f>
        <v>62241036.000000007</v>
      </c>
      <c r="AE131" s="66">
        <f>Table153643454613[[#This Row],[Total Government Healthcare Expenditures
(including national insurance):
Base Scenario]]*Table153643454613[[#This Row],[Smoking-Attributable Fraction (SAF) of Healthcare Expenditures: Upper Bound
Adjusted for Intervention Impacts]]</f>
        <v>117265720</v>
      </c>
      <c r="AF131" s="66">
        <f>Table153643454613[[#This Row],[Total Private (Out-of-Pocket) Healthcare Expenditures:
Base Scenario]]*Table153643454613[[#This Row],[Smoking-Attributable Fraction (SAF) of Healthcare Expenditures:
Adjusted for Intervention Impacts]]</f>
        <v>115480404</v>
      </c>
      <c r="AG131" s="66">
        <f>Table153643454613[[#This Row],[Total Private (Out-of-Pocket) Healthcare Expenditures:
Base Scenario]]*Table153643454613[[#This Row],[Smoking-Attributable Fraction (SAF) of Healthcare Expenditures: Lower Bound
Adjusted for Intervention Impacts]]</f>
        <v>98372196.000000015</v>
      </c>
      <c r="AH131" s="66">
        <f>Table153643454613[[#This Row],[Total Private (Out-of-Pocket) Healthcare Expenditures:
Base Scenario]]*Table153643454613[[#This Row],[Smoking-Attributable Fraction (SAF) of Healthcare Expenditures: Upper Bound
Adjusted for Intervention Impacts]]</f>
        <v>185338920</v>
      </c>
      <c r="AI131" s="65">
        <f>Table153643454613[[#This Row],[Total Other Health Expenditures:
Base Scenario]]*Table153643454613[[#This Row],[Smoking-Attributable Fraction (SAF) of Healthcare Expenditures:
Adjusted for Intervention Impacts]]</f>
        <v>12964536</v>
      </c>
      <c r="AJ131" s="65">
        <f>Table153643454613[[#This Row],[Total Other Health Expenditures:
Base Scenario]]*Table153643454613[[#This Row],[Smoking-Attributable Fraction (SAF) of Healthcare Expenditures: Lower Bound
Adjusted for Intervention Impacts]]</f>
        <v>11043864.000000002</v>
      </c>
      <c r="AK131" s="65">
        <f>Table153643454613[[#This Row],[Total Other Health Expenditures:
Base Scenario]]*Table153643454613[[#This Row],[Smoking-Attributable Fraction (SAF) of Healthcare Expenditures: Upper Bound
Adjusted for Intervention Impacts]]</f>
        <v>20807280</v>
      </c>
      <c r="AL131" s="76">
        <f>Table153643454613[[#This Row],[Smoking-Attributable Total Healthcare Expenditures:
Base Scenario]]-Table153643454613[[#This Row],[Smoking-Attributable Total Healthcare Expenditures:
Intervention Scenario]]</f>
        <v>2447496</v>
      </c>
      <c r="AM131" s="76">
        <f>Table153643454613[[#This Row],[Smoking-Attributable Total Healthcare Expenditures: Lower Bound
Base Scenario]]-Table153643454613[[#This Row],[Smoking-Attributable Total Healthcare Expenditures: Lower Bound
Intervention Scenario]]</f>
        <v>2084903.9999999702</v>
      </c>
      <c r="AN131" s="76">
        <f>Table153643454613[[#This Row],[Smoking-Attributable Total Healthcare Expenditures: Upper Bound
Base Scenario]]-Table153643454613[[#This Row],[Smoking-Attributable Total Healthcare Expenditures: Upper Bound
Intervention Scenario]]</f>
        <v>3928080</v>
      </c>
      <c r="AO131" s="76">
        <f>Table153643454613[[#This Row],[Smoking-Attributable Government Healthcare Expenditures
(including national insurance):
Base Scenario]]-Table153643454613[[#This Row],[Smoking-Attributable Government Healthcare Expenditures
(including national insurance):
Intervention Scenario]]</f>
        <v>887436</v>
      </c>
      <c r="AP131"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755964</v>
      </c>
      <c r="AQ131"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1424280</v>
      </c>
      <c r="AR131" s="76">
        <f>Table153643454613[[#This Row],[Smoking-Attributable Private Healthcare Expenditures:
Base Scenario]]-Table153643454613[[#This Row],[Smoking-Attributable Private Healthcare Expenditures:
Intervention Scenario]]</f>
        <v>1402596</v>
      </c>
      <c r="AS131" s="76">
        <f>Table153643454613[[#This Row],[Smoking-Attributable Private Healthcare Expenditures: Lower Bound
Base Scenario]]-Table153643454613[[#This Row],[Smoking-Attributable Private Healthcare Expenditures: Lower Bound
Intervention Scenario]]</f>
        <v>1194804</v>
      </c>
      <c r="AT131" s="76">
        <f>Table153643454613[[#This Row],[Smoking-Attributable Private Healthcare Expenditures: Upper Bound
Base Scenario]]-Table153643454613[[#This Row],[Smoking-Attributable Private Healthcare Expenditures: Upper Bound
Intervention Scenario]]</f>
        <v>2251080</v>
      </c>
      <c r="AU131" s="76">
        <f>Table153643454613[[#This Row],[Smoking-Attributable Other Health Expenditures:
Base Scenario]]-Table153643454613[[#This Row],[Smoking-Attributable Other Health Expenditures:
Intervention Scenario]]</f>
        <v>157464</v>
      </c>
      <c r="AV131" s="235">
        <f>Table153643454613[[#This Row],[Smoking-Attributable Other Health Expenditures: Lower Bound
Base Scenario]]-Table153643454613[[#This Row],[Smoking-Attributable Other Health Expenditures: Lower Bound
Intervention Scenario]]</f>
        <v>134136</v>
      </c>
      <c r="AW131" s="235">
        <f>Table153643454613[[#This Row],[Smoking-Attributable Other Health Expenditures: Upper Bound
Base Scenario]]-Table153643454613[[#This Row],[Smoking-Attributable Other Health Expenditures: Upper Bound
Intervention Scenario]]</f>
        <v>252720</v>
      </c>
    </row>
    <row r="132" spans="2:49">
      <c r="B132" s="47">
        <v>2</v>
      </c>
      <c r="C132" s="48">
        <f t="shared" si="39"/>
        <v>2518000000</v>
      </c>
      <c r="D132" s="48">
        <f t="shared" si="40"/>
        <v>913000000</v>
      </c>
      <c r="E132" s="48">
        <f t="shared" si="41"/>
        <v>1443000000</v>
      </c>
      <c r="F132" s="48">
        <f t="shared" si="42"/>
        <v>162000000</v>
      </c>
      <c r="G132" s="232">
        <f t="shared" si="43"/>
        <v>8.1000000000000003E-2</v>
      </c>
      <c r="H132" s="46">
        <f t="shared" si="47"/>
        <v>6.9000000000000006E-2</v>
      </c>
      <c r="I132" s="46">
        <f t="shared" si="44"/>
        <v>0.13</v>
      </c>
      <c r="J132" s="43">
        <f>Table153643454613[[#This Row],[Total Healthcare Expenditures
(All Categories):
Base Scenario]]*Table153643454613[[#This Row],[Smoking-Attributable Fraction (SAF) of Healthcare Expenditures
Base Scenario]]</f>
        <v>203958000</v>
      </c>
      <c r="K132" s="43">
        <f>Table153643454613[[#This Row],[Total Healthcare Expenditures
(All Categories):
Base Scenario]]*Table153643454613[[#This Row],[Smoking-Attributable Fraction (SAF) of Healthcare Expenditures: Lower Bound
Base Scenario]]</f>
        <v>173742000</v>
      </c>
      <c r="L132" s="43">
        <f>Table153643454613[[#This Row],[Total Healthcare Expenditures
(All Categories):
Base Scenario]]*Table153643454613[[#This Row],[Smoking-Attributable Fraction (SAF) of Healthcare Expenditures: Upper Bound
Base Scenario]]</f>
        <v>327340000</v>
      </c>
      <c r="M132" s="43">
        <f>Table153643454613[[#This Row],[Total Government Healthcare Expenditures
(including national insurance):
Base Scenario]]*Table153643454613[[#This Row],[Smoking-Attributable Fraction (SAF) of Healthcare Expenditures
Base Scenario]]</f>
        <v>73953000</v>
      </c>
      <c r="N132" s="43">
        <f>Table153643454613[[#This Row],[Total Government Healthcare Expenditures
(including national insurance):
Base Scenario]]*Table153643454613[[#This Row],[Smoking-Attributable Fraction (SAF) of Healthcare Expenditures: Lower Bound
Base Scenario]]</f>
        <v>62997000.000000007</v>
      </c>
      <c r="O132" s="43">
        <f>Table153643454613[[#This Row],[Total Government Healthcare Expenditures
(including national insurance):
Base Scenario]]*Table153643454613[[#This Row],[Smoking-Attributable Fraction (SAF) of Healthcare Expenditures: Upper Bound
Base Scenario]]</f>
        <v>118690000</v>
      </c>
      <c r="P132" s="43">
        <f>Table153643454613[[#This Row],[Total Private (Out-of-Pocket) Healthcare Expenditures:
Base Scenario]]*Table153643454613[[#This Row],[Smoking-Attributable Fraction (SAF) of Healthcare Expenditures
Base Scenario]]</f>
        <v>116883000</v>
      </c>
      <c r="Q132" s="43">
        <f>Table153643454613[[#This Row],[Total Private (Out-of-Pocket) Healthcare Expenditures:
Base Scenario]]*Table153643454613[[#This Row],[Smoking-Attributable Fraction (SAF) of Healthcare Expenditures: Lower Bound
Base Scenario]]</f>
        <v>99567000.000000015</v>
      </c>
      <c r="R132" s="43">
        <f>Table153643454613[[#This Row],[Total Private (Out-of-Pocket) Healthcare Expenditures:
Base Scenario]]*Table153643454613[[#This Row],[Smoking-Attributable Fraction (SAF) of Healthcare Expenditures: Upper Bound
Base Scenario]]</f>
        <v>187590000</v>
      </c>
      <c r="S132" s="43">
        <f>Table153643454613[[#This Row],[Total Other Health Expenditures:
Base Scenario]]*Table153643454613[[#This Row],[Smoking-Attributable Fraction (SAF) of Healthcare Expenditures
Base Scenario]]</f>
        <v>13122000</v>
      </c>
      <c r="T132" s="43">
        <f>Table153643454613[[#This Row],[Total Other Health Expenditures:
Base Scenario]]*Table153643454613[[#This Row],[Smoking-Attributable Fraction (SAF) of Healthcare Expenditures: Lower Bound
Base Scenario]]</f>
        <v>11178000.000000002</v>
      </c>
      <c r="U132" s="43">
        <f>Table153643454613[[#This Row],[Total Other Health Expenditures:
Base Scenario]]*Table153643454613[[#This Row],[Smoking-Attributable Fraction (SAF) of Healthcare Expenditures: Upper Bound
Base Scenario]]</f>
        <v>21060000</v>
      </c>
      <c r="V132" s="61">
        <v>-1.1999999999999999E-2</v>
      </c>
      <c r="W132" s="60">
        <f>W131*(1+Table153643454613[[#This Row],[Relative Change in Smoking Prevalence:
Cigarette Package Warnings]])</f>
        <v>7.9067663999999996E-2</v>
      </c>
      <c r="X132" s="60">
        <f>X131*(1+Table153643454613[[#This Row],[Relative Change in Smoking Prevalence:
Cigarette Package Warnings]])</f>
        <v>6.7353936000000003E-2</v>
      </c>
      <c r="Y132" s="60">
        <f>Y131*(1+Table153643454613[[#This Row],[Relative Change in Smoking Prevalence:
Cigarette Package Warnings]])</f>
        <v>0.12689871999999999</v>
      </c>
      <c r="Z132" s="66">
        <f>Table153643454613[[#This Row],[Total Healthcare Expenditures
(All Categories):
Base Scenario]]*Table153643454613[[#This Row],[Smoking-Attributable Fraction (SAF) of Healthcare Expenditures:
Adjusted for Intervention Impacts]]</f>
        <v>199092377.95199999</v>
      </c>
      <c r="AA132" s="64">
        <f>Table153643454613[[#This Row],[Total Healthcare Expenditures
(All Categories):
Base Scenario]]*Table153643454613[[#This Row],[Smoking-Attributable Fraction (SAF) of Healthcare Expenditures: Lower Bound
Adjusted for Intervention Impacts]]</f>
        <v>169597210.84800002</v>
      </c>
      <c r="AB132" s="66">
        <f>Table153643454613[[#This Row],[Total Healthcare Expenditures
(All Categories):
Base Scenario]]*Table153643454613[[#This Row],[Smoking-Attributable Fraction (SAF) of Healthcare Expenditures: Upper Bound
Adjusted for Intervention Impacts]]</f>
        <v>319530976.95999998</v>
      </c>
      <c r="AC132" s="66">
        <f>Table153643454613[[#This Row],[Total Government Healthcare Expenditures
(including national insurance):
Base Scenario]]*Table153643454613[[#This Row],[Smoking-Attributable Fraction (SAF) of Healthcare Expenditures:
Adjusted for Intervention Impacts]]</f>
        <v>72188777.231999993</v>
      </c>
      <c r="AD132" s="66">
        <f>Table153643454613[[#This Row],[Total Government Healthcare Expenditures
(including national insurance):
Base Scenario]]*Table153643454613[[#This Row],[Smoking-Attributable Fraction (SAF) of Healthcare Expenditures: Lower Bound
Adjusted for Intervention Impacts]]</f>
        <v>61494143.568000004</v>
      </c>
      <c r="AE132" s="66">
        <f>Table153643454613[[#This Row],[Total Government Healthcare Expenditures
(including national insurance):
Base Scenario]]*Table153643454613[[#This Row],[Smoking-Attributable Fraction (SAF) of Healthcare Expenditures: Upper Bound
Adjusted for Intervention Impacts]]</f>
        <v>115858531.36</v>
      </c>
      <c r="AF132" s="66">
        <f>Table153643454613[[#This Row],[Total Private (Out-of-Pocket) Healthcare Expenditures:
Base Scenario]]*Table153643454613[[#This Row],[Smoking-Attributable Fraction (SAF) of Healthcare Expenditures:
Adjusted for Intervention Impacts]]</f>
        <v>114094639.152</v>
      </c>
      <c r="AG132" s="66">
        <f>Table153643454613[[#This Row],[Total Private (Out-of-Pocket) Healthcare Expenditures:
Base Scenario]]*Table153643454613[[#This Row],[Smoking-Attributable Fraction (SAF) of Healthcare Expenditures: Lower Bound
Adjusted for Intervention Impacts]]</f>
        <v>97191729.648000002</v>
      </c>
      <c r="AH132" s="66">
        <f>Table153643454613[[#This Row],[Total Private (Out-of-Pocket) Healthcare Expenditures:
Base Scenario]]*Table153643454613[[#This Row],[Smoking-Attributable Fraction (SAF) of Healthcare Expenditures: Upper Bound
Adjusted for Intervention Impacts]]</f>
        <v>183114852.95999998</v>
      </c>
      <c r="AI132" s="65">
        <f>Table153643454613[[#This Row],[Total Other Health Expenditures:
Base Scenario]]*Table153643454613[[#This Row],[Smoking-Attributable Fraction (SAF) of Healthcare Expenditures:
Adjusted for Intervention Impacts]]</f>
        <v>12808961.568</v>
      </c>
      <c r="AJ132" s="65">
        <f>Table153643454613[[#This Row],[Total Other Health Expenditures:
Base Scenario]]*Table153643454613[[#This Row],[Smoking-Attributable Fraction (SAF) of Healthcare Expenditures: Lower Bound
Adjusted for Intervention Impacts]]</f>
        <v>10911337.632000001</v>
      </c>
      <c r="AK132" s="65">
        <f>Table153643454613[[#This Row],[Total Other Health Expenditures:
Base Scenario]]*Table153643454613[[#This Row],[Smoking-Attributable Fraction (SAF) of Healthcare Expenditures: Upper Bound
Adjusted for Intervention Impacts]]</f>
        <v>20557592.640000001</v>
      </c>
      <c r="AL132" s="76">
        <f>Table153643454613[[#This Row],[Smoking-Attributable Total Healthcare Expenditures:
Base Scenario]]-Table153643454613[[#This Row],[Smoking-Attributable Total Healthcare Expenditures:
Intervention Scenario]]</f>
        <v>4865622.0480000079</v>
      </c>
      <c r="AM132" s="76">
        <f>Table153643454613[[#This Row],[Smoking-Attributable Total Healthcare Expenditures: Lower Bound
Base Scenario]]-Table153643454613[[#This Row],[Smoking-Attributable Total Healthcare Expenditures: Lower Bound
Intervention Scenario]]</f>
        <v>4144789.1519999802</v>
      </c>
      <c r="AN132" s="76">
        <f>Table153643454613[[#This Row],[Smoking-Attributable Total Healthcare Expenditures: Upper Bound
Base Scenario]]-Table153643454613[[#This Row],[Smoking-Attributable Total Healthcare Expenditures: Upper Bound
Intervention Scenario]]</f>
        <v>7809023.0400000215</v>
      </c>
      <c r="AO132" s="76">
        <f>Table153643454613[[#This Row],[Smoking-Attributable Government Healthcare Expenditures
(including national insurance):
Base Scenario]]-Table153643454613[[#This Row],[Smoking-Attributable Government Healthcare Expenditures
(including national insurance):
Intervention Scenario]]</f>
        <v>1764222.7680000067</v>
      </c>
      <c r="AP132"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1502856.4320000038</v>
      </c>
      <c r="AQ132"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2831468.6400000006</v>
      </c>
      <c r="AR132" s="76">
        <f>Table153643454613[[#This Row],[Smoking-Attributable Private Healthcare Expenditures:
Base Scenario]]-Table153643454613[[#This Row],[Smoking-Attributable Private Healthcare Expenditures:
Intervention Scenario]]</f>
        <v>2788360.8480000049</v>
      </c>
      <c r="AS132" s="76">
        <f>Table153643454613[[#This Row],[Smoking-Attributable Private Healthcare Expenditures: Lower Bound
Base Scenario]]-Table153643454613[[#This Row],[Smoking-Attributable Private Healthcare Expenditures: Lower Bound
Intervention Scenario]]</f>
        <v>2375270.352000013</v>
      </c>
      <c r="AT132" s="76">
        <f>Table153643454613[[#This Row],[Smoking-Attributable Private Healthcare Expenditures: Upper Bound
Base Scenario]]-Table153643454613[[#This Row],[Smoking-Attributable Private Healthcare Expenditures: Upper Bound
Intervention Scenario]]</f>
        <v>4475147.0400000215</v>
      </c>
      <c r="AU132" s="76">
        <f>Table153643454613[[#This Row],[Smoking-Attributable Other Health Expenditures:
Base Scenario]]-Table153643454613[[#This Row],[Smoking-Attributable Other Health Expenditures:
Intervention Scenario]]</f>
        <v>313038.43200000003</v>
      </c>
      <c r="AV132" s="235">
        <f>Table153643454613[[#This Row],[Smoking-Attributable Other Health Expenditures: Lower Bound
Base Scenario]]-Table153643454613[[#This Row],[Smoking-Attributable Other Health Expenditures: Lower Bound
Intervention Scenario]]</f>
        <v>266662.36800000072</v>
      </c>
      <c r="AW132" s="235">
        <f>Table153643454613[[#This Row],[Smoking-Attributable Other Health Expenditures: Upper Bound
Base Scenario]]-Table153643454613[[#This Row],[Smoking-Attributable Other Health Expenditures: Upper Bound
Intervention Scenario]]</f>
        <v>502407.3599999994</v>
      </c>
    </row>
    <row r="133" spans="2:49">
      <c r="B133" s="47">
        <v>3</v>
      </c>
      <c r="C133" s="48">
        <f t="shared" si="39"/>
        <v>2518000000</v>
      </c>
      <c r="D133" s="48">
        <f t="shared" si="40"/>
        <v>913000000</v>
      </c>
      <c r="E133" s="48">
        <f t="shared" si="41"/>
        <v>1443000000</v>
      </c>
      <c r="F133" s="48">
        <f t="shared" si="42"/>
        <v>162000000</v>
      </c>
      <c r="G133" s="232">
        <f t="shared" si="43"/>
        <v>8.1000000000000003E-2</v>
      </c>
      <c r="H133" s="46">
        <f t="shared" si="47"/>
        <v>6.9000000000000006E-2</v>
      </c>
      <c r="I133" s="46">
        <f t="shared" si="44"/>
        <v>0.13</v>
      </c>
      <c r="J133" s="43">
        <f>Table153643454613[[#This Row],[Total Healthcare Expenditures
(All Categories):
Base Scenario]]*Table153643454613[[#This Row],[Smoking-Attributable Fraction (SAF) of Healthcare Expenditures
Base Scenario]]</f>
        <v>203958000</v>
      </c>
      <c r="K133" s="43">
        <f>Table153643454613[[#This Row],[Total Healthcare Expenditures
(All Categories):
Base Scenario]]*Table153643454613[[#This Row],[Smoking-Attributable Fraction (SAF) of Healthcare Expenditures: Lower Bound
Base Scenario]]</f>
        <v>173742000</v>
      </c>
      <c r="L133" s="43">
        <f>Table153643454613[[#This Row],[Total Healthcare Expenditures
(All Categories):
Base Scenario]]*Table153643454613[[#This Row],[Smoking-Attributable Fraction (SAF) of Healthcare Expenditures: Upper Bound
Base Scenario]]</f>
        <v>327340000</v>
      </c>
      <c r="M133" s="43">
        <f>Table153643454613[[#This Row],[Total Government Healthcare Expenditures
(including national insurance):
Base Scenario]]*Table153643454613[[#This Row],[Smoking-Attributable Fraction (SAF) of Healthcare Expenditures
Base Scenario]]</f>
        <v>73953000</v>
      </c>
      <c r="N133" s="43">
        <f>Table153643454613[[#This Row],[Total Government Healthcare Expenditures
(including national insurance):
Base Scenario]]*Table153643454613[[#This Row],[Smoking-Attributable Fraction (SAF) of Healthcare Expenditures: Lower Bound
Base Scenario]]</f>
        <v>62997000.000000007</v>
      </c>
      <c r="O133" s="43">
        <f>Table153643454613[[#This Row],[Total Government Healthcare Expenditures
(including national insurance):
Base Scenario]]*Table153643454613[[#This Row],[Smoking-Attributable Fraction (SAF) of Healthcare Expenditures: Upper Bound
Base Scenario]]</f>
        <v>118690000</v>
      </c>
      <c r="P133" s="43">
        <f>Table153643454613[[#This Row],[Total Private (Out-of-Pocket) Healthcare Expenditures:
Base Scenario]]*Table153643454613[[#This Row],[Smoking-Attributable Fraction (SAF) of Healthcare Expenditures
Base Scenario]]</f>
        <v>116883000</v>
      </c>
      <c r="Q133" s="43">
        <f>Table153643454613[[#This Row],[Total Private (Out-of-Pocket) Healthcare Expenditures:
Base Scenario]]*Table153643454613[[#This Row],[Smoking-Attributable Fraction (SAF) of Healthcare Expenditures: Lower Bound
Base Scenario]]</f>
        <v>99567000.000000015</v>
      </c>
      <c r="R133" s="43">
        <f>Table153643454613[[#This Row],[Total Private (Out-of-Pocket) Healthcare Expenditures:
Base Scenario]]*Table153643454613[[#This Row],[Smoking-Attributable Fraction (SAF) of Healthcare Expenditures: Upper Bound
Base Scenario]]</f>
        <v>187590000</v>
      </c>
      <c r="S133" s="43">
        <f>Table153643454613[[#This Row],[Total Other Health Expenditures:
Base Scenario]]*Table153643454613[[#This Row],[Smoking-Attributable Fraction (SAF) of Healthcare Expenditures
Base Scenario]]</f>
        <v>13122000</v>
      </c>
      <c r="T133" s="43">
        <f>Table153643454613[[#This Row],[Total Other Health Expenditures:
Base Scenario]]*Table153643454613[[#This Row],[Smoking-Attributable Fraction (SAF) of Healthcare Expenditures: Lower Bound
Base Scenario]]</f>
        <v>11178000.000000002</v>
      </c>
      <c r="U133" s="43">
        <f>Table153643454613[[#This Row],[Total Other Health Expenditures:
Base Scenario]]*Table153643454613[[#This Row],[Smoking-Attributable Fraction (SAF) of Healthcare Expenditures: Upper Bound
Base Scenario]]</f>
        <v>21060000</v>
      </c>
      <c r="V133" s="61">
        <v>-1.1999999999999999E-2</v>
      </c>
      <c r="W133" s="60">
        <f>W132*(1+Table153643454613[[#This Row],[Relative Change in Smoking Prevalence:
Cigarette Package Warnings]])</f>
        <v>7.8118852031999989E-2</v>
      </c>
      <c r="X133" s="60">
        <f>X132*(1+Table153643454613[[#This Row],[Relative Change in Smoking Prevalence:
Cigarette Package Warnings]])</f>
        <v>6.6545688768000003E-2</v>
      </c>
      <c r="Y133" s="60">
        <f>Y132*(1+Table153643454613[[#This Row],[Relative Change in Smoking Prevalence:
Cigarette Package Warnings]])</f>
        <v>0.12537593536</v>
      </c>
      <c r="Z133" s="66">
        <f>Table153643454613[[#This Row],[Total Healthcare Expenditures
(All Categories):
Base Scenario]]*Table153643454613[[#This Row],[Smoking-Attributable Fraction (SAF) of Healthcare Expenditures:
Adjusted for Intervention Impacts]]</f>
        <v>196703269.41657597</v>
      </c>
      <c r="AA133" s="64">
        <f>Table153643454613[[#This Row],[Total Healthcare Expenditures
(All Categories):
Base Scenario]]*Table153643454613[[#This Row],[Smoking-Attributable Fraction (SAF) of Healthcare Expenditures: Lower Bound
Adjusted for Intervention Impacts]]</f>
        <v>167562044.31782401</v>
      </c>
      <c r="AB133" s="66">
        <f>Table153643454613[[#This Row],[Total Healthcare Expenditures
(All Categories):
Base Scenario]]*Table153643454613[[#This Row],[Smoking-Attributable Fraction (SAF) of Healthcare Expenditures: Upper Bound
Adjusted for Intervention Impacts]]</f>
        <v>315696605.23648</v>
      </c>
      <c r="AC133" s="66">
        <f>Table153643454613[[#This Row],[Total Government Healthcare Expenditures
(including national insurance):
Base Scenario]]*Table153643454613[[#This Row],[Smoking-Attributable Fraction (SAF) of Healthcare Expenditures:
Adjusted for Intervention Impacts]]</f>
        <v>71322511.905215994</v>
      </c>
      <c r="AD133" s="66">
        <f>Table153643454613[[#This Row],[Total Government Healthcare Expenditures
(including national insurance):
Base Scenario]]*Table153643454613[[#This Row],[Smoking-Attributable Fraction (SAF) of Healthcare Expenditures: Lower Bound
Adjusted for Intervention Impacts]]</f>
        <v>60756213.845184006</v>
      </c>
      <c r="AE133" s="66">
        <f>Table153643454613[[#This Row],[Total Government Healthcare Expenditures
(including national insurance):
Base Scenario]]*Table153643454613[[#This Row],[Smoking-Attributable Fraction (SAF) of Healthcare Expenditures: Upper Bound
Adjusted for Intervention Impacts]]</f>
        <v>114468228.98367999</v>
      </c>
      <c r="AF133" s="66">
        <f>Table153643454613[[#This Row],[Total Private (Out-of-Pocket) Healthcare Expenditures:
Base Scenario]]*Table153643454613[[#This Row],[Smoking-Attributable Fraction (SAF) of Healthcare Expenditures:
Adjusted for Intervention Impacts]]</f>
        <v>112725503.48217598</v>
      </c>
      <c r="AG133" s="66">
        <f>Table153643454613[[#This Row],[Total Private (Out-of-Pocket) Healthcare Expenditures:
Base Scenario]]*Table153643454613[[#This Row],[Smoking-Attributable Fraction (SAF) of Healthcare Expenditures: Lower Bound
Adjusted for Intervention Impacts]]</f>
        <v>96025428.892223999</v>
      </c>
      <c r="AH133" s="66">
        <f>Table153643454613[[#This Row],[Total Private (Out-of-Pocket) Healthcare Expenditures:
Base Scenario]]*Table153643454613[[#This Row],[Smoking-Attributable Fraction (SAF) of Healthcare Expenditures: Upper Bound
Adjusted for Intervention Impacts]]</f>
        <v>180917474.72448</v>
      </c>
      <c r="AI133" s="65">
        <f>Table153643454613[[#This Row],[Total Other Health Expenditures:
Base Scenario]]*Table153643454613[[#This Row],[Smoking-Attributable Fraction (SAF) of Healthcare Expenditures:
Adjusted for Intervention Impacts]]</f>
        <v>12655254.029183999</v>
      </c>
      <c r="AJ133" s="65">
        <f>Table153643454613[[#This Row],[Total Other Health Expenditures:
Base Scenario]]*Table153643454613[[#This Row],[Smoking-Attributable Fraction (SAF) of Healthcare Expenditures: Lower Bound
Adjusted for Intervention Impacts]]</f>
        <v>10780401.580416</v>
      </c>
      <c r="AK133" s="65">
        <f>Table153643454613[[#This Row],[Total Other Health Expenditures:
Base Scenario]]*Table153643454613[[#This Row],[Smoking-Attributable Fraction (SAF) of Healthcare Expenditures: Upper Bound
Adjusted for Intervention Impacts]]</f>
        <v>20310901.52832</v>
      </c>
      <c r="AL133" s="76">
        <f>Table153643454613[[#This Row],[Smoking-Attributable Total Healthcare Expenditures:
Base Scenario]]-Table153643454613[[#This Row],[Smoking-Attributable Total Healthcare Expenditures:
Intervention Scenario]]</f>
        <v>7254730.5834240317</v>
      </c>
      <c r="AM133" s="76">
        <f>Table153643454613[[#This Row],[Smoking-Attributable Total Healthcare Expenditures: Lower Bound
Base Scenario]]-Table153643454613[[#This Row],[Smoking-Attributable Total Healthcare Expenditures: Lower Bound
Intervention Scenario]]</f>
        <v>6179955.6821759939</v>
      </c>
      <c r="AN133" s="76">
        <f>Table153643454613[[#This Row],[Smoking-Attributable Total Healthcare Expenditures: Upper Bound
Base Scenario]]-Table153643454613[[#This Row],[Smoking-Attributable Total Healthcare Expenditures: Upper Bound
Intervention Scenario]]</f>
        <v>11643394.763520002</v>
      </c>
      <c r="AO133" s="76">
        <f>Table153643454613[[#This Row],[Smoking-Attributable Government Healthcare Expenditures
(including national insurance):
Base Scenario]]-Table153643454613[[#This Row],[Smoking-Attributable Government Healthcare Expenditures
(including national insurance):
Intervention Scenario]]</f>
        <v>2630488.0947840065</v>
      </c>
      <c r="AP133"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2240786.1548160017</v>
      </c>
      <c r="AQ133"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4221771.0163200051</v>
      </c>
      <c r="AR133" s="76">
        <f>Table153643454613[[#This Row],[Smoking-Attributable Private Healthcare Expenditures:
Base Scenario]]-Table153643454613[[#This Row],[Smoking-Attributable Private Healthcare Expenditures:
Intervention Scenario]]</f>
        <v>4157496.517824024</v>
      </c>
      <c r="AS133" s="76">
        <f>Table153643454613[[#This Row],[Smoking-Attributable Private Healthcare Expenditures: Lower Bound
Base Scenario]]-Table153643454613[[#This Row],[Smoking-Attributable Private Healthcare Expenditures: Lower Bound
Intervention Scenario]]</f>
        <v>3541571.107776016</v>
      </c>
      <c r="AT133" s="76">
        <f>Table153643454613[[#This Row],[Smoking-Attributable Private Healthcare Expenditures: Upper Bound
Base Scenario]]-Table153643454613[[#This Row],[Smoking-Attributable Private Healthcare Expenditures: Upper Bound
Intervention Scenario]]</f>
        <v>6672525.2755199969</v>
      </c>
      <c r="AU133" s="76">
        <f>Table153643454613[[#This Row],[Smoking-Attributable Other Health Expenditures:
Base Scenario]]-Table153643454613[[#This Row],[Smoking-Attributable Other Health Expenditures:
Intervention Scenario]]</f>
        <v>466745.9708160013</v>
      </c>
      <c r="AV133" s="235">
        <f>Table153643454613[[#This Row],[Smoking-Attributable Other Health Expenditures: Lower Bound
Base Scenario]]-Table153643454613[[#This Row],[Smoking-Attributable Other Health Expenditures: Lower Bound
Intervention Scenario]]</f>
        <v>397598.41958400235</v>
      </c>
      <c r="AW133" s="235">
        <f>Table153643454613[[#This Row],[Smoking-Attributable Other Health Expenditures: Upper Bound
Base Scenario]]-Table153643454613[[#This Row],[Smoking-Attributable Other Health Expenditures: Upper Bound
Intervention Scenario]]</f>
        <v>749098.47168000042</v>
      </c>
    </row>
    <row r="134" spans="2:49">
      <c r="B134" s="47">
        <v>4</v>
      </c>
      <c r="C134" s="48">
        <f t="shared" si="39"/>
        <v>2518000000</v>
      </c>
      <c r="D134" s="48">
        <f t="shared" si="40"/>
        <v>913000000</v>
      </c>
      <c r="E134" s="48">
        <f t="shared" si="41"/>
        <v>1443000000</v>
      </c>
      <c r="F134" s="48">
        <f t="shared" si="42"/>
        <v>162000000</v>
      </c>
      <c r="G134" s="232">
        <f t="shared" si="43"/>
        <v>8.1000000000000003E-2</v>
      </c>
      <c r="H134" s="46">
        <f t="shared" si="47"/>
        <v>6.9000000000000006E-2</v>
      </c>
      <c r="I134" s="46">
        <f t="shared" si="44"/>
        <v>0.13</v>
      </c>
      <c r="J134" s="43">
        <f>Table153643454613[[#This Row],[Total Healthcare Expenditures
(All Categories):
Base Scenario]]*Table153643454613[[#This Row],[Smoking-Attributable Fraction (SAF) of Healthcare Expenditures
Base Scenario]]</f>
        <v>203958000</v>
      </c>
      <c r="K134" s="43">
        <f>Table153643454613[[#This Row],[Total Healthcare Expenditures
(All Categories):
Base Scenario]]*Table153643454613[[#This Row],[Smoking-Attributable Fraction (SAF) of Healthcare Expenditures: Lower Bound
Base Scenario]]</f>
        <v>173742000</v>
      </c>
      <c r="L134" s="43">
        <f>Table153643454613[[#This Row],[Total Healthcare Expenditures
(All Categories):
Base Scenario]]*Table153643454613[[#This Row],[Smoking-Attributable Fraction (SAF) of Healthcare Expenditures: Upper Bound
Base Scenario]]</f>
        <v>327340000</v>
      </c>
      <c r="M134" s="43">
        <f>Table153643454613[[#This Row],[Total Government Healthcare Expenditures
(including national insurance):
Base Scenario]]*Table153643454613[[#This Row],[Smoking-Attributable Fraction (SAF) of Healthcare Expenditures
Base Scenario]]</f>
        <v>73953000</v>
      </c>
      <c r="N134" s="43">
        <f>Table153643454613[[#This Row],[Total Government Healthcare Expenditures
(including national insurance):
Base Scenario]]*Table153643454613[[#This Row],[Smoking-Attributable Fraction (SAF) of Healthcare Expenditures: Lower Bound
Base Scenario]]</f>
        <v>62997000.000000007</v>
      </c>
      <c r="O134" s="43">
        <f>Table153643454613[[#This Row],[Total Government Healthcare Expenditures
(including national insurance):
Base Scenario]]*Table153643454613[[#This Row],[Smoking-Attributable Fraction (SAF) of Healthcare Expenditures: Upper Bound
Base Scenario]]</f>
        <v>118690000</v>
      </c>
      <c r="P134" s="43">
        <f>Table153643454613[[#This Row],[Total Private (Out-of-Pocket) Healthcare Expenditures:
Base Scenario]]*Table153643454613[[#This Row],[Smoking-Attributable Fraction (SAF) of Healthcare Expenditures
Base Scenario]]</f>
        <v>116883000</v>
      </c>
      <c r="Q134" s="43">
        <f>Table153643454613[[#This Row],[Total Private (Out-of-Pocket) Healthcare Expenditures:
Base Scenario]]*Table153643454613[[#This Row],[Smoking-Attributable Fraction (SAF) of Healthcare Expenditures: Lower Bound
Base Scenario]]</f>
        <v>99567000.000000015</v>
      </c>
      <c r="R134" s="43">
        <f>Table153643454613[[#This Row],[Total Private (Out-of-Pocket) Healthcare Expenditures:
Base Scenario]]*Table153643454613[[#This Row],[Smoking-Attributable Fraction (SAF) of Healthcare Expenditures: Upper Bound
Base Scenario]]</f>
        <v>187590000</v>
      </c>
      <c r="S134" s="43">
        <f>Table153643454613[[#This Row],[Total Other Health Expenditures:
Base Scenario]]*Table153643454613[[#This Row],[Smoking-Attributable Fraction (SAF) of Healthcare Expenditures
Base Scenario]]</f>
        <v>13122000</v>
      </c>
      <c r="T134" s="43">
        <f>Table153643454613[[#This Row],[Total Other Health Expenditures:
Base Scenario]]*Table153643454613[[#This Row],[Smoking-Attributable Fraction (SAF) of Healthcare Expenditures: Lower Bound
Base Scenario]]</f>
        <v>11178000.000000002</v>
      </c>
      <c r="U134" s="43">
        <f>Table153643454613[[#This Row],[Total Other Health Expenditures:
Base Scenario]]*Table153643454613[[#This Row],[Smoking-Attributable Fraction (SAF) of Healthcare Expenditures: Upper Bound
Base Scenario]]</f>
        <v>21060000</v>
      </c>
      <c r="V134" s="61">
        <v>-1.1999999999999999E-2</v>
      </c>
      <c r="W134" s="60">
        <f>W133*(1+Table153643454613[[#This Row],[Relative Change in Smoking Prevalence:
Cigarette Package Warnings]])</f>
        <v>7.7181425807615986E-2</v>
      </c>
      <c r="X134" s="60">
        <f>X133*(1+Table153643454613[[#This Row],[Relative Change in Smoking Prevalence:
Cigarette Package Warnings]])</f>
        <v>6.5747140502784004E-2</v>
      </c>
      <c r="Y134" s="60">
        <f>Y133*(1+Table153643454613[[#This Row],[Relative Change in Smoking Prevalence:
Cigarette Package Warnings]])</f>
        <v>0.12387142413567999</v>
      </c>
      <c r="Z134" s="66">
        <f>Table153643454613[[#This Row],[Total Healthcare Expenditures
(All Categories):
Base Scenario]]*Table153643454613[[#This Row],[Smoking-Attributable Fraction (SAF) of Healthcare Expenditures:
Adjusted for Intervention Impacts]]</f>
        <v>194342830.18357706</v>
      </c>
      <c r="AA134" s="64">
        <f>Table153643454613[[#This Row],[Total Healthcare Expenditures
(All Categories):
Base Scenario]]*Table153643454613[[#This Row],[Smoking-Attributable Fraction (SAF) of Healthcare Expenditures: Lower Bound
Adjusted for Intervention Impacts]]</f>
        <v>165551299.78601012</v>
      </c>
      <c r="AB134" s="66">
        <f>Table153643454613[[#This Row],[Total Healthcare Expenditures
(All Categories):
Base Scenario]]*Table153643454613[[#This Row],[Smoking-Attributable Fraction (SAF) of Healthcare Expenditures: Upper Bound
Adjusted for Intervention Impacts]]</f>
        <v>311908245.97364223</v>
      </c>
      <c r="AC134" s="66">
        <f>Table153643454613[[#This Row],[Total Government Healthcare Expenditures
(including national insurance):
Base Scenario]]*Table153643454613[[#This Row],[Smoking-Attributable Fraction (SAF) of Healthcare Expenditures:
Adjusted for Intervention Impacts]]</f>
        <v>70466641.76235339</v>
      </c>
      <c r="AD134" s="66">
        <f>Table153643454613[[#This Row],[Total Government Healthcare Expenditures
(including national insurance):
Base Scenario]]*Table153643454613[[#This Row],[Smoking-Attributable Fraction (SAF) of Healthcare Expenditures: Lower Bound
Adjusted for Intervention Impacts]]</f>
        <v>60027139.279041797</v>
      </c>
      <c r="AE134" s="66">
        <f>Table153643454613[[#This Row],[Total Government Healthcare Expenditures
(including national insurance):
Base Scenario]]*Table153643454613[[#This Row],[Smoking-Attributable Fraction (SAF) of Healthcare Expenditures: Upper Bound
Adjusted for Intervention Impacts]]</f>
        <v>113094610.23587583</v>
      </c>
      <c r="AF134" s="66">
        <f>Table153643454613[[#This Row],[Total Private (Out-of-Pocket) Healthcare Expenditures:
Base Scenario]]*Table153643454613[[#This Row],[Smoking-Attributable Fraction (SAF) of Healthcare Expenditures:
Adjusted for Intervention Impacts]]</f>
        <v>111372797.44038987</v>
      </c>
      <c r="AG134" s="66">
        <f>Table153643454613[[#This Row],[Total Private (Out-of-Pocket) Healthcare Expenditures:
Base Scenario]]*Table153643454613[[#This Row],[Smoking-Attributable Fraction (SAF) of Healthcare Expenditures: Lower Bound
Adjusted for Intervention Impacts]]</f>
        <v>94873123.745517313</v>
      </c>
      <c r="AH134" s="66">
        <f>Table153643454613[[#This Row],[Total Private (Out-of-Pocket) Healthcare Expenditures:
Base Scenario]]*Table153643454613[[#This Row],[Smoking-Attributable Fraction (SAF) of Healthcare Expenditures: Upper Bound
Adjusted for Intervention Impacts]]</f>
        <v>178746465.02778623</v>
      </c>
      <c r="AI134" s="65">
        <f>Table153643454613[[#This Row],[Total Other Health Expenditures:
Base Scenario]]*Table153643454613[[#This Row],[Smoking-Attributable Fraction (SAF) of Healthcare Expenditures:
Adjusted for Intervention Impacts]]</f>
        <v>12503390.980833789</v>
      </c>
      <c r="AJ134" s="65">
        <f>Table153643454613[[#This Row],[Total Other Health Expenditures:
Base Scenario]]*Table153643454613[[#This Row],[Smoking-Attributable Fraction (SAF) of Healthcare Expenditures: Lower Bound
Adjusted for Intervention Impacts]]</f>
        <v>10651036.761451008</v>
      </c>
      <c r="AK134" s="65">
        <f>Table153643454613[[#This Row],[Total Other Health Expenditures:
Base Scenario]]*Table153643454613[[#This Row],[Smoking-Attributable Fraction (SAF) of Healthcare Expenditures: Upper Bound
Adjusted for Intervention Impacts]]</f>
        <v>20067170.70998016</v>
      </c>
      <c r="AL134" s="76">
        <f>Table153643454613[[#This Row],[Smoking-Attributable Total Healthcare Expenditures:
Base Scenario]]-Table153643454613[[#This Row],[Smoking-Attributable Total Healthcare Expenditures:
Intervention Scenario]]</f>
        <v>9615169.8164229393</v>
      </c>
      <c r="AM134" s="76">
        <f>Table153643454613[[#This Row],[Smoking-Attributable Total Healthcare Expenditures: Lower Bound
Base Scenario]]-Table153643454613[[#This Row],[Smoking-Attributable Total Healthcare Expenditures: Lower Bound
Intervention Scenario]]</f>
        <v>8190700.2139898837</v>
      </c>
      <c r="AN134" s="76">
        <f>Table153643454613[[#This Row],[Smoking-Attributable Total Healthcare Expenditures: Upper Bound
Base Scenario]]-Table153643454613[[#This Row],[Smoking-Attributable Total Healthcare Expenditures: Upper Bound
Intervention Scenario]]</f>
        <v>15431754.02635777</v>
      </c>
      <c r="AO134" s="76">
        <f>Table153643454613[[#This Row],[Smoking-Attributable Government Healthcare Expenditures
(including national insurance):
Base Scenario]]-Table153643454613[[#This Row],[Smoking-Attributable Government Healthcare Expenditures
(including national insurance):
Intervention Scenario]]</f>
        <v>3486358.2376466095</v>
      </c>
      <c r="AP134"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2969860.7209582105</v>
      </c>
      <c r="AQ134"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5595389.7641241699</v>
      </c>
      <c r="AR134" s="76">
        <f>Table153643454613[[#This Row],[Smoking-Attributable Private Healthcare Expenditures:
Base Scenario]]-Table153643454613[[#This Row],[Smoking-Attributable Private Healthcare Expenditures:
Intervention Scenario]]</f>
        <v>5510202.5596101284</v>
      </c>
      <c r="AS134" s="76">
        <f>Table153643454613[[#This Row],[Smoking-Attributable Private Healthcare Expenditures: Lower Bound
Base Scenario]]-Table153643454613[[#This Row],[Smoking-Attributable Private Healthcare Expenditures: Lower Bound
Intervention Scenario]]</f>
        <v>4693876.2544827014</v>
      </c>
      <c r="AT134" s="76">
        <f>Table153643454613[[#This Row],[Smoking-Attributable Private Healthcare Expenditures: Upper Bound
Base Scenario]]-Table153643454613[[#This Row],[Smoking-Attributable Private Healthcare Expenditures: Upper Bound
Intervention Scenario]]</f>
        <v>8843534.9722137749</v>
      </c>
      <c r="AU134" s="76">
        <f>Table153643454613[[#This Row],[Smoking-Attributable Other Health Expenditures:
Base Scenario]]-Table153643454613[[#This Row],[Smoking-Attributable Other Health Expenditures:
Intervention Scenario]]</f>
        <v>618609.01916621067</v>
      </c>
      <c r="AV134" s="235">
        <f>Table153643454613[[#This Row],[Smoking-Attributable Other Health Expenditures: Lower Bound
Base Scenario]]-Table153643454613[[#This Row],[Smoking-Attributable Other Health Expenditures: Lower Bound
Intervention Scenario]]</f>
        <v>526963.23854899406</v>
      </c>
      <c r="AW134" s="235">
        <f>Table153643454613[[#This Row],[Smoking-Attributable Other Health Expenditures: Upper Bound
Base Scenario]]-Table153643454613[[#This Row],[Smoking-Attributable Other Health Expenditures: Upper Bound
Intervention Scenario]]</f>
        <v>992829.29001984</v>
      </c>
    </row>
    <row r="135" spans="2:49">
      <c r="B135" s="47">
        <v>5</v>
      </c>
      <c r="C135" s="48">
        <f t="shared" si="39"/>
        <v>2518000000</v>
      </c>
      <c r="D135" s="48">
        <f t="shared" si="40"/>
        <v>913000000</v>
      </c>
      <c r="E135" s="48">
        <f t="shared" si="41"/>
        <v>1443000000</v>
      </c>
      <c r="F135" s="48">
        <f t="shared" si="42"/>
        <v>162000000</v>
      </c>
      <c r="G135" s="232">
        <f t="shared" si="43"/>
        <v>8.1000000000000003E-2</v>
      </c>
      <c r="H135" s="46">
        <f t="shared" si="47"/>
        <v>6.9000000000000006E-2</v>
      </c>
      <c r="I135" s="46">
        <f t="shared" si="44"/>
        <v>0.13</v>
      </c>
      <c r="J135" s="43">
        <f>Table153643454613[[#This Row],[Total Healthcare Expenditures
(All Categories):
Base Scenario]]*Table153643454613[[#This Row],[Smoking-Attributable Fraction (SAF) of Healthcare Expenditures
Base Scenario]]</f>
        <v>203958000</v>
      </c>
      <c r="K135" s="43">
        <f>Table153643454613[[#This Row],[Total Healthcare Expenditures
(All Categories):
Base Scenario]]*Table153643454613[[#This Row],[Smoking-Attributable Fraction (SAF) of Healthcare Expenditures: Lower Bound
Base Scenario]]</f>
        <v>173742000</v>
      </c>
      <c r="L135" s="43">
        <f>Table153643454613[[#This Row],[Total Healthcare Expenditures
(All Categories):
Base Scenario]]*Table153643454613[[#This Row],[Smoking-Attributable Fraction (SAF) of Healthcare Expenditures: Upper Bound
Base Scenario]]</f>
        <v>327340000</v>
      </c>
      <c r="M135" s="43">
        <f>Table153643454613[[#This Row],[Total Government Healthcare Expenditures
(including national insurance):
Base Scenario]]*Table153643454613[[#This Row],[Smoking-Attributable Fraction (SAF) of Healthcare Expenditures
Base Scenario]]</f>
        <v>73953000</v>
      </c>
      <c r="N135" s="43">
        <f>Table153643454613[[#This Row],[Total Government Healthcare Expenditures
(including national insurance):
Base Scenario]]*Table153643454613[[#This Row],[Smoking-Attributable Fraction (SAF) of Healthcare Expenditures: Lower Bound
Base Scenario]]</f>
        <v>62997000.000000007</v>
      </c>
      <c r="O135" s="43">
        <f>Table153643454613[[#This Row],[Total Government Healthcare Expenditures
(including national insurance):
Base Scenario]]*Table153643454613[[#This Row],[Smoking-Attributable Fraction (SAF) of Healthcare Expenditures: Upper Bound
Base Scenario]]</f>
        <v>118690000</v>
      </c>
      <c r="P135" s="43">
        <f>Table153643454613[[#This Row],[Total Private (Out-of-Pocket) Healthcare Expenditures:
Base Scenario]]*Table153643454613[[#This Row],[Smoking-Attributable Fraction (SAF) of Healthcare Expenditures
Base Scenario]]</f>
        <v>116883000</v>
      </c>
      <c r="Q135" s="43">
        <f>Table153643454613[[#This Row],[Total Private (Out-of-Pocket) Healthcare Expenditures:
Base Scenario]]*Table153643454613[[#This Row],[Smoking-Attributable Fraction (SAF) of Healthcare Expenditures: Lower Bound
Base Scenario]]</f>
        <v>99567000.000000015</v>
      </c>
      <c r="R135" s="43">
        <f>Table153643454613[[#This Row],[Total Private (Out-of-Pocket) Healthcare Expenditures:
Base Scenario]]*Table153643454613[[#This Row],[Smoking-Attributable Fraction (SAF) of Healthcare Expenditures: Upper Bound
Base Scenario]]</f>
        <v>187590000</v>
      </c>
      <c r="S135" s="43">
        <f>Table153643454613[[#This Row],[Total Other Health Expenditures:
Base Scenario]]*Table153643454613[[#This Row],[Smoking-Attributable Fraction (SAF) of Healthcare Expenditures
Base Scenario]]</f>
        <v>13122000</v>
      </c>
      <c r="T135" s="43">
        <f>Table153643454613[[#This Row],[Total Other Health Expenditures:
Base Scenario]]*Table153643454613[[#This Row],[Smoking-Attributable Fraction (SAF) of Healthcare Expenditures: Lower Bound
Base Scenario]]</f>
        <v>11178000.000000002</v>
      </c>
      <c r="U135" s="43">
        <f>Table153643454613[[#This Row],[Total Other Health Expenditures:
Base Scenario]]*Table153643454613[[#This Row],[Smoking-Attributable Fraction (SAF) of Healthcare Expenditures: Upper Bound
Base Scenario]]</f>
        <v>21060000</v>
      </c>
      <c r="V135" s="61">
        <v>-1.1999999999999999E-2</v>
      </c>
      <c r="W135" s="60">
        <f>W134*(1+Table153643454613[[#This Row],[Relative Change in Smoking Prevalence:
Cigarette Package Warnings]])</f>
        <v>7.6255248697924591E-2</v>
      </c>
      <c r="X135" s="60">
        <f>X134*(1+Table153643454613[[#This Row],[Relative Change in Smoking Prevalence:
Cigarette Package Warnings]])</f>
        <v>6.4958174816750591E-2</v>
      </c>
      <c r="Y135" s="60">
        <f>Y134*(1+Table153643454613[[#This Row],[Relative Change in Smoking Prevalence:
Cigarette Package Warnings]])</f>
        <v>0.12238496704605183</v>
      </c>
      <c r="Z135" s="66">
        <f>Table153643454613[[#This Row],[Total Healthcare Expenditures
(All Categories):
Base Scenario]]*Table153643454613[[#This Row],[Smoking-Attributable Fraction (SAF) of Healthcare Expenditures:
Adjusted for Intervention Impacts]]</f>
        <v>192010716.22137412</v>
      </c>
      <c r="AA135" s="64">
        <f>Table153643454613[[#This Row],[Total Healthcare Expenditures
(All Categories):
Base Scenario]]*Table153643454613[[#This Row],[Smoking-Attributable Fraction (SAF) of Healthcare Expenditures: Lower Bound
Adjusted for Intervention Impacts]]</f>
        <v>163564684.18857798</v>
      </c>
      <c r="AB135" s="66">
        <f>Table153643454613[[#This Row],[Total Healthcare Expenditures
(All Categories):
Base Scenario]]*Table153643454613[[#This Row],[Smoking-Attributable Fraction (SAF) of Healthcare Expenditures: Upper Bound
Adjusted for Intervention Impacts]]</f>
        <v>308165347.02195847</v>
      </c>
      <c r="AC135" s="66">
        <f>Table153643454613[[#This Row],[Total Government Healthcare Expenditures
(including national insurance):
Base Scenario]]*Table153643454613[[#This Row],[Smoking-Attributable Fraction (SAF) of Healthcare Expenditures:
Adjusted for Intervention Impacts]]</f>
        <v>69621042.061205149</v>
      </c>
      <c r="AD135" s="66">
        <f>Table153643454613[[#This Row],[Total Government Healthcare Expenditures
(including national insurance):
Base Scenario]]*Table153643454613[[#This Row],[Smoking-Attributable Fraction (SAF) of Healthcare Expenditures: Lower Bound
Adjusted for Intervention Impacts]]</f>
        <v>59306813.607693292</v>
      </c>
      <c r="AE135" s="66">
        <f>Table153643454613[[#This Row],[Total Government Healthcare Expenditures
(including national insurance):
Base Scenario]]*Table153643454613[[#This Row],[Smoking-Attributable Fraction (SAF) of Healthcare Expenditures: Upper Bound
Adjusted for Intervention Impacts]]</f>
        <v>111737474.91304532</v>
      </c>
      <c r="AF135" s="66">
        <f>Table153643454613[[#This Row],[Total Private (Out-of-Pocket) Healthcare Expenditures:
Base Scenario]]*Table153643454613[[#This Row],[Smoking-Attributable Fraction (SAF) of Healthcare Expenditures:
Adjusted for Intervention Impacts]]</f>
        <v>110036323.87110518</v>
      </c>
      <c r="AG135" s="66">
        <f>Table153643454613[[#This Row],[Total Private (Out-of-Pocket) Healthcare Expenditures:
Base Scenario]]*Table153643454613[[#This Row],[Smoking-Attributable Fraction (SAF) of Healthcare Expenditures: Lower Bound
Adjusted for Intervention Impacts]]</f>
        <v>93734646.260571107</v>
      </c>
      <c r="AH135" s="66">
        <f>Table153643454613[[#This Row],[Total Private (Out-of-Pocket) Healthcare Expenditures:
Base Scenario]]*Table153643454613[[#This Row],[Smoking-Attributable Fraction (SAF) of Healthcare Expenditures: Upper Bound
Adjusted for Intervention Impacts]]</f>
        <v>176601507.44745278</v>
      </c>
      <c r="AI135" s="65">
        <f>Table153643454613[[#This Row],[Total Other Health Expenditures:
Base Scenario]]*Table153643454613[[#This Row],[Smoking-Attributable Fraction (SAF) of Healthcare Expenditures:
Adjusted for Intervention Impacts]]</f>
        <v>12353350.289063783</v>
      </c>
      <c r="AJ135" s="65">
        <f>Table153643454613[[#This Row],[Total Other Health Expenditures:
Base Scenario]]*Table153643454613[[#This Row],[Smoking-Attributable Fraction (SAF) of Healthcare Expenditures: Lower Bound
Adjusted for Intervention Impacts]]</f>
        <v>10523224.320313595</v>
      </c>
      <c r="AK135" s="65">
        <f>Table153643454613[[#This Row],[Total Other Health Expenditures:
Base Scenario]]*Table153643454613[[#This Row],[Smoking-Attributable Fraction (SAF) of Healthcare Expenditures: Upper Bound
Adjusted for Intervention Impacts]]</f>
        <v>19826364.661460396</v>
      </c>
      <c r="AL135" s="76">
        <f>Table153643454613[[#This Row],[Smoking-Attributable Total Healthcare Expenditures:
Base Scenario]]-Table153643454613[[#This Row],[Smoking-Attributable Total Healthcare Expenditures:
Intervention Scenario]]</f>
        <v>11947283.778625876</v>
      </c>
      <c r="AM135" s="76">
        <f>Table153643454613[[#This Row],[Smoking-Attributable Total Healthcare Expenditures: Lower Bound
Base Scenario]]-Table153643454613[[#This Row],[Smoking-Attributable Total Healthcare Expenditures: Lower Bound
Intervention Scenario]]</f>
        <v>10177315.81142202</v>
      </c>
      <c r="AN135" s="76">
        <f>Table153643454613[[#This Row],[Smoking-Attributable Total Healthcare Expenditures: Upper Bound
Base Scenario]]-Table153643454613[[#This Row],[Smoking-Attributable Total Healthcare Expenditures: Upper Bound
Intervention Scenario]]</f>
        <v>19174652.97804153</v>
      </c>
      <c r="AO135" s="76">
        <f>Table153643454613[[#This Row],[Smoking-Attributable Government Healthcare Expenditures
(including national insurance):
Base Scenario]]-Table153643454613[[#This Row],[Smoking-Attributable Government Healthcare Expenditures
(including national insurance):
Intervention Scenario]]</f>
        <v>4331957.9387948513</v>
      </c>
      <c r="AP135"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3690186.3923067153</v>
      </c>
      <c r="AQ135"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6952525.0869546831</v>
      </c>
      <c r="AR135" s="76">
        <f>Table153643454613[[#This Row],[Smoking-Attributable Private Healthcare Expenditures:
Base Scenario]]-Table153643454613[[#This Row],[Smoking-Attributable Private Healthcare Expenditures:
Intervention Scenario]]</f>
        <v>6846676.1288948208</v>
      </c>
      <c r="AS135" s="76">
        <f>Table153643454613[[#This Row],[Smoking-Attributable Private Healthcare Expenditures: Lower Bound
Base Scenario]]-Table153643454613[[#This Row],[Smoking-Attributable Private Healthcare Expenditures: Lower Bound
Intervention Scenario]]</f>
        <v>5832353.7394289076</v>
      </c>
      <c r="AT135" s="76">
        <f>Table153643454613[[#This Row],[Smoking-Attributable Private Healthcare Expenditures: Upper Bound
Base Scenario]]-Table153643454613[[#This Row],[Smoking-Attributable Private Healthcare Expenditures: Upper Bound
Intervention Scenario]]</f>
        <v>10988492.552547216</v>
      </c>
      <c r="AU135" s="76">
        <f>Table153643454613[[#This Row],[Smoking-Attributable Other Health Expenditures:
Base Scenario]]-Table153643454613[[#This Row],[Smoking-Attributable Other Health Expenditures:
Intervention Scenario]]</f>
        <v>768649.71093621664</v>
      </c>
      <c r="AV135" s="235">
        <f>Table153643454613[[#This Row],[Smoking-Attributable Other Health Expenditures: Lower Bound
Base Scenario]]-Table153643454613[[#This Row],[Smoking-Attributable Other Health Expenditures: Lower Bound
Intervention Scenario]]</f>
        <v>654775.67968640663</v>
      </c>
      <c r="AW135" s="235">
        <f>Table153643454613[[#This Row],[Smoking-Attributable Other Health Expenditures: Upper Bound
Base Scenario]]-Table153643454613[[#This Row],[Smoking-Attributable Other Health Expenditures: Upper Bound
Intervention Scenario]]</f>
        <v>1233635.3385396041</v>
      </c>
    </row>
    <row r="136" spans="2:49">
      <c r="B136" s="47">
        <v>6</v>
      </c>
      <c r="C136" s="48">
        <f t="shared" si="39"/>
        <v>2518000000</v>
      </c>
      <c r="D136" s="48">
        <f t="shared" si="40"/>
        <v>913000000</v>
      </c>
      <c r="E136" s="48">
        <f t="shared" si="41"/>
        <v>1443000000</v>
      </c>
      <c r="F136" s="48">
        <f t="shared" si="42"/>
        <v>162000000</v>
      </c>
      <c r="G136" s="232">
        <f t="shared" si="43"/>
        <v>8.1000000000000003E-2</v>
      </c>
      <c r="H136" s="46">
        <f t="shared" si="47"/>
        <v>6.9000000000000006E-2</v>
      </c>
      <c r="I136" s="46">
        <f t="shared" si="44"/>
        <v>0.13</v>
      </c>
      <c r="J136" s="43">
        <f>Table153643454613[[#This Row],[Total Healthcare Expenditures
(All Categories):
Base Scenario]]*Table153643454613[[#This Row],[Smoking-Attributable Fraction (SAF) of Healthcare Expenditures
Base Scenario]]</f>
        <v>203958000</v>
      </c>
      <c r="K136" s="43">
        <f>Table153643454613[[#This Row],[Total Healthcare Expenditures
(All Categories):
Base Scenario]]*Table153643454613[[#This Row],[Smoking-Attributable Fraction (SAF) of Healthcare Expenditures: Lower Bound
Base Scenario]]</f>
        <v>173742000</v>
      </c>
      <c r="L136" s="43">
        <f>Table153643454613[[#This Row],[Total Healthcare Expenditures
(All Categories):
Base Scenario]]*Table153643454613[[#This Row],[Smoking-Attributable Fraction (SAF) of Healthcare Expenditures: Upper Bound
Base Scenario]]</f>
        <v>327340000</v>
      </c>
      <c r="M136" s="43">
        <f>Table153643454613[[#This Row],[Total Government Healthcare Expenditures
(including national insurance):
Base Scenario]]*Table153643454613[[#This Row],[Smoking-Attributable Fraction (SAF) of Healthcare Expenditures
Base Scenario]]</f>
        <v>73953000</v>
      </c>
      <c r="N136" s="43">
        <f>Table153643454613[[#This Row],[Total Government Healthcare Expenditures
(including national insurance):
Base Scenario]]*Table153643454613[[#This Row],[Smoking-Attributable Fraction (SAF) of Healthcare Expenditures: Lower Bound
Base Scenario]]</f>
        <v>62997000.000000007</v>
      </c>
      <c r="O136" s="43">
        <f>Table153643454613[[#This Row],[Total Government Healthcare Expenditures
(including national insurance):
Base Scenario]]*Table153643454613[[#This Row],[Smoking-Attributable Fraction (SAF) of Healthcare Expenditures: Upper Bound
Base Scenario]]</f>
        <v>118690000</v>
      </c>
      <c r="P136" s="43">
        <f>Table153643454613[[#This Row],[Total Private (Out-of-Pocket) Healthcare Expenditures:
Base Scenario]]*Table153643454613[[#This Row],[Smoking-Attributable Fraction (SAF) of Healthcare Expenditures
Base Scenario]]</f>
        <v>116883000</v>
      </c>
      <c r="Q136" s="43">
        <f>Table153643454613[[#This Row],[Total Private (Out-of-Pocket) Healthcare Expenditures:
Base Scenario]]*Table153643454613[[#This Row],[Smoking-Attributable Fraction (SAF) of Healthcare Expenditures: Lower Bound
Base Scenario]]</f>
        <v>99567000.000000015</v>
      </c>
      <c r="R136" s="43">
        <f>Table153643454613[[#This Row],[Total Private (Out-of-Pocket) Healthcare Expenditures:
Base Scenario]]*Table153643454613[[#This Row],[Smoking-Attributable Fraction (SAF) of Healthcare Expenditures: Upper Bound
Base Scenario]]</f>
        <v>187590000</v>
      </c>
      <c r="S136" s="43">
        <f>Table153643454613[[#This Row],[Total Other Health Expenditures:
Base Scenario]]*Table153643454613[[#This Row],[Smoking-Attributable Fraction (SAF) of Healthcare Expenditures
Base Scenario]]</f>
        <v>13122000</v>
      </c>
      <c r="T136" s="43">
        <f>Table153643454613[[#This Row],[Total Other Health Expenditures:
Base Scenario]]*Table153643454613[[#This Row],[Smoking-Attributable Fraction (SAF) of Healthcare Expenditures: Lower Bound
Base Scenario]]</f>
        <v>11178000.000000002</v>
      </c>
      <c r="U136" s="43">
        <f>Table153643454613[[#This Row],[Total Other Health Expenditures:
Base Scenario]]*Table153643454613[[#This Row],[Smoking-Attributable Fraction (SAF) of Healthcare Expenditures: Upper Bound
Base Scenario]]</f>
        <v>21060000</v>
      </c>
      <c r="V136" s="62">
        <v>-2.9999999999999996E-3</v>
      </c>
      <c r="W136" s="60">
        <f>W135*(1+Table153643454613[[#This Row],[Relative Change in Smoking Prevalence:
Cigarette Package Warnings]])</f>
        <v>7.6026482951830815E-2</v>
      </c>
      <c r="X136" s="60">
        <f>X135*(1+Table153643454613[[#This Row],[Relative Change in Smoking Prevalence:
Cigarette Package Warnings]])</f>
        <v>6.4763300292300333E-2</v>
      </c>
      <c r="Y136" s="60">
        <f>Y135*(1+Table153643454613[[#This Row],[Relative Change in Smoking Prevalence:
Cigarette Package Warnings]])</f>
        <v>0.12201781214491367</v>
      </c>
      <c r="Z136" s="66">
        <f>Table153643454613[[#This Row],[Total Healthcare Expenditures
(All Categories):
Base Scenario]]*Table153643454613[[#This Row],[Smoking-Attributable Fraction (SAF) of Healthcare Expenditures:
Adjusted for Intervention Impacts]]</f>
        <v>191434684.07270998</v>
      </c>
      <c r="AA136" s="64">
        <f>Table153643454613[[#This Row],[Total Healthcare Expenditures
(All Categories):
Base Scenario]]*Table153643454613[[#This Row],[Smoking-Attributable Fraction (SAF) of Healthcare Expenditures: Lower Bound
Adjusted for Intervention Impacts]]</f>
        <v>163073990.13601223</v>
      </c>
      <c r="AB136" s="66">
        <f>Table153643454613[[#This Row],[Total Healthcare Expenditures
(All Categories):
Base Scenario]]*Table153643454613[[#This Row],[Smoking-Attributable Fraction (SAF) of Healthcare Expenditures: Upper Bound
Adjusted for Intervention Impacts]]</f>
        <v>307240850.9808926</v>
      </c>
      <c r="AC136" s="66">
        <f>Table153643454613[[#This Row],[Total Government Healthcare Expenditures
(including national insurance):
Base Scenario]]*Table153643454613[[#This Row],[Smoking-Attributable Fraction (SAF) of Healthcare Expenditures:
Adjusted for Intervention Impacts]]</f>
        <v>69412178.935021535</v>
      </c>
      <c r="AD136" s="66">
        <f>Table153643454613[[#This Row],[Total Government Healthcare Expenditures
(including national insurance):
Base Scenario]]*Table153643454613[[#This Row],[Smoking-Attributable Fraction (SAF) of Healthcare Expenditures: Lower Bound
Adjusted for Intervention Impacts]]</f>
        <v>59128893.166870207</v>
      </c>
      <c r="AE136" s="66">
        <f>Table153643454613[[#This Row],[Total Government Healthcare Expenditures
(including national insurance):
Base Scenario]]*Table153643454613[[#This Row],[Smoking-Attributable Fraction (SAF) of Healthcare Expenditures: Upper Bound
Adjusted for Intervention Impacts]]</f>
        <v>111402262.48830618</v>
      </c>
      <c r="AF136" s="66">
        <f>Table153643454613[[#This Row],[Total Private (Out-of-Pocket) Healthcare Expenditures:
Base Scenario]]*Table153643454613[[#This Row],[Smoking-Attributable Fraction (SAF) of Healthcare Expenditures:
Adjusted for Intervention Impacts]]</f>
        <v>109706214.89949186</v>
      </c>
      <c r="AG136" s="66">
        <f>Table153643454613[[#This Row],[Total Private (Out-of-Pocket) Healthcare Expenditures:
Base Scenario]]*Table153643454613[[#This Row],[Smoking-Attributable Fraction (SAF) of Healthcare Expenditures: Lower Bound
Adjusted for Intervention Impacts]]</f>
        <v>93453442.321789384</v>
      </c>
      <c r="AH136" s="66">
        <f>Table153643454613[[#This Row],[Total Private (Out-of-Pocket) Healthcare Expenditures:
Base Scenario]]*Table153643454613[[#This Row],[Smoking-Attributable Fraction (SAF) of Healthcare Expenditures: Upper Bound
Adjusted for Intervention Impacts]]</f>
        <v>176071702.92511043</v>
      </c>
      <c r="AI136" s="65">
        <f>Table153643454613[[#This Row],[Total Other Health Expenditures:
Base Scenario]]*Table153643454613[[#This Row],[Smoking-Attributable Fraction (SAF) of Healthcare Expenditures:
Adjusted for Intervention Impacts]]</f>
        <v>12316290.238196593</v>
      </c>
      <c r="AJ136" s="65">
        <f>Table153643454613[[#This Row],[Total Other Health Expenditures:
Base Scenario]]*Table153643454613[[#This Row],[Smoking-Attributable Fraction (SAF) of Healthcare Expenditures: Lower Bound
Adjusted for Intervention Impacts]]</f>
        <v>10491654.647352654</v>
      </c>
      <c r="AK136" s="65">
        <f>Table153643454613[[#This Row],[Total Other Health Expenditures:
Base Scenario]]*Table153643454613[[#This Row],[Smoking-Attributable Fraction (SAF) of Healthcare Expenditures: Upper Bound
Adjusted for Intervention Impacts]]</f>
        <v>19766885.567476016</v>
      </c>
      <c r="AL136" s="76">
        <f>Table153643454613[[#This Row],[Smoking-Attributable Total Healthcare Expenditures:
Base Scenario]]-Table153643454613[[#This Row],[Smoking-Attributable Total Healthcare Expenditures:
Intervention Scenario]]</f>
        <v>12523315.927290022</v>
      </c>
      <c r="AM136" s="76">
        <f>Table153643454613[[#This Row],[Smoking-Attributable Total Healthcare Expenditures: Lower Bound
Base Scenario]]-Table153643454613[[#This Row],[Smoking-Attributable Total Healthcare Expenditures: Lower Bound
Intervention Scenario]]</f>
        <v>10668009.863987774</v>
      </c>
      <c r="AN136" s="76">
        <f>Table153643454613[[#This Row],[Smoking-Attributable Total Healthcare Expenditures: Upper Bound
Base Scenario]]-Table153643454613[[#This Row],[Smoking-Attributable Total Healthcare Expenditures: Upper Bound
Intervention Scenario]]</f>
        <v>20099149.019107401</v>
      </c>
      <c r="AO136" s="76">
        <f>Table153643454613[[#This Row],[Smoking-Attributable Government Healthcare Expenditures
(including national insurance):
Base Scenario]]-Table153643454613[[#This Row],[Smoking-Attributable Government Healthcare Expenditures
(including national insurance):
Intervention Scenario]]</f>
        <v>4540821.0649784654</v>
      </c>
      <c r="AP136"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3868106.8331298009</v>
      </c>
      <c r="AQ136"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7287737.5116938204</v>
      </c>
      <c r="AR136" s="76">
        <f>Table153643454613[[#This Row],[Smoking-Attributable Private Healthcare Expenditures:
Base Scenario]]-Table153643454613[[#This Row],[Smoking-Attributable Private Healthcare Expenditures:
Intervention Scenario]]</f>
        <v>7176785.1005081385</v>
      </c>
      <c r="AS136" s="76">
        <f>Table153643454613[[#This Row],[Smoking-Attributable Private Healthcare Expenditures: Lower Bound
Base Scenario]]-Table153643454613[[#This Row],[Smoking-Attributable Private Healthcare Expenditures: Lower Bound
Intervention Scenario]]</f>
        <v>6113557.678210631</v>
      </c>
      <c r="AT136" s="76">
        <f>Table153643454613[[#This Row],[Smoking-Attributable Private Healthcare Expenditures: Upper Bound
Base Scenario]]-Table153643454613[[#This Row],[Smoking-Attributable Private Healthcare Expenditures: Upper Bound
Intervention Scenario]]</f>
        <v>11518297.07488957</v>
      </c>
      <c r="AU136" s="76">
        <f>Table153643454613[[#This Row],[Smoking-Attributable Other Health Expenditures:
Base Scenario]]-Table153643454613[[#This Row],[Smoking-Attributable Other Health Expenditures:
Intervention Scenario]]</f>
        <v>805709.76180340722</v>
      </c>
      <c r="AV136" s="235">
        <f>Table153643454613[[#This Row],[Smoking-Attributable Other Health Expenditures: Lower Bound
Base Scenario]]-Table153643454613[[#This Row],[Smoking-Attributable Other Health Expenditures: Lower Bound
Intervention Scenario]]</f>
        <v>686345.35264734738</v>
      </c>
      <c r="AW136" s="235">
        <f>Table153643454613[[#This Row],[Smoking-Attributable Other Health Expenditures: Upper Bound
Base Scenario]]-Table153643454613[[#This Row],[Smoking-Attributable Other Health Expenditures: Upper Bound
Intervention Scenario]]</f>
        <v>1293114.4325239845</v>
      </c>
    </row>
    <row r="137" spans="2:49">
      <c r="B137" s="47">
        <v>7</v>
      </c>
      <c r="C137" s="48">
        <f t="shared" si="39"/>
        <v>2518000000</v>
      </c>
      <c r="D137" s="48">
        <f t="shared" si="40"/>
        <v>913000000</v>
      </c>
      <c r="E137" s="48">
        <f t="shared" si="41"/>
        <v>1443000000</v>
      </c>
      <c r="F137" s="48">
        <f t="shared" si="42"/>
        <v>162000000</v>
      </c>
      <c r="G137" s="232">
        <f t="shared" si="43"/>
        <v>8.1000000000000003E-2</v>
      </c>
      <c r="H137" s="46">
        <f t="shared" si="47"/>
        <v>6.9000000000000006E-2</v>
      </c>
      <c r="I137" s="46">
        <f t="shared" si="44"/>
        <v>0.13</v>
      </c>
      <c r="J137" s="43">
        <f>Table153643454613[[#This Row],[Total Healthcare Expenditures
(All Categories):
Base Scenario]]*Table153643454613[[#This Row],[Smoking-Attributable Fraction (SAF) of Healthcare Expenditures
Base Scenario]]</f>
        <v>203958000</v>
      </c>
      <c r="K137" s="43">
        <f>Table153643454613[[#This Row],[Total Healthcare Expenditures
(All Categories):
Base Scenario]]*Table153643454613[[#This Row],[Smoking-Attributable Fraction (SAF) of Healthcare Expenditures: Lower Bound
Base Scenario]]</f>
        <v>173742000</v>
      </c>
      <c r="L137" s="43">
        <f>Table153643454613[[#This Row],[Total Healthcare Expenditures
(All Categories):
Base Scenario]]*Table153643454613[[#This Row],[Smoking-Attributable Fraction (SAF) of Healthcare Expenditures: Upper Bound
Base Scenario]]</f>
        <v>327340000</v>
      </c>
      <c r="M137" s="43">
        <f>Table153643454613[[#This Row],[Total Government Healthcare Expenditures
(including national insurance):
Base Scenario]]*Table153643454613[[#This Row],[Smoking-Attributable Fraction (SAF) of Healthcare Expenditures
Base Scenario]]</f>
        <v>73953000</v>
      </c>
      <c r="N137" s="43">
        <f>Table153643454613[[#This Row],[Total Government Healthcare Expenditures
(including national insurance):
Base Scenario]]*Table153643454613[[#This Row],[Smoking-Attributable Fraction (SAF) of Healthcare Expenditures: Lower Bound
Base Scenario]]</f>
        <v>62997000.000000007</v>
      </c>
      <c r="O137" s="43">
        <f>Table153643454613[[#This Row],[Total Government Healthcare Expenditures
(including national insurance):
Base Scenario]]*Table153643454613[[#This Row],[Smoking-Attributable Fraction (SAF) of Healthcare Expenditures: Upper Bound
Base Scenario]]</f>
        <v>118690000</v>
      </c>
      <c r="P137" s="43">
        <f>Table153643454613[[#This Row],[Total Private (Out-of-Pocket) Healthcare Expenditures:
Base Scenario]]*Table153643454613[[#This Row],[Smoking-Attributable Fraction (SAF) of Healthcare Expenditures
Base Scenario]]</f>
        <v>116883000</v>
      </c>
      <c r="Q137" s="43">
        <f>Table153643454613[[#This Row],[Total Private (Out-of-Pocket) Healthcare Expenditures:
Base Scenario]]*Table153643454613[[#This Row],[Smoking-Attributable Fraction (SAF) of Healthcare Expenditures: Lower Bound
Base Scenario]]</f>
        <v>99567000.000000015</v>
      </c>
      <c r="R137" s="43">
        <f>Table153643454613[[#This Row],[Total Private (Out-of-Pocket) Healthcare Expenditures:
Base Scenario]]*Table153643454613[[#This Row],[Smoking-Attributable Fraction (SAF) of Healthcare Expenditures: Upper Bound
Base Scenario]]</f>
        <v>187590000</v>
      </c>
      <c r="S137" s="43">
        <f>Table153643454613[[#This Row],[Total Other Health Expenditures:
Base Scenario]]*Table153643454613[[#This Row],[Smoking-Attributable Fraction (SAF) of Healthcare Expenditures
Base Scenario]]</f>
        <v>13122000</v>
      </c>
      <c r="T137" s="43">
        <f>Table153643454613[[#This Row],[Total Other Health Expenditures:
Base Scenario]]*Table153643454613[[#This Row],[Smoking-Attributable Fraction (SAF) of Healthcare Expenditures: Lower Bound
Base Scenario]]</f>
        <v>11178000.000000002</v>
      </c>
      <c r="U137" s="43">
        <f>Table153643454613[[#This Row],[Total Other Health Expenditures:
Base Scenario]]*Table153643454613[[#This Row],[Smoking-Attributable Fraction (SAF) of Healthcare Expenditures: Upper Bound
Base Scenario]]</f>
        <v>21060000</v>
      </c>
      <c r="V137" s="62">
        <v>-2.9999999999999996E-3</v>
      </c>
      <c r="W137" s="60">
        <f>W136*(1+Table153643454613[[#This Row],[Relative Change in Smoking Prevalence:
Cigarette Package Warnings]])</f>
        <v>7.5798403502975328E-2</v>
      </c>
      <c r="X137" s="60">
        <f>X136*(1+Table153643454613[[#This Row],[Relative Change in Smoking Prevalence:
Cigarette Package Warnings]])</f>
        <v>6.4569010391423431E-2</v>
      </c>
      <c r="Y137" s="60">
        <f>Y136*(1+Table153643454613[[#This Row],[Relative Change in Smoking Prevalence:
Cigarette Package Warnings]])</f>
        <v>0.12165175870847893</v>
      </c>
      <c r="Z137" s="66">
        <f>Table153643454613[[#This Row],[Total Healthcare Expenditures
(All Categories):
Base Scenario]]*Table153643454613[[#This Row],[Smoking-Attributable Fraction (SAF) of Healthcare Expenditures:
Adjusted for Intervention Impacts]]</f>
        <v>190860380.02049187</v>
      </c>
      <c r="AA137" s="64">
        <f>Table153643454613[[#This Row],[Total Healthcare Expenditures
(All Categories):
Base Scenario]]*Table153643454613[[#This Row],[Smoking-Attributable Fraction (SAF) of Healthcare Expenditures: Lower Bound
Adjusted for Intervention Impacts]]</f>
        <v>162584768.1656042</v>
      </c>
      <c r="AB137" s="66">
        <f>Table153643454613[[#This Row],[Total Healthcare Expenditures
(All Categories):
Base Scenario]]*Table153643454613[[#This Row],[Smoking-Attributable Fraction (SAF) of Healthcare Expenditures: Upper Bound
Adjusted for Intervention Impacts]]</f>
        <v>306319128.42794997</v>
      </c>
      <c r="AC137" s="66">
        <f>Table153643454613[[#This Row],[Total Government Healthcare Expenditures
(including national insurance):
Base Scenario]]*Table153643454613[[#This Row],[Smoking-Attributable Fraction (SAF) of Healthcare Expenditures:
Adjusted for Intervention Impacts]]</f>
        <v>69203942.398216471</v>
      </c>
      <c r="AD137" s="66">
        <f>Table153643454613[[#This Row],[Total Government Healthcare Expenditures
(including national insurance):
Base Scenario]]*Table153643454613[[#This Row],[Smoking-Attributable Fraction (SAF) of Healthcare Expenditures: Lower Bound
Adjusted for Intervention Impacts]]</f>
        <v>58951506.48736959</v>
      </c>
      <c r="AE137" s="66">
        <f>Table153643454613[[#This Row],[Total Government Healthcare Expenditures
(including national insurance):
Base Scenario]]*Table153643454613[[#This Row],[Smoking-Attributable Fraction (SAF) of Healthcare Expenditures: Upper Bound
Adjusted for Intervention Impacts]]</f>
        <v>111068055.70084126</v>
      </c>
      <c r="AF137" s="66">
        <f>Table153643454613[[#This Row],[Total Private (Out-of-Pocket) Healthcare Expenditures:
Base Scenario]]*Table153643454613[[#This Row],[Smoking-Attributable Fraction (SAF) of Healthcare Expenditures:
Adjusted for Intervention Impacts]]</f>
        <v>109377096.25479341</v>
      </c>
      <c r="AG137" s="66">
        <f>Table153643454613[[#This Row],[Total Private (Out-of-Pocket) Healthcare Expenditures:
Base Scenario]]*Table153643454613[[#This Row],[Smoking-Attributable Fraction (SAF) of Healthcare Expenditures: Lower Bound
Adjusted for Intervention Impacts]]</f>
        <v>93173081.994824007</v>
      </c>
      <c r="AH137" s="66">
        <f>Table153643454613[[#This Row],[Total Private (Out-of-Pocket) Healthcare Expenditures:
Base Scenario]]*Table153643454613[[#This Row],[Smoking-Attributable Fraction (SAF) of Healthcare Expenditures: Upper Bound
Adjusted for Intervention Impacts]]</f>
        <v>175543487.81633508</v>
      </c>
      <c r="AI137" s="65">
        <f>Table153643454613[[#This Row],[Total Other Health Expenditures:
Base Scenario]]*Table153643454613[[#This Row],[Smoking-Attributable Fraction (SAF) of Healthcare Expenditures:
Adjusted for Intervention Impacts]]</f>
        <v>12279341.367482003</v>
      </c>
      <c r="AJ137" s="65">
        <f>Table153643454613[[#This Row],[Total Other Health Expenditures:
Base Scenario]]*Table153643454613[[#This Row],[Smoking-Attributable Fraction (SAF) of Healthcare Expenditures: Lower Bound
Adjusted for Intervention Impacts]]</f>
        <v>10460179.683410596</v>
      </c>
      <c r="AK137" s="65">
        <f>Table153643454613[[#This Row],[Total Other Health Expenditures:
Base Scenario]]*Table153643454613[[#This Row],[Smoking-Attributable Fraction (SAF) of Healthcare Expenditures: Upper Bound
Adjusted for Intervention Impacts]]</f>
        <v>19707584.910773586</v>
      </c>
      <c r="AL137" s="76">
        <f>Table153643454613[[#This Row],[Smoking-Attributable Total Healthcare Expenditures:
Base Scenario]]-Table153643454613[[#This Row],[Smoking-Attributable Total Healthcare Expenditures:
Intervention Scenario]]</f>
        <v>13097619.979508132</v>
      </c>
      <c r="AM137" s="76">
        <f>Table153643454613[[#This Row],[Smoking-Attributable Total Healthcare Expenditures: Lower Bound
Base Scenario]]-Table153643454613[[#This Row],[Smoking-Attributable Total Healthcare Expenditures: Lower Bound
Intervention Scenario]]</f>
        <v>11157231.834395796</v>
      </c>
      <c r="AN137" s="76">
        <f>Table153643454613[[#This Row],[Smoking-Attributable Total Healthcare Expenditures: Upper Bound
Base Scenario]]-Table153643454613[[#This Row],[Smoking-Attributable Total Healthcare Expenditures: Upper Bound
Intervention Scenario]]</f>
        <v>21020871.572050035</v>
      </c>
      <c r="AO137" s="76">
        <f>Table153643454613[[#This Row],[Smoking-Attributable Government Healthcare Expenditures
(including national insurance):
Base Scenario]]-Table153643454613[[#This Row],[Smoking-Attributable Government Healthcare Expenditures
(including national insurance):
Intervention Scenario]]</f>
        <v>4749057.6017835289</v>
      </c>
      <c r="AP137"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4045493.5126304179</v>
      </c>
      <c r="AQ137"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7621944.2991587371</v>
      </c>
      <c r="AR137" s="76">
        <f>Table153643454613[[#This Row],[Smoking-Attributable Private Healthcare Expenditures:
Base Scenario]]-Table153643454613[[#This Row],[Smoking-Attributable Private Healthcare Expenditures:
Intervention Scenario]]</f>
        <v>7505903.7452065945</v>
      </c>
      <c r="AS137" s="76">
        <f>Table153643454613[[#This Row],[Smoking-Attributable Private Healthcare Expenditures: Lower Bound
Base Scenario]]-Table153643454613[[#This Row],[Smoking-Attributable Private Healthcare Expenditures: Lower Bound
Intervention Scenario]]</f>
        <v>6393918.0051760077</v>
      </c>
      <c r="AT137" s="76">
        <f>Table153643454613[[#This Row],[Smoking-Attributable Private Healthcare Expenditures: Upper Bound
Base Scenario]]-Table153643454613[[#This Row],[Smoking-Attributable Private Healthcare Expenditures: Upper Bound
Intervention Scenario]]</f>
        <v>12046512.183664918</v>
      </c>
      <c r="AU137" s="76">
        <f>Table153643454613[[#This Row],[Smoking-Attributable Other Health Expenditures:
Base Scenario]]-Table153643454613[[#This Row],[Smoking-Attributable Other Health Expenditures:
Intervention Scenario]]</f>
        <v>842658.63251799718</v>
      </c>
      <c r="AV137" s="235">
        <f>Table153643454613[[#This Row],[Smoking-Attributable Other Health Expenditures: Lower Bound
Base Scenario]]-Table153643454613[[#This Row],[Smoking-Attributable Other Health Expenditures: Lower Bound
Intervention Scenario]]</f>
        <v>717820.31658940576</v>
      </c>
      <c r="AW137" s="235">
        <f>Table153643454613[[#This Row],[Smoking-Attributable Other Health Expenditures: Upper Bound
Base Scenario]]-Table153643454613[[#This Row],[Smoking-Attributable Other Health Expenditures: Upper Bound
Intervention Scenario]]</f>
        <v>1352415.0892264135</v>
      </c>
    </row>
    <row r="138" spans="2:49">
      <c r="B138" s="47">
        <v>8</v>
      </c>
      <c r="C138" s="48">
        <f t="shared" si="39"/>
        <v>2518000000</v>
      </c>
      <c r="D138" s="48">
        <f t="shared" si="40"/>
        <v>913000000</v>
      </c>
      <c r="E138" s="48">
        <f t="shared" si="41"/>
        <v>1443000000</v>
      </c>
      <c r="F138" s="48">
        <f t="shared" si="42"/>
        <v>162000000</v>
      </c>
      <c r="G138" s="232">
        <f t="shared" si="43"/>
        <v>8.1000000000000003E-2</v>
      </c>
      <c r="H138" s="46">
        <f t="shared" si="47"/>
        <v>6.9000000000000006E-2</v>
      </c>
      <c r="I138" s="46">
        <f t="shared" si="44"/>
        <v>0.13</v>
      </c>
      <c r="J138" s="43">
        <f>Table153643454613[[#This Row],[Total Healthcare Expenditures
(All Categories):
Base Scenario]]*Table153643454613[[#This Row],[Smoking-Attributable Fraction (SAF) of Healthcare Expenditures
Base Scenario]]</f>
        <v>203958000</v>
      </c>
      <c r="K138" s="43">
        <f>Table153643454613[[#This Row],[Total Healthcare Expenditures
(All Categories):
Base Scenario]]*Table153643454613[[#This Row],[Smoking-Attributable Fraction (SAF) of Healthcare Expenditures: Lower Bound
Base Scenario]]</f>
        <v>173742000</v>
      </c>
      <c r="L138" s="43">
        <f>Table153643454613[[#This Row],[Total Healthcare Expenditures
(All Categories):
Base Scenario]]*Table153643454613[[#This Row],[Smoking-Attributable Fraction (SAF) of Healthcare Expenditures: Upper Bound
Base Scenario]]</f>
        <v>327340000</v>
      </c>
      <c r="M138" s="43">
        <f>Table153643454613[[#This Row],[Total Government Healthcare Expenditures
(including national insurance):
Base Scenario]]*Table153643454613[[#This Row],[Smoking-Attributable Fraction (SAF) of Healthcare Expenditures
Base Scenario]]</f>
        <v>73953000</v>
      </c>
      <c r="N138" s="43">
        <f>Table153643454613[[#This Row],[Total Government Healthcare Expenditures
(including national insurance):
Base Scenario]]*Table153643454613[[#This Row],[Smoking-Attributable Fraction (SAF) of Healthcare Expenditures: Lower Bound
Base Scenario]]</f>
        <v>62997000.000000007</v>
      </c>
      <c r="O138" s="43">
        <f>Table153643454613[[#This Row],[Total Government Healthcare Expenditures
(including national insurance):
Base Scenario]]*Table153643454613[[#This Row],[Smoking-Attributable Fraction (SAF) of Healthcare Expenditures: Upper Bound
Base Scenario]]</f>
        <v>118690000</v>
      </c>
      <c r="P138" s="43">
        <f>Table153643454613[[#This Row],[Total Private (Out-of-Pocket) Healthcare Expenditures:
Base Scenario]]*Table153643454613[[#This Row],[Smoking-Attributable Fraction (SAF) of Healthcare Expenditures
Base Scenario]]</f>
        <v>116883000</v>
      </c>
      <c r="Q138" s="43">
        <f>Table153643454613[[#This Row],[Total Private (Out-of-Pocket) Healthcare Expenditures:
Base Scenario]]*Table153643454613[[#This Row],[Smoking-Attributable Fraction (SAF) of Healthcare Expenditures: Lower Bound
Base Scenario]]</f>
        <v>99567000.000000015</v>
      </c>
      <c r="R138" s="43">
        <f>Table153643454613[[#This Row],[Total Private (Out-of-Pocket) Healthcare Expenditures:
Base Scenario]]*Table153643454613[[#This Row],[Smoking-Attributable Fraction (SAF) of Healthcare Expenditures: Upper Bound
Base Scenario]]</f>
        <v>187590000</v>
      </c>
      <c r="S138" s="43">
        <f>Table153643454613[[#This Row],[Total Other Health Expenditures:
Base Scenario]]*Table153643454613[[#This Row],[Smoking-Attributable Fraction (SAF) of Healthcare Expenditures
Base Scenario]]</f>
        <v>13122000</v>
      </c>
      <c r="T138" s="43">
        <f>Table153643454613[[#This Row],[Total Other Health Expenditures:
Base Scenario]]*Table153643454613[[#This Row],[Smoking-Attributable Fraction (SAF) of Healthcare Expenditures: Lower Bound
Base Scenario]]</f>
        <v>11178000.000000002</v>
      </c>
      <c r="U138" s="43">
        <f>Table153643454613[[#This Row],[Total Other Health Expenditures:
Base Scenario]]*Table153643454613[[#This Row],[Smoking-Attributable Fraction (SAF) of Healthcare Expenditures: Upper Bound
Base Scenario]]</f>
        <v>21060000</v>
      </c>
      <c r="V138" s="62">
        <v>-2.9999999999999996E-3</v>
      </c>
      <c r="W138" s="60">
        <f>W137*(1+Table153643454613[[#This Row],[Relative Change in Smoking Prevalence:
Cigarette Package Warnings]])</f>
        <v>7.5571008292466407E-2</v>
      </c>
      <c r="X138" s="60">
        <f>X137*(1+Table153643454613[[#This Row],[Relative Change in Smoking Prevalence:
Cigarette Package Warnings]])</f>
        <v>6.4375303360249159E-2</v>
      </c>
      <c r="Y138" s="60">
        <f>Y137*(1+Table153643454613[[#This Row],[Relative Change in Smoking Prevalence:
Cigarette Package Warnings]])</f>
        <v>0.12128680343235348</v>
      </c>
      <c r="Z138" s="66">
        <f>Table153643454613[[#This Row],[Total Healthcare Expenditures
(All Categories):
Base Scenario]]*Table153643454613[[#This Row],[Smoking-Attributable Fraction (SAF) of Healthcare Expenditures:
Adjusted for Intervention Impacts]]</f>
        <v>190287798.8804304</v>
      </c>
      <c r="AA138" s="64">
        <f>Table153643454613[[#This Row],[Total Healthcare Expenditures
(All Categories):
Base Scenario]]*Table153643454613[[#This Row],[Smoking-Attributable Fraction (SAF) of Healthcare Expenditures: Lower Bound
Adjusted for Intervention Impacts]]</f>
        <v>162097013.86110738</v>
      </c>
      <c r="AB138" s="66">
        <f>Table153643454613[[#This Row],[Total Healthcare Expenditures
(All Categories):
Base Scenario]]*Table153643454613[[#This Row],[Smoking-Attributable Fraction (SAF) of Healthcare Expenditures: Upper Bound
Adjusted for Intervention Impacts]]</f>
        <v>305400171.04266608</v>
      </c>
      <c r="AC138" s="66">
        <f>Table153643454613[[#This Row],[Total Government Healthcare Expenditures
(including national insurance):
Base Scenario]]*Table153643454613[[#This Row],[Smoking-Attributable Fraction (SAF) of Healthcare Expenditures:
Adjusted for Intervention Impacts]]</f>
        <v>68996330.571021825</v>
      </c>
      <c r="AD138" s="66">
        <f>Table153643454613[[#This Row],[Total Government Healthcare Expenditures
(including national insurance):
Base Scenario]]*Table153643454613[[#This Row],[Smoking-Attributable Fraction (SAF) of Healthcare Expenditures: Lower Bound
Adjusted for Intervention Impacts]]</f>
        <v>58774651.967907481</v>
      </c>
      <c r="AE138" s="66">
        <f>Table153643454613[[#This Row],[Total Government Healthcare Expenditures
(including national insurance):
Base Scenario]]*Table153643454613[[#This Row],[Smoking-Attributable Fraction (SAF) of Healthcare Expenditures: Upper Bound
Adjusted for Intervention Impacts]]</f>
        <v>110734851.53373873</v>
      </c>
      <c r="AF138" s="66">
        <f>Table153643454613[[#This Row],[Total Private (Out-of-Pocket) Healthcare Expenditures:
Base Scenario]]*Table153643454613[[#This Row],[Smoking-Attributable Fraction (SAF) of Healthcare Expenditures:
Adjusted for Intervention Impacts]]</f>
        <v>109048964.96602903</v>
      </c>
      <c r="AG138" s="66">
        <f>Table153643454613[[#This Row],[Total Private (Out-of-Pocket) Healthcare Expenditures:
Base Scenario]]*Table153643454613[[#This Row],[Smoking-Attributable Fraction (SAF) of Healthcare Expenditures: Lower Bound
Adjusted for Intervention Impacts]]</f>
        <v>92893562.748839542</v>
      </c>
      <c r="AH138" s="66">
        <f>Table153643454613[[#This Row],[Total Private (Out-of-Pocket) Healthcare Expenditures:
Base Scenario]]*Table153643454613[[#This Row],[Smoking-Attributable Fraction (SAF) of Healthcare Expenditures: Upper Bound
Adjusted for Intervention Impacts]]</f>
        <v>175016857.35288608</v>
      </c>
      <c r="AI138" s="65">
        <f>Table153643454613[[#This Row],[Total Other Health Expenditures:
Base Scenario]]*Table153643454613[[#This Row],[Smoking-Attributable Fraction (SAF) of Healthcare Expenditures:
Adjusted for Intervention Impacts]]</f>
        <v>12242503.343379557</v>
      </c>
      <c r="AJ138" s="65">
        <f>Table153643454613[[#This Row],[Total Other Health Expenditures:
Base Scenario]]*Table153643454613[[#This Row],[Smoking-Attributable Fraction (SAF) of Healthcare Expenditures: Lower Bound
Adjusted for Intervention Impacts]]</f>
        <v>10428799.144360363</v>
      </c>
      <c r="AK138" s="65">
        <f>Table153643454613[[#This Row],[Total Other Health Expenditures:
Base Scenario]]*Table153643454613[[#This Row],[Smoking-Attributable Fraction (SAF) of Healthcare Expenditures: Upper Bound
Adjusted for Intervention Impacts]]</f>
        <v>19648462.156041265</v>
      </c>
      <c r="AL138" s="76">
        <f>Table153643454613[[#This Row],[Smoking-Attributable Total Healthcare Expenditures:
Base Scenario]]-Table153643454613[[#This Row],[Smoking-Attributable Total Healthcare Expenditures:
Intervention Scenario]]</f>
        <v>13670201.1195696</v>
      </c>
      <c r="AM138" s="76">
        <f>Table153643454613[[#This Row],[Smoking-Attributable Total Healthcare Expenditures: Lower Bound
Base Scenario]]-Table153643454613[[#This Row],[Smoking-Attributable Total Healthcare Expenditures: Lower Bound
Intervention Scenario]]</f>
        <v>11644986.138892621</v>
      </c>
      <c r="AN138" s="76">
        <f>Table153643454613[[#This Row],[Smoking-Attributable Total Healthcare Expenditures: Upper Bound
Base Scenario]]-Table153643454613[[#This Row],[Smoking-Attributable Total Healthcare Expenditures: Upper Bound
Intervention Scenario]]</f>
        <v>21939828.957333922</v>
      </c>
      <c r="AO138" s="76">
        <f>Table153643454613[[#This Row],[Smoking-Attributable Government Healthcare Expenditures
(including national insurance):
Base Scenario]]-Table153643454613[[#This Row],[Smoking-Attributable Government Healthcare Expenditures
(including national insurance):
Intervention Scenario]]</f>
        <v>4956669.4289781749</v>
      </c>
      <c r="AP138"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4222348.0320925266</v>
      </c>
      <c r="AQ138"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7955148.4662612677</v>
      </c>
      <c r="AR138" s="76">
        <f>Table153643454613[[#This Row],[Smoking-Attributable Private Healthcare Expenditures:
Base Scenario]]-Table153643454613[[#This Row],[Smoking-Attributable Private Healthcare Expenditures:
Intervention Scenario]]</f>
        <v>7834035.0339709669</v>
      </c>
      <c r="AS138" s="76">
        <f>Table153643454613[[#This Row],[Smoking-Attributable Private Healthcare Expenditures: Lower Bound
Base Scenario]]-Table153643454613[[#This Row],[Smoking-Attributable Private Healthcare Expenditures: Lower Bound
Intervention Scenario]]</f>
        <v>6673437.2511604726</v>
      </c>
      <c r="AT138" s="76">
        <f>Table153643454613[[#This Row],[Smoking-Attributable Private Healthcare Expenditures: Upper Bound
Base Scenario]]-Table153643454613[[#This Row],[Smoking-Attributable Private Healthcare Expenditures: Upper Bound
Intervention Scenario]]</f>
        <v>12573142.647113919</v>
      </c>
      <c r="AU138" s="76">
        <f>Table153643454613[[#This Row],[Smoking-Attributable Other Health Expenditures:
Base Scenario]]-Table153643454613[[#This Row],[Smoking-Attributable Other Health Expenditures:
Intervention Scenario]]</f>
        <v>879496.65662044287</v>
      </c>
      <c r="AV138" s="235">
        <f>Table153643454613[[#This Row],[Smoking-Attributable Other Health Expenditures: Lower Bound
Base Scenario]]-Table153643454613[[#This Row],[Smoking-Attributable Other Health Expenditures: Lower Bound
Intervention Scenario]]</f>
        <v>749200.85563963838</v>
      </c>
      <c r="AW138" s="235">
        <f>Table153643454613[[#This Row],[Smoking-Attributable Other Health Expenditures: Upper Bound
Base Scenario]]-Table153643454613[[#This Row],[Smoking-Attributable Other Health Expenditures: Upper Bound
Intervention Scenario]]</f>
        <v>1411537.8439587355</v>
      </c>
    </row>
    <row r="139" spans="2:49">
      <c r="B139" s="47">
        <v>9</v>
      </c>
      <c r="C139" s="48">
        <f t="shared" si="39"/>
        <v>2518000000</v>
      </c>
      <c r="D139" s="48">
        <f t="shared" si="40"/>
        <v>913000000</v>
      </c>
      <c r="E139" s="48">
        <f t="shared" si="41"/>
        <v>1443000000</v>
      </c>
      <c r="F139" s="48">
        <f t="shared" si="42"/>
        <v>162000000</v>
      </c>
      <c r="G139" s="232">
        <f t="shared" si="43"/>
        <v>8.1000000000000003E-2</v>
      </c>
      <c r="H139" s="46">
        <f t="shared" si="47"/>
        <v>6.9000000000000006E-2</v>
      </c>
      <c r="I139" s="46">
        <f t="shared" si="44"/>
        <v>0.13</v>
      </c>
      <c r="J139" s="43">
        <f>Table153643454613[[#This Row],[Total Healthcare Expenditures
(All Categories):
Base Scenario]]*Table153643454613[[#This Row],[Smoking-Attributable Fraction (SAF) of Healthcare Expenditures
Base Scenario]]</f>
        <v>203958000</v>
      </c>
      <c r="K139" s="43">
        <f>Table153643454613[[#This Row],[Total Healthcare Expenditures
(All Categories):
Base Scenario]]*Table153643454613[[#This Row],[Smoking-Attributable Fraction (SAF) of Healthcare Expenditures: Lower Bound
Base Scenario]]</f>
        <v>173742000</v>
      </c>
      <c r="L139" s="43">
        <f>Table153643454613[[#This Row],[Total Healthcare Expenditures
(All Categories):
Base Scenario]]*Table153643454613[[#This Row],[Smoking-Attributable Fraction (SAF) of Healthcare Expenditures: Upper Bound
Base Scenario]]</f>
        <v>327340000</v>
      </c>
      <c r="M139" s="43">
        <f>Table153643454613[[#This Row],[Total Government Healthcare Expenditures
(including national insurance):
Base Scenario]]*Table153643454613[[#This Row],[Smoking-Attributable Fraction (SAF) of Healthcare Expenditures
Base Scenario]]</f>
        <v>73953000</v>
      </c>
      <c r="N139" s="43">
        <f>Table153643454613[[#This Row],[Total Government Healthcare Expenditures
(including national insurance):
Base Scenario]]*Table153643454613[[#This Row],[Smoking-Attributable Fraction (SAF) of Healthcare Expenditures: Lower Bound
Base Scenario]]</f>
        <v>62997000.000000007</v>
      </c>
      <c r="O139" s="43">
        <f>Table153643454613[[#This Row],[Total Government Healthcare Expenditures
(including national insurance):
Base Scenario]]*Table153643454613[[#This Row],[Smoking-Attributable Fraction (SAF) of Healthcare Expenditures: Upper Bound
Base Scenario]]</f>
        <v>118690000</v>
      </c>
      <c r="P139" s="43">
        <f>Table153643454613[[#This Row],[Total Private (Out-of-Pocket) Healthcare Expenditures:
Base Scenario]]*Table153643454613[[#This Row],[Smoking-Attributable Fraction (SAF) of Healthcare Expenditures
Base Scenario]]</f>
        <v>116883000</v>
      </c>
      <c r="Q139" s="43">
        <f>Table153643454613[[#This Row],[Total Private (Out-of-Pocket) Healthcare Expenditures:
Base Scenario]]*Table153643454613[[#This Row],[Smoking-Attributable Fraction (SAF) of Healthcare Expenditures: Lower Bound
Base Scenario]]</f>
        <v>99567000.000000015</v>
      </c>
      <c r="R139" s="43">
        <f>Table153643454613[[#This Row],[Total Private (Out-of-Pocket) Healthcare Expenditures:
Base Scenario]]*Table153643454613[[#This Row],[Smoking-Attributable Fraction (SAF) of Healthcare Expenditures: Upper Bound
Base Scenario]]</f>
        <v>187590000</v>
      </c>
      <c r="S139" s="43">
        <f>Table153643454613[[#This Row],[Total Other Health Expenditures:
Base Scenario]]*Table153643454613[[#This Row],[Smoking-Attributable Fraction (SAF) of Healthcare Expenditures
Base Scenario]]</f>
        <v>13122000</v>
      </c>
      <c r="T139" s="43">
        <f>Table153643454613[[#This Row],[Total Other Health Expenditures:
Base Scenario]]*Table153643454613[[#This Row],[Smoking-Attributable Fraction (SAF) of Healthcare Expenditures: Lower Bound
Base Scenario]]</f>
        <v>11178000.000000002</v>
      </c>
      <c r="U139" s="43">
        <f>Table153643454613[[#This Row],[Total Other Health Expenditures:
Base Scenario]]*Table153643454613[[#This Row],[Smoking-Attributable Fraction (SAF) of Healthcare Expenditures: Upper Bound
Base Scenario]]</f>
        <v>21060000</v>
      </c>
      <c r="V139" s="62">
        <v>-2.9999999999999996E-3</v>
      </c>
      <c r="W139" s="60">
        <f>W138*(1+Table153643454613[[#This Row],[Relative Change in Smoking Prevalence:
Cigarette Package Warnings]])</f>
        <v>7.5344295267589012E-2</v>
      </c>
      <c r="X139" s="60">
        <f>X138*(1+Table153643454613[[#This Row],[Relative Change in Smoking Prevalence:
Cigarette Package Warnings]])</f>
        <v>6.4182177450168409E-2</v>
      </c>
      <c r="Y139" s="60">
        <f>Y138*(1+Table153643454613[[#This Row],[Relative Change in Smoking Prevalence:
Cigarette Package Warnings]])</f>
        <v>0.12092294302205643</v>
      </c>
      <c r="Z139" s="66">
        <f>Table153643454613[[#This Row],[Total Healthcare Expenditures
(All Categories):
Base Scenario]]*Table153643454613[[#This Row],[Smoking-Attributable Fraction (SAF) of Healthcare Expenditures:
Adjusted for Intervention Impacts]]</f>
        <v>189716935.48378915</v>
      </c>
      <c r="AA139" s="64">
        <f>Table153643454613[[#This Row],[Total Healthcare Expenditures
(All Categories):
Base Scenario]]*Table153643454613[[#This Row],[Smoking-Attributable Fraction (SAF) of Healthcare Expenditures: Lower Bound
Adjusted for Intervention Impacts]]</f>
        <v>161610722.81952405</v>
      </c>
      <c r="AB139" s="66">
        <f>Table153643454613[[#This Row],[Total Healthcare Expenditures
(All Categories):
Base Scenario]]*Table153643454613[[#This Row],[Smoking-Attributable Fraction (SAF) of Healthcare Expenditures: Upper Bound
Adjusted for Intervention Impacts]]</f>
        <v>304483970.52953809</v>
      </c>
      <c r="AC139" s="66">
        <f>Table153643454613[[#This Row],[Total Government Healthcare Expenditures
(including national insurance):
Base Scenario]]*Table153643454613[[#This Row],[Smoking-Attributable Fraction (SAF) of Healthcare Expenditures:
Adjusted for Intervention Impacts]]</f>
        <v>68789341.579308763</v>
      </c>
      <c r="AD139" s="66">
        <f>Table153643454613[[#This Row],[Total Government Healthcare Expenditures
(including national insurance):
Base Scenario]]*Table153643454613[[#This Row],[Smoking-Attributable Fraction (SAF) of Healthcare Expenditures: Lower Bound
Adjusted for Intervention Impacts]]</f>
        <v>58598328.012003757</v>
      </c>
      <c r="AE139" s="66">
        <f>Table153643454613[[#This Row],[Total Government Healthcare Expenditures
(including national insurance):
Base Scenario]]*Table153643454613[[#This Row],[Smoking-Attributable Fraction (SAF) of Healthcare Expenditures: Upper Bound
Adjusted for Intervention Impacts]]</f>
        <v>110402646.97913752</v>
      </c>
      <c r="AF139" s="66">
        <f>Table153643454613[[#This Row],[Total Private (Out-of-Pocket) Healthcare Expenditures:
Base Scenario]]*Table153643454613[[#This Row],[Smoking-Attributable Fraction (SAF) of Healthcare Expenditures:
Adjusted for Intervention Impacts]]</f>
        <v>108721818.07113095</v>
      </c>
      <c r="AG139" s="66">
        <f>Table153643454613[[#This Row],[Total Private (Out-of-Pocket) Healthcare Expenditures:
Base Scenario]]*Table153643454613[[#This Row],[Smoking-Attributable Fraction (SAF) of Healthcare Expenditures: Lower Bound
Adjusted for Intervention Impacts]]</f>
        <v>92614882.060593009</v>
      </c>
      <c r="AH139" s="66">
        <f>Table153643454613[[#This Row],[Total Private (Out-of-Pocket) Healthcare Expenditures:
Base Scenario]]*Table153643454613[[#This Row],[Smoking-Attributable Fraction (SAF) of Healthcare Expenditures: Upper Bound
Adjusted for Intervention Impacts]]</f>
        <v>174491806.78082743</v>
      </c>
      <c r="AI139" s="65">
        <f>Table153643454613[[#This Row],[Total Other Health Expenditures:
Base Scenario]]*Table153643454613[[#This Row],[Smoking-Attributable Fraction (SAF) of Healthcare Expenditures:
Adjusted for Intervention Impacts]]</f>
        <v>12205775.83334942</v>
      </c>
      <c r="AJ139" s="65">
        <f>Table153643454613[[#This Row],[Total Other Health Expenditures:
Base Scenario]]*Table153643454613[[#This Row],[Smoking-Attributable Fraction (SAF) of Healthcare Expenditures: Lower Bound
Adjusted for Intervention Impacts]]</f>
        <v>10397512.746927282</v>
      </c>
      <c r="AK139" s="65">
        <f>Table153643454613[[#This Row],[Total Other Health Expenditures:
Base Scenario]]*Table153643454613[[#This Row],[Smoking-Attributable Fraction (SAF) of Healthcare Expenditures: Upper Bound
Adjusted for Intervention Impacts]]</f>
        <v>19589516.769573141</v>
      </c>
      <c r="AL139" s="76">
        <f>Table153643454613[[#This Row],[Smoking-Attributable Total Healthcare Expenditures:
Base Scenario]]-Table153643454613[[#This Row],[Smoking-Attributable Total Healthcare Expenditures:
Intervention Scenario]]</f>
        <v>14241064.516210854</v>
      </c>
      <c r="AM139" s="76">
        <f>Table153643454613[[#This Row],[Smoking-Attributable Total Healthcare Expenditures: Lower Bound
Base Scenario]]-Table153643454613[[#This Row],[Smoking-Attributable Total Healthcare Expenditures: Lower Bound
Intervention Scenario]]</f>
        <v>12131277.18047595</v>
      </c>
      <c r="AN139" s="76">
        <f>Table153643454613[[#This Row],[Smoking-Attributable Total Healthcare Expenditures: Upper Bound
Base Scenario]]-Table153643454613[[#This Row],[Smoking-Attributable Total Healthcare Expenditures: Upper Bound
Intervention Scenario]]</f>
        <v>22856029.470461905</v>
      </c>
      <c r="AO139" s="76">
        <f>Table153643454613[[#This Row],[Smoking-Attributable Government Healthcare Expenditures
(including national insurance):
Base Scenario]]-Table153643454613[[#This Row],[Smoking-Attributable Government Healthcare Expenditures
(including national insurance):
Intervention Scenario]]</f>
        <v>5163658.4206912369</v>
      </c>
      <c r="AP139"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4398671.9879962504</v>
      </c>
      <c r="AQ139"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8287353.020862475</v>
      </c>
      <c r="AR139" s="76">
        <f>Table153643454613[[#This Row],[Smoking-Attributable Private Healthcare Expenditures:
Base Scenario]]-Table153643454613[[#This Row],[Smoking-Attributable Private Healthcare Expenditures:
Intervention Scenario]]</f>
        <v>8161181.9288690537</v>
      </c>
      <c r="AS139" s="76">
        <f>Table153643454613[[#This Row],[Smoking-Attributable Private Healthcare Expenditures: Lower Bound
Base Scenario]]-Table153643454613[[#This Row],[Smoking-Attributable Private Healthcare Expenditures: Lower Bound
Intervention Scenario]]</f>
        <v>6952117.9394070059</v>
      </c>
      <c r="AT139" s="76">
        <f>Table153643454613[[#This Row],[Smoking-Attributable Private Healthcare Expenditures: Upper Bound
Base Scenario]]-Table153643454613[[#This Row],[Smoking-Attributable Private Healthcare Expenditures: Upper Bound
Intervention Scenario]]</f>
        <v>13098193.219172567</v>
      </c>
      <c r="AU139" s="76">
        <f>Table153643454613[[#This Row],[Smoking-Attributable Other Health Expenditures:
Base Scenario]]-Table153643454613[[#This Row],[Smoking-Attributable Other Health Expenditures:
Intervention Scenario]]</f>
        <v>916224.16665058024</v>
      </c>
      <c r="AV139" s="235">
        <f>Table153643454613[[#This Row],[Smoking-Attributable Other Health Expenditures: Lower Bound
Base Scenario]]-Table153643454613[[#This Row],[Smoking-Attributable Other Health Expenditures: Lower Bound
Intervention Scenario]]</f>
        <v>780487.25307272002</v>
      </c>
      <c r="AW139" s="235">
        <f>Table153643454613[[#This Row],[Smoking-Attributable Other Health Expenditures: Upper Bound
Base Scenario]]-Table153643454613[[#This Row],[Smoking-Attributable Other Health Expenditures: Upper Bound
Intervention Scenario]]</f>
        <v>1470483.2304268591</v>
      </c>
    </row>
    <row r="140" spans="2:49">
      <c r="B140" s="47">
        <v>10</v>
      </c>
      <c r="C140" s="48">
        <f t="shared" si="39"/>
        <v>2518000000</v>
      </c>
      <c r="D140" s="48">
        <f t="shared" si="40"/>
        <v>913000000</v>
      </c>
      <c r="E140" s="48">
        <f t="shared" si="41"/>
        <v>1443000000</v>
      </c>
      <c r="F140" s="48">
        <f t="shared" si="42"/>
        <v>162000000</v>
      </c>
      <c r="G140" s="232">
        <f t="shared" si="43"/>
        <v>8.1000000000000003E-2</v>
      </c>
      <c r="H140" s="46">
        <f t="shared" si="47"/>
        <v>6.9000000000000006E-2</v>
      </c>
      <c r="I140" s="46">
        <f t="shared" si="44"/>
        <v>0.13</v>
      </c>
      <c r="J140" s="43">
        <f>Table153643454613[[#This Row],[Total Healthcare Expenditures
(All Categories):
Base Scenario]]*Table153643454613[[#This Row],[Smoking-Attributable Fraction (SAF) of Healthcare Expenditures
Base Scenario]]</f>
        <v>203958000</v>
      </c>
      <c r="K140" s="43">
        <f>Table153643454613[[#This Row],[Total Healthcare Expenditures
(All Categories):
Base Scenario]]*Table153643454613[[#This Row],[Smoking-Attributable Fraction (SAF) of Healthcare Expenditures: Lower Bound
Base Scenario]]</f>
        <v>173742000</v>
      </c>
      <c r="L140" s="43">
        <f>Table153643454613[[#This Row],[Total Healthcare Expenditures
(All Categories):
Base Scenario]]*Table153643454613[[#This Row],[Smoking-Attributable Fraction (SAF) of Healthcare Expenditures: Upper Bound
Base Scenario]]</f>
        <v>327340000</v>
      </c>
      <c r="M140" s="43">
        <f>Table153643454613[[#This Row],[Total Government Healthcare Expenditures
(including national insurance):
Base Scenario]]*Table153643454613[[#This Row],[Smoking-Attributable Fraction (SAF) of Healthcare Expenditures
Base Scenario]]</f>
        <v>73953000</v>
      </c>
      <c r="N140" s="43">
        <f>Table153643454613[[#This Row],[Total Government Healthcare Expenditures
(including national insurance):
Base Scenario]]*Table153643454613[[#This Row],[Smoking-Attributable Fraction (SAF) of Healthcare Expenditures: Lower Bound
Base Scenario]]</f>
        <v>62997000.000000007</v>
      </c>
      <c r="O140" s="43">
        <f>Table153643454613[[#This Row],[Total Government Healthcare Expenditures
(including national insurance):
Base Scenario]]*Table153643454613[[#This Row],[Smoking-Attributable Fraction (SAF) of Healthcare Expenditures: Upper Bound
Base Scenario]]</f>
        <v>118690000</v>
      </c>
      <c r="P140" s="43">
        <f>Table153643454613[[#This Row],[Total Private (Out-of-Pocket) Healthcare Expenditures:
Base Scenario]]*Table153643454613[[#This Row],[Smoking-Attributable Fraction (SAF) of Healthcare Expenditures
Base Scenario]]</f>
        <v>116883000</v>
      </c>
      <c r="Q140" s="43">
        <f>Table153643454613[[#This Row],[Total Private (Out-of-Pocket) Healthcare Expenditures:
Base Scenario]]*Table153643454613[[#This Row],[Smoking-Attributable Fraction (SAF) of Healthcare Expenditures: Lower Bound
Base Scenario]]</f>
        <v>99567000.000000015</v>
      </c>
      <c r="R140" s="43">
        <f>Table153643454613[[#This Row],[Total Private (Out-of-Pocket) Healthcare Expenditures:
Base Scenario]]*Table153643454613[[#This Row],[Smoking-Attributable Fraction (SAF) of Healthcare Expenditures: Upper Bound
Base Scenario]]</f>
        <v>187590000</v>
      </c>
      <c r="S140" s="43">
        <f>Table153643454613[[#This Row],[Total Other Health Expenditures:
Base Scenario]]*Table153643454613[[#This Row],[Smoking-Attributable Fraction (SAF) of Healthcare Expenditures
Base Scenario]]</f>
        <v>13122000</v>
      </c>
      <c r="T140" s="43">
        <f>Table153643454613[[#This Row],[Total Other Health Expenditures:
Base Scenario]]*Table153643454613[[#This Row],[Smoking-Attributable Fraction (SAF) of Healthcare Expenditures: Lower Bound
Base Scenario]]</f>
        <v>11178000.000000002</v>
      </c>
      <c r="U140" s="43">
        <f>Table153643454613[[#This Row],[Total Other Health Expenditures:
Base Scenario]]*Table153643454613[[#This Row],[Smoking-Attributable Fraction (SAF) of Healthcare Expenditures: Upper Bound
Base Scenario]]</f>
        <v>21060000</v>
      </c>
      <c r="V140" s="62">
        <v>-2.9999999999999996E-3</v>
      </c>
      <c r="W140" s="60">
        <f>W139*(1+Table153643454613[[#This Row],[Relative Change in Smoking Prevalence:
Cigarette Package Warnings]])</f>
        <v>7.5118262381786247E-2</v>
      </c>
      <c r="X140" s="60">
        <f>X139*(1+Table153643454613[[#This Row],[Relative Change in Smoking Prevalence:
Cigarette Package Warnings]])</f>
        <v>6.3989630917817911E-2</v>
      </c>
      <c r="Y140" s="60">
        <f>Y139*(1+Table153643454613[[#This Row],[Relative Change in Smoking Prevalence:
Cigarette Package Warnings]])</f>
        <v>0.12056017419299025</v>
      </c>
      <c r="Z140" s="66">
        <f>Table153643454613[[#This Row],[Total Healthcare Expenditures
(All Categories):
Base Scenario]]*Table153643454613[[#This Row],[Smoking-Attributable Fraction (SAF) of Healthcare Expenditures:
Adjusted for Intervention Impacts]]</f>
        <v>189147784.67733777</v>
      </c>
      <c r="AA140" s="64">
        <f>Table153643454613[[#This Row],[Total Healthcare Expenditures
(All Categories):
Base Scenario]]*Table153643454613[[#This Row],[Smoking-Attributable Fraction (SAF) of Healthcare Expenditures: Lower Bound
Adjusted for Intervention Impacts]]</f>
        <v>161125890.6510655</v>
      </c>
      <c r="AB140" s="66">
        <f>Table153643454613[[#This Row],[Total Healthcare Expenditures
(All Categories):
Base Scenario]]*Table153643454613[[#This Row],[Smoking-Attributable Fraction (SAF) of Healthcare Expenditures: Upper Bound
Adjusted for Intervention Impacts]]</f>
        <v>303570518.61794949</v>
      </c>
      <c r="AC140" s="66">
        <f>Table153643454613[[#This Row],[Total Government Healthcare Expenditures
(including national insurance):
Base Scenario]]*Table153643454613[[#This Row],[Smoking-Attributable Fraction (SAF) of Healthcare Expenditures:
Adjusted for Intervention Impacts]]</f>
        <v>68582973.554570839</v>
      </c>
      <c r="AD140" s="66">
        <f>Table153643454613[[#This Row],[Total Government Healthcare Expenditures
(including national insurance):
Base Scenario]]*Table153643454613[[#This Row],[Smoking-Attributable Fraction (SAF) of Healthcare Expenditures: Lower Bound
Adjusted for Intervention Impacts]]</f>
        <v>58422533.027967751</v>
      </c>
      <c r="AE140" s="66">
        <f>Table153643454613[[#This Row],[Total Government Healthcare Expenditures
(including national insurance):
Base Scenario]]*Table153643454613[[#This Row],[Smoking-Attributable Fraction (SAF) of Healthcare Expenditures: Upper Bound
Adjusted for Intervention Impacts]]</f>
        <v>110071439.0382001</v>
      </c>
      <c r="AF140" s="66">
        <f>Table153643454613[[#This Row],[Total Private (Out-of-Pocket) Healthcare Expenditures:
Base Scenario]]*Table153643454613[[#This Row],[Smoking-Attributable Fraction (SAF) of Healthcare Expenditures:
Adjusted for Intervention Impacts]]</f>
        <v>108395652.61691755</v>
      </c>
      <c r="AG140" s="66">
        <f>Table153643454613[[#This Row],[Total Private (Out-of-Pocket) Healthcare Expenditures:
Base Scenario]]*Table153643454613[[#This Row],[Smoking-Attributable Fraction (SAF) of Healthcare Expenditures: Lower Bound
Adjusted for Intervention Impacts]]</f>
        <v>92337037.414411247</v>
      </c>
      <c r="AH140" s="66">
        <f>Table153643454613[[#This Row],[Total Private (Out-of-Pocket) Healthcare Expenditures:
Base Scenario]]*Table153643454613[[#This Row],[Smoking-Attributable Fraction (SAF) of Healthcare Expenditures: Upper Bound
Adjusted for Intervention Impacts]]</f>
        <v>173968331.36048493</v>
      </c>
      <c r="AI140" s="65">
        <f>Table153643454613[[#This Row],[Total Other Health Expenditures:
Base Scenario]]*Table153643454613[[#This Row],[Smoking-Attributable Fraction (SAF) of Healthcare Expenditures:
Adjusted for Intervention Impacts]]</f>
        <v>12169158.505849373</v>
      </c>
      <c r="AJ140" s="65">
        <f>Table153643454613[[#This Row],[Total Other Health Expenditures:
Base Scenario]]*Table153643454613[[#This Row],[Smoking-Attributable Fraction (SAF) of Healthcare Expenditures: Lower Bound
Adjusted for Intervention Impacts]]</f>
        <v>10366320.208686501</v>
      </c>
      <c r="AK140" s="65">
        <f>Table153643454613[[#This Row],[Total Other Health Expenditures:
Base Scenario]]*Table153643454613[[#This Row],[Smoking-Attributable Fraction (SAF) of Healthcare Expenditures: Upper Bound
Adjusted for Intervention Impacts]]</f>
        <v>19530748.219264422</v>
      </c>
      <c r="AL140" s="76">
        <f>Table153643454613[[#This Row],[Smoking-Attributable Total Healthcare Expenditures:
Base Scenario]]-Table153643454613[[#This Row],[Smoking-Attributable Total Healthcare Expenditures:
Intervention Scenario]]</f>
        <v>14810215.322662234</v>
      </c>
      <c r="AM140" s="76">
        <f>Table153643454613[[#This Row],[Smoking-Attributable Total Healthcare Expenditures: Lower Bound
Base Scenario]]-Table153643454613[[#This Row],[Smoking-Attributable Total Healthcare Expenditures: Lower Bound
Intervention Scenario]]</f>
        <v>12616109.348934501</v>
      </c>
      <c r="AN140" s="76">
        <f>Table153643454613[[#This Row],[Smoking-Attributable Total Healthcare Expenditures: Upper Bound
Base Scenario]]-Table153643454613[[#This Row],[Smoking-Attributable Total Healthcare Expenditures: Upper Bound
Intervention Scenario]]</f>
        <v>23769481.382050514</v>
      </c>
      <c r="AO140" s="76">
        <f>Table153643454613[[#This Row],[Smoking-Attributable Government Healthcare Expenditures
(including national insurance):
Base Scenario]]-Table153643454613[[#This Row],[Smoking-Attributable Government Healthcare Expenditures
(including national insurance):
Intervention Scenario]]</f>
        <v>5370026.4454291612</v>
      </c>
      <c r="AP140"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4574466.9720322564</v>
      </c>
      <c r="AQ140"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8618560.9617999047</v>
      </c>
      <c r="AR140" s="76">
        <f>Table153643454613[[#This Row],[Smoking-Attributable Private Healthcare Expenditures:
Base Scenario]]-Table153643454613[[#This Row],[Smoking-Attributable Private Healthcare Expenditures:
Intervention Scenario]]</f>
        <v>8487347.3830824494</v>
      </c>
      <c r="AS140" s="76">
        <f>Table153643454613[[#This Row],[Smoking-Attributable Private Healthcare Expenditures: Lower Bound
Base Scenario]]-Table153643454613[[#This Row],[Smoking-Attributable Private Healthcare Expenditures: Lower Bound
Intervention Scenario]]</f>
        <v>7229962.5855887681</v>
      </c>
      <c r="AT140" s="76">
        <f>Table153643454613[[#This Row],[Smoking-Attributable Private Healthcare Expenditures: Upper Bound
Base Scenario]]-Table153643454613[[#This Row],[Smoking-Attributable Private Healthcare Expenditures: Upper Bound
Intervention Scenario]]</f>
        <v>13621668.639515072</v>
      </c>
      <c r="AU140" s="76">
        <f>Table153643454613[[#This Row],[Smoking-Attributable Other Health Expenditures:
Base Scenario]]-Table153643454613[[#This Row],[Smoking-Attributable Other Health Expenditures:
Intervention Scenario]]</f>
        <v>952841.4941506274</v>
      </c>
      <c r="AV140" s="235">
        <f>Table153643454613[[#This Row],[Smoking-Attributable Other Health Expenditures: Lower Bound
Base Scenario]]-Table153643454613[[#This Row],[Smoking-Attributable Other Health Expenditures: Lower Bound
Intervention Scenario]]</f>
        <v>811679.79131350107</v>
      </c>
      <c r="AW140" s="235">
        <f>Table153643454613[[#This Row],[Smoking-Attributable Other Health Expenditures: Upper Bound
Base Scenario]]-Table153643454613[[#This Row],[Smoking-Attributable Other Health Expenditures: Upper Bound
Intervention Scenario]]</f>
        <v>1529251.7807355784</v>
      </c>
    </row>
    <row r="141" spans="2:49">
      <c r="B141" s="47">
        <v>11</v>
      </c>
      <c r="C141" s="48">
        <f t="shared" si="39"/>
        <v>2518000000</v>
      </c>
      <c r="D141" s="48">
        <f t="shared" si="40"/>
        <v>913000000</v>
      </c>
      <c r="E141" s="48">
        <f t="shared" si="41"/>
        <v>1443000000</v>
      </c>
      <c r="F141" s="48">
        <f t="shared" si="42"/>
        <v>162000000</v>
      </c>
      <c r="G141" s="232">
        <f t="shared" si="43"/>
        <v>8.1000000000000003E-2</v>
      </c>
      <c r="H141" s="46">
        <f t="shared" si="47"/>
        <v>6.9000000000000006E-2</v>
      </c>
      <c r="I141" s="46">
        <f t="shared" si="44"/>
        <v>0.13</v>
      </c>
      <c r="J141" s="43">
        <f>Table153643454613[[#This Row],[Total Healthcare Expenditures
(All Categories):
Base Scenario]]*Table153643454613[[#This Row],[Smoking-Attributable Fraction (SAF) of Healthcare Expenditures
Base Scenario]]</f>
        <v>203958000</v>
      </c>
      <c r="K141" s="43">
        <f>Table153643454613[[#This Row],[Total Healthcare Expenditures
(All Categories):
Base Scenario]]*Table153643454613[[#This Row],[Smoking-Attributable Fraction (SAF) of Healthcare Expenditures: Lower Bound
Base Scenario]]</f>
        <v>173742000</v>
      </c>
      <c r="L141" s="43">
        <f>Table153643454613[[#This Row],[Total Healthcare Expenditures
(All Categories):
Base Scenario]]*Table153643454613[[#This Row],[Smoking-Attributable Fraction (SAF) of Healthcare Expenditures: Upper Bound
Base Scenario]]</f>
        <v>327340000</v>
      </c>
      <c r="M141" s="43">
        <f>Table153643454613[[#This Row],[Total Government Healthcare Expenditures
(including national insurance):
Base Scenario]]*Table153643454613[[#This Row],[Smoking-Attributable Fraction (SAF) of Healthcare Expenditures
Base Scenario]]</f>
        <v>73953000</v>
      </c>
      <c r="N141" s="43">
        <f>Table153643454613[[#This Row],[Total Government Healthcare Expenditures
(including national insurance):
Base Scenario]]*Table153643454613[[#This Row],[Smoking-Attributable Fraction (SAF) of Healthcare Expenditures: Lower Bound
Base Scenario]]</f>
        <v>62997000.000000007</v>
      </c>
      <c r="O141" s="43">
        <f>Table153643454613[[#This Row],[Total Government Healthcare Expenditures
(including national insurance):
Base Scenario]]*Table153643454613[[#This Row],[Smoking-Attributable Fraction (SAF) of Healthcare Expenditures: Upper Bound
Base Scenario]]</f>
        <v>118690000</v>
      </c>
      <c r="P141" s="43">
        <f>Table153643454613[[#This Row],[Total Private (Out-of-Pocket) Healthcare Expenditures:
Base Scenario]]*Table153643454613[[#This Row],[Smoking-Attributable Fraction (SAF) of Healthcare Expenditures
Base Scenario]]</f>
        <v>116883000</v>
      </c>
      <c r="Q141" s="43">
        <f>Table153643454613[[#This Row],[Total Private (Out-of-Pocket) Healthcare Expenditures:
Base Scenario]]*Table153643454613[[#This Row],[Smoking-Attributable Fraction (SAF) of Healthcare Expenditures: Lower Bound
Base Scenario]]</f>
        <v>99567000.000000015</v>
      </c>
      <c r="R141" s="43">
        <f>Table153643454613[[#This Row],[Total Private (Out-of-Pocket) Healthcare Expenditures:
Base Scenario]]*Table153643454613[[#This Row],[Smoking-Attributable Fraction (SAF) of Healthcare Expenditures: Upper Bound
Base Scenario]]</f>
        <v>187590000</v>
      </c>
      <c r="S141" s="43">
        <f>Table153643454613[[#This Row],[Total Other Health Expenditures:
Base Scenario]]*Table153643454613[[#This Row],[Smoking-Attributable Fraction (SAF) of Healthcare Expenditures
Base Scenario]]</f>
        <v>13122000</v>
      </c>
      <c r="T141" s="43">
        <f>Table153643454613[[#This Row],[Total Other Health Expenditures:
Base Scenario]]*Table153643454613[[#This Row],[Smoking-Attributable Fraction (SAF) of Healthcare Expenditures: Lower Bound
Base Scenario]]</f>
        <v>11178000.000000002</v>
      </c>
      <c r="U141" s="43">
        <f>Table153643454613[[#This Row],[Total Other Health Expenditures:
Base Scenario]]*Table153643454613[[#This Row],[Smoking-Attributable Fraction (SAF) of Healthcare Expenditures: Upper Bound
Base Scenario]]</f>
        <v>21060000</v>
      </c>
      <c r="V141" s="62">
        <v>-2.9999999999999996E-3</v>
      </c>
      <c r="W141" s="60">
        <f>W140*(1+Table153643454613[[#This Row],[Relative Change in Smoking Prevalence:
Cigarette Package Warnings]])</f>
        <v>7.4892907594640887E-2</v>
      </c>
      <c r="X141" s="60">
        <f>X140*(1+Table153643454613[[#This Row],[Relative Change in Smoking Prevalence:
Cigarette Package Warnings]])</f>
        <v>6.3797662025064455E-2</v>
      </c>
      <c r="Y141" s="60">
        <f>Y140*(1+Table153643454613[[#This Row],[Relative Change in Smoking Prevalence:
Cigarette Package Warnings]])</f>
        <v>0.12019849367041129</v>
      </c>
      <c r="Z141" s="66">
        <f>Table153643454613[[#This Row],[Total Healthcare Expenditures
(All Categories):
Base Scenario]]*Table153643454613[[#This Row],[Smoking-Attributable Fraction (SAF) of Healthcare Expenditures:
Adjusted for Intervention Impacts]]</f>
        <v>188580341.32330576</v>
      </c>
      <c r="AA141" s="64">
        <f>Table153643454613[[#This Row],[Total Healthcare Expenditures
(All Categories):
Base Scenario]]*Table153643454613[[#This Row],[Smoking-Attributable Fraction (SAF) of Healthcare Expenditures: Lower Bound
Adjusted for Intervention Impacts]]</f>
        <v>160642512.9791123</v>
      </c>
      <c r="AB141" s="66">
        <f>Table153643454613[[#This Row],[Total Healthcare Expenditures
(All Categories):
Base Scenario]]*Table153643454613[[#This Row],[Smoking-Attributable Fraction (SAF) of Healthcare Expenditures: Upper Bound
Adjusted for Intervention Impacts]]</f>
        <v>302659807.06209564</v>
      </c>
      <c r="AC141" s="66">
        <f>Table153643454613[[#This Row],[Total Government Healthcare Expenditures
(including national insurance):
Base Scenario]]*Table153643454613[[#This Row],[Smoking-Attributable Fraction (SAF) of Healthcare Expenditures:
Adjusted for Intervention Impacts]]</f>
        <v>68377224.633907124</v>
      </c>
      <c r="AD141" s="66">
        <f>Table153643454613[[#This Row],[Total Government Healthcare Expenditures
(including national insurance):
Base Scenario]]*Table153643454613[[#This Row],[Smoking-Attributable Fraction (SAF) of Healthcare Expenditures: Lower Bound
Adjusted for Intervention Impacts]]</f>
        <v>58247265.428883851</v>
      </c>
      <c r="AE141" s="66">
        <f>Table153643454613[[#This Row],[Total Government Healthcare Expenditures
(including national insurance):
Base Scenario]]*Table153643454613[[#This Row],[Smoking-Attributable Fraction (SAF) of Healthcare Expenditures: Upper Bound
Adjusted for Intervention Impacts]]</f>
        <v>109741224.7210855</v>
      </c>
      <c r="AF141" s="66">
        <f>Table153643454613[[#This Row],[Total Private (Out-of-Pocket) Healthcare Expenditures:
Base Scenario]]*Table153643454613[[#This Row],[Smoking-Attributable Fraction (SAF) of Healthcare Expenditures:
Adjusted for Intervention Impacts]]</f>
        <v>108070465.6590668</v>
      </c>
      <c r="AG141" s="66">
        <f>Table153643454613[[#This Row],[Total Private (Out-of-Pocket) Healthcare Expenditures:
Base Scenario]]*Table153643454613[[#This Row],[Smoking-Attributable Fraction (SAF) of Healthcare Expenditures: Lower Bound
Adjusted for Intervention Impacts]]</f>
        <v>92060026.302168012</v>
      </c>
      <c r="AH141" s="66">
        <f>Table153643454613[[#This Row],[Total Private (Out-of-Pocket) Healthcare Expenditures:
Base Scenario]]*Table153643454613[[#This Row],[Smoking-Attributable Fraction (SAF) of Healthcare Expenditures: Upper Bound
Adjusted for Intervention Impacts]]</f>
        <v>173446426.36640349</v>
      </c>
      <c r="AI141" s="65">
        <f>Table153643454613[[#This Row],[Total Other Health Expenditures:
Base Scenario]]*Table153643454613[[#This Row],[Smoking-Attributable Fraction (SAF) of Healthcare Expenditures:
Adjusted for Intervention Impacts]]</f>
        <v>12132651.030331824</v>
      </c>
      <c r="AJ141" s="65">
        <f>Table153643454613[[#This Row],[Total Other Health Expenditures:
Base Scenario]]*Table153643454613[[#This Row],[Smoking-Attributable Fraction (SAF) of Healthcare Expenditures: Lower Bound
Adjusted for Intervention Impacts]]</f>
        <v>10335221.248060443</v>
      </c>
      <c r="AK141" s="65">
        <f>Table153643454613[[#This Row],[Total Other Health Expenditures:
Base Scenario]]*Table153643454613[[#This Row],[Smoking-Attributable Fraction (SAF) of Healthcare Expenditures: Upper Bound
Adjusted for Intervention Impacts]]</f>
        <v>19472155.974606629</v>
      </c>
      <c r="AL141" s="76">
        <f>Table153643454613[[#This Row],[Smoking-Attributable Total Healthcare Expenditures:
Base Scenario]]-Table153643454613[[#This Row],[Smoking-Attributable Total Healthcare Expenditures:
Intervention Scenario]]</f>
        <v>15377658.676694244</v>
      </c>
      <c r="AM141" s="76">
        <f>Table153643454613[[#This Row],[Smoking-Attributable Total Healthcare Expenditures: Lower Bound
Base Scenario]]-Table153643454613[[#This Row],[Smoking-Attributable Total Healthcare Expenditures: Lower Bound
Intervention Scenario]]</f>
        <v>13099487.020887703</v>
      </c>
      <c r="AN141" s="76">
        <f>Table153643454613[[#This Row],[Smoking-Attributable Total Healthcare Expenditures: Upper Bound
Base Scenario]]-Table153643454613[[#This Row],[Smoking-Attributable Total Healthcare Expenditures: Upper Bound
Intervention Scenario]]</f>
        <v>24680192.937904358</v>
      </c>
      <c r="AO141" s="76">
        <f>Table153643454613[[#This Row],[Smoking-Attributable Government Healthcare Expenditures
(including national insurance):
Base Scenario]]-Table153643454613[[#This Row],[Smoking-Attributable Government Healthcare Expenditures
(including national insurance):
Intervention Scenario]]</f>
        <v>5575775.3660928756</v>
      </c>
      <c r="AP141"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4749734.5711161569</v>
      </c>
      <c r="AQ141"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8948775.2789144963</v>
      </c>
      <c r="AR141" s="76">
        <f>Table153643454613[[#This Row],[Smoking-Attributable Private Healthcare Expenditures:
Base Scenario]]-Table153643454613[[#This Row],[Smoking-Attributable Private Healthcare Expenditures:
Intervention Scenario]]</f>
        <v>8812534.3409332037</v>
      </c>
      <c r="AS141" s="76">
        <f>Table153643454613[[#This Row],[Smoking-Attributable Private Healthcare Expenditures: Lower Bound
Base Scenario]]-Table153643454613[[#This Row],[Smoking-Attributable Private Healthcare Expenditures: Lower Bound
Intervention Scenario]]</f>
        <v>7506973.6978320032</v>
      </c>
      <c r="AT141" s="76">
        <f>Table153643454613[[#This Row],[Smoking-Attributable Private Healthcare Expenditures: Upper Bound
Base Scenario]]-Table153643454613[[#This Row],[Smoking-Attributable Private Healthcare Expenditures: Upper Bound
Intervention Scenario]]</f>
        <v>14143573.63359651</v>
      </c>
      <c r="AU141" s="76">
        <f>Table153643454613[[#This Row],[Smoking-Attributable Other Health Expenditures:
Base Scenario]]-Table153643454613[[#This Row],[Smoking-Attributable Other Health Expenditures:
Intervention Scenario]]</f>
        <v>989348.96966817603</v>
      </c>
      <c r="AV141" s="235">
        <f>Table153643454613[[#This Row],[Smoking-Attributable Other Health Expenditures: Lower Bound
Base Scenario]]-Table153643454613[[#This Row],[Smoking-Attributable Other Health Expenditures: Lower Bound
Intervention Scenario]]</f>
        <v>842778.75193955936</v>
      </c>
      <c r="AW141" s="235">
        <f>Table153643454613[[#This Row],[Smoking-Attributable Other Health Expenditures: Upper Bound
Base Scenario]]-Table153643454613[[#This Row],[Smoking-Attributable Other Health Expenditures: Upper Bound
Intervention Scenario]]</f>
        <v>1587844.0253933705</v>
      </c>
    </row>
    <row r="142" spans="2:49">
      <c r="B142" s="47">
        <v>12</v>
      </c>
      <c r="C142" s="48">
        <f t="shared" si="39"/>
        <v>2518000000</v>
      </c>
      <c r="D142" s="48">
        <f t="shared" si="40"/>
        <v>913000000</v>
      </c>
      <c r="E142" s="48">
        <f t="shared" si="41"/>
        <v>1443000000</v>
      </c>
      <c r="F142" s="48">
        <f t="shared" si="42"/>
        <v>162000000</v>
      </c>
      <c r="G142" s="232">
        <f t="shared" si="43"/>
        <v>8.1000000000000003E-2</v>
      </c>
      <c r="H142" s="46">
        <f t="shared" si="47"/>
        <v>6.9000000000000006E-2</v>
      </c>
      <c r="I142" s="46">
        <f t="shared" si="44"/>
        <v>0.13</v>
      </c>
      <c r="J142" s="43">
        <f>Table153643454613[[#This Row],[Total Healthcare Expenditures
(All Categories):
Base Scenario]]*Table153643454613[[#This Row],[Smoking-Attributable Fraction (SAF) of Healthcare Expenditures
Base Scenario]]</f>
        <v>203958000</v>
      </c>
      <c r="K142" s="43">
        <f>Table153643454613[[#This Row],[Total Healthcare Expenditures
(All Categories):
Base Scenario]]*Table153643454613[[#This Row],[Smoking-Attributable Fraction (SAF) of Healthcare Expenditures: Lower Bound
Base Scenario]]</f>
        <v>173742000</v>
      </c>
      <c r="L142" s="43">
        <f>Table153643454613[[#This Row],[Total Healthcare Expenditures
(All Categories):
Base Scenario]]*Table153643454613[[#This Row],[Smoking-Attributable Fraction (SAF) of Healthcare Expenditures: Upper Bound
Base Scenario]]</f>
        <v>327340000</v>
      </c>
      <c r="M142" s="43">
        <f>Table153643454613[[#This Row],[Total Government Healthcare Expenditures
(including national insurance):
Base Scenario]]*Table153643454613[[#This Row],[Smoking-Attributable Fraction (SAF) of Healthcare Expenditures
Base Scenario]]</f>
        <v>73953000</v>
      </c>
      <c r="N142" s="43">
        <f>Table153643454613[[#This Row],[Total Government Healthcare Expenditures
(including national insurance):
Base Scenario]]*Table153643454613[[#This Row],[Smoking-Attributable Fraction (SAF) of Healthcare Expenditures: Lower Bound
Base Scenario]]</f>
        <v>62997000.000000007</v>
      </c>
      <c r="O142" s="43">
        <f>Table153643454613[[#This Row],[Total Government Healthcare Expenditures
(including national insurance):
Base Scenario]]*Table153643454613[[#This Row],[Smoking-Attributable Fraction (SAF) of Healthcare Expenditures: Upper Bound
Base Scenario]]</f>
        <v>118690000</v>
      </c>
      <c r="P142" s="43">
        <f>Table153643454613[[#This Row],[Total Private (Out-of-Pocket) Healthcare Expenditures:
Base Scenario]]*Table153643454613[[#This Row],[Smoking-Attributable Fraction (SAF) of Healthcare Expenditures
Base Scenario]]</f>
        <v>116883000</v>
      </c>
      <c r="Q142" s="43">
        <f>Table153643454613[[#This Row],[Total Private (Out-of-Pocket) Healthcare Expenditures:
Base Scenario]]*Table153643454613[[#This Row],[Smoking-Attributable Fraction (SAF) of Healthcare Expenditures: Lower Bound
Base Scenario]]</f>
        <v>99567000.000000015</v>
      </c>
      <c r="R142" s="43">
        <f>Table153643454613[[#This Row],[Total Private (Out-of-Pocket) Healthcare Expenditures:
Base Scenario]]*Table153643454613[[#This Row],[Smoking-Attributable Fraction (SAF) of Healthcare Expenditures: Upper Bound
Base Scenario]]</f>
        <v>187590000</v>
      </c>
      <c r="S142" s="43">
        <f>Table153643454613[[#This Row],[Total Other Health Expenditures:
Base Scenario]]*Table153643454613[[#This Row],[Smoking-Attributable Fraction (SAF) of Healthcare Expenditures
Base Scenario]]</f>
        <v>13122000</v>
      </c>
      <c r="T142" s="43">
        <f>Table153643454613[[#This Row],[Total Other Health Expenditures:
Base Scenario]]*Table153643454613[[#This Row],[Smoking-Attributable Fraction (SAF) of Healthcare Expenditures: Lower Bound
Base Scenario]]</f>
        <v>11178000.000000002</v>
      </c>
      <c r="U142" s="43">
        <f>Table153643454613[[#This Row],[Total Other Health Expenditures:
Base Scenario]]*Table153643454613[[#This Row],[Smoking-Attributable Fraction (SAF) of Healthcare Expenditures: Upper Bound
Base Scenario]]</f>
        <v>21060000</v>
      </c>
      <c r="V142" s="62">
        <v>-2.9999999999999996E-3</v>
      </c>
      <c r="W142" s="60">
        <f>W141*(1+Table153643454613[[#This Row],[Relative Change in Smoking Prevalence:
Cigarette Package Warnings]])</f>
        <v>7.4668228871856965E-2</v>
      </c>
      <c r="X142" s="60">
        <f>X141*(1+Table153643454613[[#This Row],[Relative Change in Smoking Prevalence:
Cigarette Package Warnings]])</f>
        <v>6.3606269038989263E-2</v>
      </c>
      <c r="Y142" s="60">
        <f>Y141*(1+Table153643454613[[#This Row],[Relative Change in Smoking Prevalence:
Cigarette Package Warnings]])</f>
        <v>0.11983789818940005</v>
      </c>
      <c r="Z142" s="66">
        <f>Table153643454613[[#This Row],[Total Healthcare Expenditures
(All Categories):
Base Scenario]]*Table153643454613[[#This Row],[Smoking-Attributable Fraction (SAF) of Healthcare Expenditures:
Adjusted for Intervention Impacts]]</f>
        <v>188014600.29933584</v>
      </c>
      <c r="AA142" s="64">
        <f>Table153643454613[[#This Row],[Total Healthcare Expenditures
(All Categories):
Base Scenario]]*Table153643454613[[#This Row],[Smoking-Attributable Fraction (SAF) of Healthcare Expenditures: Lower Bound
Adjusted for Intervention Impacts]]</f>
        <v>160160585.44017497</v>
      </c>
      <c r="AB142" s="66">
        <f>Table153643454613[[#This Row],[Total Healthcare Expenditures
(All Categories):
Base Scenario]]*Table153643454613[[#This Row],[Smoking-Attributable Fraction (SAF) of Healthcare Expenditures: Upper Bound
Adjusted for Intervention Impacts]]</f>
        <v>301751827.64090931</v>
      </c>
      <c r="AC142" s="66">
        <f>Table153643454613[[#This Row],[Total Government Healthcare Expenditures
(including national insurance):
Base Scenario]]*Table153643454613[[#This Row],[Smoking-Attributable Fraction (SAF) of Healthcare Expenditures:
Adjusted for Intervention Impacts]]</f>
        <v>68172092.960005403</v>
      </c>
      <c r="AD142" s="66">
        <f>Table153643454613[[#This Row],[Total Government Healthcare Expenditures
(including national insurance):
Base Scenario]]*Table153643454613[[#This Row],[Smoking-Attributable Fraction (SAF) of Healthcare Expenditures: Lower Bound
Adjusted for Intervention Impacts]]</f>
        <v>58072523.632597201</v>
      </c>
      <c r="AE142" s="66">
        <f>Table153643454613[[#This Row],[Total Government Healthcare Expenditures
(including national insurance):
Base Scenario]]*Table153643454613[[#This Row],[Smoking-Attributable Fraction (SAF) of Healthcare Expenditures: Upper Bound
Adjusted for Intervention Impacts]]</f>
        <v>109412001.04692225</v>
      </c>
      <c r="AF142" s="66">
        <f>Table153643454613[[#This Row],[Total Private (Out-of-Pocket) Healthcare Expenditures:
Base Scenario]]*Table153643454613[[#This Row],[Smoking-Attributable Fraction (SAF) of Healthcare Expenditures:
Adjusted for Intervention Impacts]]</f>
        <v>107746254.2620896</v>
      </c>
      <c r="AG142" s="66">
        <f>Table153643454613[[#This Row],[Total Private (Out-of-Pocket) Healthcare Expenditures:
Base Scenario]]*Table153643454613[[#This Row],[Smoking-Attributable Fraction (SAF) of Healthcare Expenditures: Lower Bound
Adjusted for Intervention Impacts]]</f>
        <v>91783846.223261505</v>
      </c>
      <c r="AH142" s="66">
        <f>Table153643454613[[#This Row],[Total Private (Out-of-Pocket) Healthcare Expenditures:
Base Scenario]]*Table153643454613[[#This Row],[Smoking-Attributable Fraction (SAF) of Healthcare Expenditures: Upper Bound
Adjusted for Intervention Impacts]]</f>
        <v>172926087.08730426</v>
      </c>
      <c r="AI142" s="65">
        <f>Table153643454613[[#This Row],[Total Other Health Expenditures:
Base Scenario]]*Table153643454613[[#This Row],[Smoking-Attributable Fraction (SAF) of Healthcare Expenditures:
Adjusted for Intervention Impacts]]</f>
        <v>12096253.077240828</v>
      </c>
      <c r="AJ142" s="65">
        <f>Table153643454613[[#This Row],[Total Other Health Expenditures:
Base Scenario]]*Table153643454613[[#This Row],[Smoking-Attributable Fraction (SAF) of Healthcare Expenditures: Lower Bound
Adjusted for Intervention Impacts]]</f>
        <v>10304215.584316261</v>
      </c>
      <c r="AK142" s="65">
        <f>Table153643454613[[#This Row],[Total Other Health Expenditures:
Base Scenario]]*Table153643454613[[#This Row],[Smoking-Attributable Fraction (SAF) of Healthcare Expenditures: Upper Bound
Adjusted for Intervention Impacts]]</f>
        <v>19413739.506682809</v>
      </c>
      <c r="AL142" s="76">
        <f>Table153643454613[[#This Row],[Smoking-Attributable Total Healthcare Expenditures:
Base Scenario]]-Table153643454613[[#This Row],[Smoking-Attributable Total Healthcare Expenditures:
Intervention Scenario]]</f>
        <v>15943399.700664163</v>
      </c>
      <c r="AM142" s="76">
        <f>Table153643454613[[#This Row],[Smoking-Attributable Total Healthcare Expenditures: Lower Bound
Base Scenario]]-Table153643454613[[#This Row],[Smoking-Attributable Total Healthcare Expenditures: Lower Bound
Intervention Scenario]]</f>
        <v>13581414.559825033</v>
      </c>
      <c r="AN142" s="76">
        <f>Table153643454613[[#This Row],[Smoking-Attributable Total Healthcare Expenditures: Upper Bound
Base Scenario]]-Table153643454613[[#This Row],[Smoking-Attributable Total Healthcare Expenditures: Upper Bound
Intervention Scenario]]</f>
        <v>25588172.359090686</v>
      </c>
      <c r="AO142" s="76">
        <f>Table153643454613[[#This Row],[Smoking-Attributable Government Healthcare Expenditures
(including national insurance):
Base Scenario]]-Table153643454613[[#This Row],[Smoking-Attributable Government Healthcare Expenditures
(including national insurance):
Intervention Scenario]]</f>
        <v>5780907.0399945974</v>
      </c>
      <c r="AP142"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4924476.3674028069</v>
      </c>
      <c r="AQ142"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9277998.9530777484</v>
      </c>
      <c r="AR142" s="76">
        <f>Table153643454613[[#This Row],[Smoking-Attributable Private Healthcare Expenditures:
Base Scenario]]-Table153643454613[[#This Row],[Smoking-Attributable Private Healthcare Expenditures:
Intervention Scenario]]</f>
        <v>9136745.7379104048</v>
      </c>
      <c r="AS142" s="76">
        <f>Table153643454613[[#This Row],[Smoking-Attributable Private Healthcare Expenditures: Lower Bound
Base Scenario]]-Table153643454613[[#This Row],[Smoking-Attributable Private Healthcare Expenditures: Lower Bound
Intervention Scenario]]</f>
        <v>7783153.7767385095</v>
      </c>
      <c r="AT142" s="76">
        <f>Table153643454613[[#This Row],[Smoking-Attributable Private Healthcare Expenditures: Upper Bound
Base Scenario]]-Table153643454613[[#This Row],[Smoking-Attributable Private Healthcare Expenditures: Upper Bound
Intervention Scenario]]</f>
        <v>14663912.912695736</v>
      </c>
      <c r="AU142" s="76">
        <f>Table153643454613[[#This Row],[Smoking-Attributable Other Health Expenditures:
Base Scenario]]-Table153643454613[[#This Row],[Smoking-Attributable Other Health Expenditures:
Intervention Scenario]]</f>
        <v>1025746.9227591716</v>
      </c>
      <c r="AV142" s="235">
        <f>Table153643454613[[#This Row],[Smoking-Attributable Other Health Expenditures: Lower Bound
Base Scenario]]-Table153643454613[[#This Row],[Smoking-Attributable Other Health Expenditures: Lower Bound
Intervention Scenario]]</f>
        <v>873784.41568374075</v>
      </c>
      <c r="AW142" s="235">
        <f>Table153643454613[[#This Row],[Smoking-Attributable Other Health Expenditures: Upper Bound
Base Scenario]]-Table153643454613[[#This Row],[Smoking-Attributable Other Health Expenditures: Upper Bound
Intervention Scenario]]</f>
        <v>1646260.4933171906</v>
      </c>
    </row>
    <row r="143" spans="2:49">
      <c r="B143" s="47">
        <v>13</v>
      </c>
      <c r="C143" s="48">
        <f t="shared" si="39"/>
        <v>2518000000</v>
      </c>
      <c r="D143" s="48">
        <f t="shared" si="40"/>
        <v>913000000</v>
      </c>
      <c r="E143" s="48">
        <f t="shared" si="41"/>
        <v>1443000000</v>
      </c>
      <c r="F143" s="48">
        <f t="shared" si="42"/>
        <v>162000000</v>
      </c>
      <c r="G143" s="232">
        <f t="shared" si="43"/>
        <v>8.1000000000000003E-2</v>
      </c>
      <c r="H143" s="46">
        <f t="shared" si="47"/>
        <v>6.9000000000000006E-2</v>
      </c>
      <c r="I143" s="46">
        <f t="shared" si="44"/>
        <v>0.13</v>
      </c>
      <c r="J143" s="43">
        <f>Table153643454613[[#This Row],[Total Healthcare Expenditures
(All Categories):
Base Scenario]]*Table153643454613[[#This Row],[Smoking-Attributable Fraction (SAF) of Healthcare Expenditures
Base Scenario]]</f>
        <v>203958000</v>
      </c>
      <c r="K143" s="43">
        <f>Table153643454613[[#This Row],[Total Healthcare Expenditures
(All Categories):
Base Scenario]]*Table153643454613[[#This Row],[Smoking-Attributable Fraction (SAF) of Healthcare Expenditures: Lower Bound
Base Scenario]]</f>
        <v>173742000</v>
      </c>
      <c r="L143" s="43">
        <f>Table153643454613[[#This Row],[Total Healthcare Expenditures
(All Categories):
Base Scenario]]*Table153643454613[[#This Row],[Smoking-Attributable Fraction (SAF) of Healthcare Expenditures: Upper Bound
Base Scenario]]</f>
        <v>327340000</v>
      </c>
      <c r="M143" s="43">
        <f>Table153643454613[[#This Row],[Total Government Healthcare Expenditures
(including national insurance):
Base Scenario]]*Table153643454613[[#This Row],[Smoking-Attributable Fraction (SAF) of Healthcare Expenditures
Base Scenario]]</f>
        <v>73953000</v>
      </c>
      <c r="N143" s="43">
        <f>Table153643454613[[#This Row],[Total Government Healthcare Expenditures
(including national insurance):
Base Scenario]]*Table153643454613[[#This Row],[Smoking-Attributable Fraction (SAF) of Healthcare Expenditures: Lower Bound
Base Scenario]]</f>
        <v>62997000.000000007</v>
      </c>
      <c r="O143" s="43">
        <f>Table153643454613[[#This Row],[Total Government Healthcare Expenditures
(including national insurance):
Base Scenario]]*Table153643454613[[#This Row],[Smoking-Attributable Fraction (SAF) of Healthcare Expenditures: Upper Bound
Base Scenario]]</f>
        <v>118690000</v>
      </c>
      <c r="P143" s="43">
        <f>Table153643454613[[#This Row],[Total Private (Out-of-Pocket) Healthcare Expenditures:
Base Scenario]]*Table153643454613[[#This Row],[Smoking-Attributable Fraction (SAF) of Healthcare Expenditures
Base Scenario]]</f>
        <v>116883000</v>
      </c>
      <c r="Q143" s="43">
        <f>Table153643454613[[#This Row],[Total Private (Out-of-Pocket) Healthcare Expenditures:
Base Scenario]]*Table153643454613[[#This Row],[Smoking-Attributable Fraction (SAF) of Healthcare Expenditures: Lower Bound
Base Scenario]]</f>
        <v>99567000.000000015</v>
      </c>
      <c r="R143" s="43">
        <f>Table153643454613[[#This Row],[Total Private (Out-of-Pocket) Healthcare Expenditures:
Base Scenario]]*Table153643454613[[#This Row],[Smoking-Attributable Fraction (SAF) of Healthcare Expenditures: Upper Bound
Base Scenario]]</f>
        <v>187590000</v>
      </c>
      <c r="S143" s="43">
        <f>Table153643454613[[#This Row],[Total Other Health Expenditures:
Base Scenario]]*Table153643454613[[#This Row],[Smoking-Attributable Fraction (SAF) of Healthcare Expenditures
Base Scenario]]</f>
        <v>13122000</v>
      </c>
      <c r="T143" s="43">
        <f>Table153643454613[[#This Row],[Total Other Health Expenditures:
Base Scenario]]*Table153643454613[[#This Row],[Smoking-Attributable Fraction (SAF) of Healthcare Expenditures: Lower Bound
Base Scenario]]</f>
        <v>11178000.000000002</v>
      </c>
      <c r="U143" s="43">
        <f>Table153643454613[[#This Row],[Total Other Health Expenditures:
Base Scenario]]*Table153643454613[[#This Row],[Smoking-Attributable Fraction (SAF) of Healthcare Expenditures: Upper Bound
Base Scenario]]</f>
        <v>21060000</v>
      </c>
      <c r="V143" s="62">
        <v>-2.9999999999999996E-3</v>
      </c>
      <c r="W143" s="60">
        <f>W142*(1+Table153643454613[[#This Row],[Relative Change in Smoking Prevalence:
Cigarette Package Warnings]])</f>
        <v>7.4444224185241395E-2</v>
      </c>
      <c r="X143" s="60">
        <f>X142*(1+Table153643454613[[#This Row],[Relative Change in Smoking Prevalence:
Cigarette Package Warnings]])</f>
        <v>6.3415450231872297E-2</v>
      </c>
      <c r="Y143" s="60">
        <f>Y142*(1+Table153643454613[[#This Row],[Relative Change in Smoking Prevalence:
Cigarette Package Warnings]])</f>
        <v>0.11947838449483185</v>
      </c>
      <c r="Z143" s="66">
        <f>Table153643454613[[#This Row],[Total Healthcare Expenditures
(All Categories):
Base Scenario]]*Table153643454613[[#This Row],[Smoking-Attributable Fraction (SAF) of Healthcare Expenditures:
Adjusted for Intervention Impacts]]</f>
        <v>187450556.49843782</v>
      </c>
      <c r="AA143" s="64">
        <f>Table153643454613[[#This Row],[Total Healthcare Expenditures
(All Categories):
Base Scenario]]*Table153643454613[[#This Row],[Smoking-Attributable Fraction (SAF) of Healthcare Expenditures: Lower Bound
Adjusted for Intervention Impacts]]</f>
        <v>159680103.68385443</v>
      </c>
      <c r="AB143" s="66">
        <f>Table153643454613[[#This Row],[Total Healthcare Expenditures
(All Categories):
Base Scenario]]*Table153643454613[[#This Row],[Smoking-Attributable Fraction (SAF) of Healthcare Expenditures: Upper Bound
Adjusted for Intervention Impacts]]</f>
        <v>300846572.15798658</v>
      </c>
      <c r="AC143" s="66">
        <f>Table153643454613[[#This Row],[Total Government Healthcare Expenditures
(including national insurance):
Base Scenario]]*Table153643454613[[#This Row],[Smoking-Attributable Fraction (SAF) of Healthcare Expenditures:
Adjusted for Intervention Impacts]]</f>
        <v>67967576.681125388</v>
      </c>
      <c r="AD143" s="66">
        <f>Table153643454613[[#This Row],[Total Government Healthcare Expenditures
(including national insurance):
Base Scenario]]*Table153643454613[[#This Row],[Smoking-Attributable Fraction (SAF) of Healthcare Expenditures: Lower Bound
Adjusted for Intervention Impacts]]</f>
        <v>57898306.061699405</v>
      </c>
      <c r="AE143" s="66">
        <f>Table153643454613[[#This Row],[Total Government Healthcare Expenditures
(including national insurance):
Base Scenario]]*Table153643454613[[#This Row],[Smoking-Attributable Fraction (SAF) of Healthcare Expenditures: Upper Bound
Adjusted for Intervention Impacts]]</f>
        <v>109083765.04378147</v>
      </c>
      <c r="AF143" s="66">
        <f>Table153643454613[[#This Row],[Total Private (Out-of-Pocket) Healthcare Expenditures:
Base Scenario]]*Table153643454613[[#This Row],[Smoking-Attributable Fraction (SAF) of Healthcare Expenditures:
Adjusted for Intervention Impacts]]</f>
        <v>107423015.49930333</v>
      </c>
      <c r="AG143" s="66">
        <f>Table153643454613[[#This Row],[Total Private (Out-of-Pocket) Healthcare Expenditures:
Base Scenario]]*Table153643454613[[#This Row],[Smoking-Attributable Fraction (SAF) of Healthcare Expenditures: Lower Bound
Adjusted for Intervention Impacts]]</f>
        <v>91508494.684591725</v>
      </c>
      <c r="AH143" s="66">
        <f>Table153643454613[[#This Row],[Total Private (Out-of-Pocket) Healthcare Expenditures:
Base Scenario]]*Table153643454613[[#This Row],[Smoking-Attributable Fraction (SAF) of Healthcare Expenditures: Upper Bound
Adjusted for Intervention Impacts]]</f>
        <v>172407308.82604235</v>
      </c>
      <c r="AI143" s="65">
        <f>Table153643454613[[#This Row],[Total Other Health Expenditures:
Base Scenario]]*Table153643454613[[#This Row],[Smoking-Attributable Fraction (SAF) of Healthcare Expenditures:
Adjusted for Intervention Impacts]]</f>
        <v>12059964.318009106</v>
      </c>
      <c r="AJ143" s="65">
        <f>Table153643454613[[#This Row],[Total Other Health Expenditures:
Base Scenario]]*Table153643454613[[#This Row],[Smoking-Attributable Fraction (SAF) of Healthcare Expenditures: Lower Bound
Adjusted for Intervention Impacts]]</f>
        <v>10273302.937563311</v>
      </c>
      <c r="AK143" s="65">
        <f>Table153643454613[[#This Row],[Total Other Health Expenditures:
Base Scenario]]*Table153643454613[[#This Row],[Smoking-Attributable Fraction (SAF) of Healthcare Expenditures: Upper Bound
Adjusted for Intervention Impacts]]</f>
        <v>19355498.28816276</v>
      </c>
      <c r="AL143" s="76">
        <f>Table153643454613[[#This Row],[Smoking-Attributable Total Healthcare Expenditures:
Base Scenario]]-Table153643454613[[#This Row],[Smoking-Attributable Total Healthcare Expenditures:
Intervention Scenario]]</f>
        <v>16507443.501562178</v>
      </c>
      <c r="AM143" s="76">
        <f>Table153643454613[[#This Row],[Smoking-Attributable Total Healthcare Expenditures: Lower Bound
Base Scenario]]-Table153643454613[[#This Row],[Smoking-Attributable Total Healthcare Expenditures: Lower Bound
Intervention Scenario]]</f>
        <v>14061896.316145569</v>
      </c>
      <c r="AN143" s="76">
        <f>Table153643454613[[#This Row],[Smoking-Attributable Total Healthcare Expenditures: Upper Bound
Base Scenario]]-Table153643454613[[#This Row],[Smoking-Attributable Total Healthcare Expenditures: Upper Bound
Intervention Scenario]]</f>
        <v>26493427.842013419</v>
      </c>
      <c r="AO143" s="76">
        <f>Table153643454613[[#This Row],[Smoking-Attributable Government Healthcare Expenditures
(including national insurance):
Base Scenario]]-Table153643454613[[#This Row],[Smoking-Attributable Government Healthcare Expenditures
(including national insurance):
Intervention Scenario]]</f>
        <v>5985423.3188746125</v>
      </c>
      <c r="AP143"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5098693.9383006021</v>
      </c>
      <c r="AQ143"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9606234.9562185258</v>
      </c>
      <c r="AR143" s="76">
        <f>Table153643454613[[#This Row],[Smoking-Attributable Private Healthcare Expenditures:
Base Scenario]]-Table153643454613[[#This Row],[Smoking-Attributable Private Healthcare Expenditures:
Intervention Scenario]]</f>
        <v>9459984.500696674</v>
      </c>
      <c r="AS143" s="76">
        <f>Table153643454613[[#This Row],[Smoking-Attributable Private Healthcare Expenditures: Lower Bound
Base Scenario]]-Table153643454613[[#This Row],[Smoking-Attributable Private Healthcare Expenditures: Lower Bound
Intervention Scenario]]</f>
        <v>8058505.3154082894</v>
      </c>
      <c r="AT143" s="76">
        <f>Table153643454613[[#This Row],[Smoking-Attributable Private Healthcare Expenditures: Upper Bound
Base Scenario]]-Table153643454613[[#This Row],[Smoking-Attributable Private Healthcare Expenditures: Upper Bound
Intervention Scenario]]</f>
        <v>15182691.173957646</v>
      </c>
      <c r="AU143" s="76">
        <f>Table153643454613[[#This Row],[Smoking-Attributable Other Health Expenditures:
Base Scenario]]-Table153643454613[[#This Row],[Smoking-Attributable Other Health Expenditures:
Intervention Scenario]]</f>
        <v>1062035.6819908936</v>
      </c>
      <c r="AV143" s="235">
        <f>Table153643454613[[#This Row],[Smoking-Attributable Other Health Expenditures: Lower Bound
Base Scenario]]-Table153643454613[[#This Row],[Smoking-Attributable Other Health Expenditures: Lower Bound
Intervention Scenario]]</f>
        <v>904697.06243669055</v>
      </c>
      <c r="AW143" s="235">
        <f>Table153643454613[[#This Row],[Smoking-Attributable Other Health Expenditures: Upper Bound
Base Scenario]]-Table153643454613[[#This Row],[Smoking-Attributable Other Health Expenditures: Upper Bound
Intervention Scenario]]</f>
        <v>1704501.7118372396</v>
      </c>
    </row>
    <row r="144" spans="2:49">
      <c r="B144" s="47">
        <v>14</v>
      </c>
      <c r="C144" s="48">
        <f t="shared" si="39"/>
        <v>2518000000</v>
      </c>
      <c r="D144" s="48">
        <f t="shared" si="40"/>
        <v>913000000</v>
      </c>
      <c r="E144" s="48">
        <f t="shared" si="41"/>
        <v>1443000000</v>
      </c>
      <c r="F144" s="48">
        <f t="shared" si="42"/>
        <v>162000000</v>
      </c>
      <c r="G144" s="232">
        <f t="shared" si="43"/>
        <v>8.1000000000000003E-2</v>
      </c>
      <c r="H144" s="46">
        <f t="shared" si="47"/>
        <v>6.9000000000000006E-2</v>
      </c>
      <c r="I144" s="46">
        <f t="shared" si="44"/>
        <v>0.13</v>
      </c>
      <c r="J144" s="43">
        <f>Table153643454613[[#This Row],[Total Healthcare Expenditures
(All Categories):
Base Scenario]]*Table153643454613[[#This Row],[Smoking-Attributable Fraction (SAF) of Healthcare Expenditures
Base Scenario]]</f>
        <v>203958000</v>
      </c>
      <c r="K144" s="43">
        <f>Table153643454613[[#This Row],[Total Healthcare Expenditures
(All Categories):
Base Scenario]]*Table153643454613[[#This Row],[Smoking-Attributable Fraction (SAF) of Healthcare Expenditures: Lower Bound
Base Scenario]]</f>
        <v>173742000</v>
      </c>
      <c r="L144" s="43">
        <f>Table153643454613[[#This Row],[Total Healthcare Expenditures
(All Categories):
Base Scenario]]*Table153643454613[[#This Row],[Smoking-Attributable Fraction (SAF) of Healthcare Expenditures: Upper Bound
Base Scenario]]</f>
        <v>327340000</v>
      </c>
      <c r="M144" s="43">
        <f>Table153643454613[[#This Row],[Total Government Healthcare Expenditures
(including national insurance):
Base Scenario]]*Table153643454613[[#This Row],[Smoking-Attributable Fraction (SAF) of Healthcare Expenditures
Base Scenario]]</f>
        <v>73953000</v>
      </c>
      <c r="N144" s="43">
        <f>Table153643454613[[#This Row],[Total Government Healthcare Expenditures
(including national insurance):
Base Scenario]]*Table153643454613[[#This Row],[Smoking-Attributable Fraction (SAF) of Healthcare Expenditures: Lower Bound
Base Scenario]]</f>
        <v>62997000.000000007</v>
      </c>
      <c r="O144" s="43">
        <f>Table153643454613[[#This Row],[Total Government Healthcare Expenditures
(including national insurance):
Base Scenario]]*Table153643454613[[#This Row],[Smoking-Attributable Fraction (SAF) of Healthcare Expenditures: Upper Bound
Base Scenario]]</f>
        <v>118690000</v>
      </c>
      <c r="P144" s="43">
        <f>Table153643454613[[#This Row],[Total Private (Out-of-Pocket) Healthcare Expenditures:
Base Scenario]]*Table153643454613[[#This Row],[Smoking-Attributable Fraction (SAF) of Healthcare Expenditures
Base Scenario]]</f>
        <v>116883000</v>
      </c>
      <c r="Q144" s="43">
        <f>Table153643454613[[#This Row],[Total Private (Out-of-Pocket) Healthcare Expenditures:
Base Scenario]]*Table153643454613[[#This Row],[Smoking-Attributable Fraction (SAF) of Healthcare Expenditures: Lower Bound
Base Scenario]]</f>
        <v>99567000.000000015</v>
      </c>
      <c r="R144" s="43">
        <f>Table153643454613[[#This Row],[Total Private (Out-of-Pocket) Healthcare Expenditures:
Base Scenario]]*Table153643454613[[#This Row],[Smoking-Attributable Fraction (SAF) of Healthcare Expenditures: Upper Bound
Base Scenario]]</f>
        <v>187590000</v>
      </c>
      <c r="S144" s="43">
        <f>Table153643454613[[#This Row],[Total Other Health Expenditures:
Base Scenario]]*Table153643454613[[#This Row],[Smoking-Attributable Fraction (SAF) of Healthcare Expenditures
Base Scenario]]</f>
        <v>13122000</v>
      </c>
      <c r="T144" s="43">
        <f>Table153643454613[[#This Row],[Total Other Health Expenditures:
Base Scenario]]*Table153643454613[[#This Row],[Smoking-Attributable Fraction (SAF) of Healthcare Expenditures: Lower Bound
Base Scenario]]</f>
        <v>11178000.000000002</v>
      </c>
      <c r="U144" s="43">
        <f>Table153643454613[[#This Row],[Total Other Health Expenditures:
Base Scenario]]*Table153643454613[[#This Row],[Smoking-Attributable Fraction (SAF) of Healthcare Expenditures: Upper Bound
Base Scenario]]</f>
        <v>21060000</v>
      </c>
      <c r="V144" s="62">
        <v>-2.9999999999999996E-3</v>
      </c>
      <c r="W144" s="60">
        <f>W143*(1+Table153643454613[[#This Row],[Relative Change in Smoking Prevalence:
Cigarette Package Warnings]])</f>
        <v>7.4220891512685669E-2</v>
      </c>
      <c r="X144" s="60">
        <f>X143*(1+Table153643454613[[#This Row],[Relative Change in Smoking Prevalence:
Cigarette Package Warnings]])</f>
        <v>6.3225203881176681E-2</v>
      </c>
      <c r="Y144" s="60">
        <f>Y143*(1+Table153643454613[[#This Row],[Relative Change in Smoking Prevalence:
Cigarette Package Warnings]])</f>
        <v>0.11911994934134736</v>
      </c>
      <c r="Z144" s="66">
        <f>Table153643454613[[#This Row],[Total Healthcare Expenditures
(All Categories):
Base Scenario]]*Table153643454613[[#This Row],[Smoking-Attributable Fraction (SAF) of Healthcare Expenditures:
Adjusted for Intervention Impacts]]</f>
        <v>186888204.82894251</v>
      </c>
      <c r="AA144" s="64">
        <f>Table153643454613[[#This Row],[Total Healthcare Expenditures
(All Categories):
Base Scenario]]*Table153643454613[[#This Row],[Smoking-Attributable Fraction (SAF) of Healthcare Expenditures: Lower Bound
Adjusted for Intervention Impacts]]</f>
        <v>159201063.37280288</v>
      </c>
      <c r="AB144" s="66">
        <f>Table153643454613[[#This Row],[Total Healthcare Expenditures
(All Categories):
Base Scenario]]*Table153643454613[[#This Row],[Smoking-Attributable Fraction (SAF) of Healthcare Expenditures: Upper Bound
Adjusted for Intervention Impacts]]</f>
        <v>299944032.44151264</v>
      </c>
      <c r="AC144" s="66">
        <f>Table153643454613[[#This Row],[Total Government Healthcare Expenditures
(including national insurance):
Base Scenario]]*Table153643454613[[#This Row],[Smoking-Attributable Fraction (SAF) of Healthcare Expenditures:
Adjusted for Intervention Impacts]]</f>
        <v>67763673.951082021</v>
      </c>
      <c r="AD144" s="66">
        <f>Table153643454613[[#This Row],[Total Government Healthcare Expenditures
(including national insurance):
Base Scenario]]*Table153643454613[[#This Row],[Smoking-Attributable Fraction (SAF) of Healthcare Expenditures: Lower Bound
Adjusted for Intervention Impacts]]</f>
        <v>57724611.143514313</v>
      </c>
      <c r="AE144" s="66">
        <f>Table153643454613[[#This Row],[Total Government Healthcare Expenditures
(including national insurance):
Base Scenario]]*Table153643454613[[#This Row],[Smoking-Attributable Fraction (SAF) of Healthcare Expenditures: Upper Bound
Adjusted for Intervention Impacts]]</f>
        <v>108756513.74865013</v>
      </c>
      <c r="AF144" s="66">
        <f>Table153643454613[[#This Row],[Total Private (Out-of-Pocket) Healthcare Expenditures:
Base Scenario]]*Table153643454613[[#This Row],[Smoking-Attributable Fraction (SAF) of Healthcare Expenditures:
Adjusted for Intervention Impacts]]</f>
        <v>107100746.45280541</v>
      </c>
      <c r="AG144" s="66">
        <f>Table153643454613[[#This Row],[Total Private (Out-of-Pocket) Healthcare Expenditures:
Base Scenario]]*Table153643454613[[#This Row],[Smoking-Attributable Fraction (SAF) of Healthcare Expenditures: Lower Bound
Adjusted for Intervention Impacts]]</f>
        <v>91233969.20053795</v>
      </c>
      <c r="AH144" s="66">
        <f>Table153643454613[[#This Row],[Total Private (Out-of-Pocket) Healthcare Expenditures:
Base Scenario]]*Table153643454613[[#This Row],[Smoking-Attributable Fraction (SAF) of Healthcare Expenditures: Upper Bound
Adjusted for Intervention Impacts]]</f>
        <v>171890086.89956424</v>
      </c>
      <c r="AI144" s="65">
        <f>Table153643454613[[#This Row],[Total Other Health Expenditures:
Base Scenario]]*Table153643454613[[#This Row],[Smoking-Attributable Fraction (SAF) of Healthcare Expenditures:
Adjusted for Intervention Impacts]]</f>
        <v>12023784.425055079</v>
      </c>
      <c r="AJ144" s="65">
        <f>Table153643454613[[#This Row],[Total Other Health Expenditures:
Base Scenario]]*Table153643454613[[#This Row],[Smoking-Attributable Fraction (SAF) of Healthcare Expenditures: Lower Bound
Adjusted for Intervention Impacts]]</f>
        <v>10242483.028750623</v>
      </c>
      <c r="AK144" s="65">
        <f>Table153643454613[[#This Row],[Total Other Health Expenditures:
Base Scenario]]*Table153643454613[[#This Row],[Smoking-Attributable Fraction (SAF) of Healthcare Expenditures: Upper Bound
Adjusted for Intervention Impacts]]</f>
        <v>19297431.793298271</v>
      </c>
      <c r="AL144" s="76">
        <f>Table153643454613[[#This Row],[Smoking-Attributable Total Healthcare Expenditures:
Base Scenario]]-Table153643454613[[#This Row],[Smoking-Attributable Total Healthcare Expenditures:
Intervention Scenario]]</f>
        <v>17069795.171057492</v>
      </c>
      <c r="AM144" s="76">
        <f>Table153643454613[[#This Row],[Smoking-Attributable Total Healthcare Expenditures: Lower Bound
Base Scenario]]-Table153643454613[[#This Row],[Smoking-Attributable Total Healthcare Expenditures: Lower Bound
Intervention Scenario]]</f>
        <v>14540936.627197117</v>
      </c>
      <c r="AN144" s="76">
        <f>Table153643454613[[#This Row],[Smoking-Attributable Total Healthcare Expenditures: Upper Bound
Base Scenario]]-Table153643454613[[#This Row],[Smoking-Attributable Total Healthcare Expenditures: Upper Bound
Intervention Scenario]]</f>
        <v>27395967.558487356</v>
      </c>
      <c r="AO144" s="76">
        <f>Table153643454613[[#This Row],[Smoking-Attributable Government Healthcare Expenditures
(including national insurance):
Base Scenario]]-Table153643454613[[#This Row],[Smoking-Attributable Government Healthcare Expenditures
(including national insurance):
Intervention Scenario]]</f>
        <v>6189326.048917979</v>
      </c>
      <c r="AP144"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5272388.8564856946</v>
      </c>
      <c r="AQ144"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9933486.2513498664</v>
      </c>
      <c r="AR144" s="76">
        <f>Table153643454613[[#This Row],[Smoking-Attributable Private Healthcare Expenditures:
Base Scenario]]-Table153643454613[[#This Row],[Smoking-Attributable Private Healthcare Expenditures:
Intervention Scenario]]</f>
        <v>9782253.5471945852</v>
      </c>
      <c r="AS144" s="76">
        <f>Table153643454613[[#This Row],[Smoking-Attributable Private Healthcare Expenditures: Lower Bound
Base Scenario]]-Table153643454613[[#This Row],[Smoking-Attributable Private Healthcare Expenditures: Lower Bound
Intervention Scenario]]</f>
        <v>8333030.7994620651</v>
      </c>
      <c r="AT144" s="76">
        <f>Table153643454613[[#This Row],[Smoking-Attributable Private Healthcare Expenditures: Upper Bound
Base Scenario]]-Table153643454613[[#This Row],[Smoking-Attributable Private Healthcare Expenditures: Upper Bound
Intervention Scenario]]</f>
        <v>15699913.100435764</v>
      </c>
      <c r="AU144" s="76">
        <f>Table153643454613[[#This Row],[Smoking-Attributable Other Health Expenditures:
Base Scenario]]-Table153643454613[[#This Row],[Smoking-Attributable Other Health Expenditures:
Intervention Scenario]]</f>
        <v>1098215.5749449208</v>
      </c>
      <c r="AV144" s="235">
        <f>Table153643454613[[#This Row],[Smoking-Attributable Other Health Expenditures: Lower Bound
Base Scenario]]-Table153643454613[[#This Row],[Smoking-Attributable Other Health Expenditures: Lower Bound
Intervention Scenario]]</f>
        <v>935516.97124937922</v>
      </c>
      <c r="AW144" s="235">
        <f>Table153643454613[[#This Row],[Smoking-Attributable Other Health Expenditures: Upper Bound
Base Scenario]]-Table153643454613[[#This Row],[Smoking-Attributable Other Health Expenditures: Upper Bound
Intervention Scenario]]</f>
        <v>1762568.2067017294</v>
      </c>
    </row>
    <row r="145" spans="2:49">
      <c r="B145" s="47">
        <v>15</v>
      </c>
      <c r="C145" s="48">
        <f t="shared" si="39"/>
        <v>2518000000</v>
      </c>
      <c r="D145" s="48">
        <f t="shared" si="40"/>
        <v>913000000</v>
      </c>
      <c r="E145" s="48">
        <f t="shared" si="41"/>
        <v>1443000000</v>
      </c>
      <c r="F145" s="48">
        <f t="shared" si="42"/>
        <v>162000000</v>
      </c>
      <c r="G145" s="232">
        <f t="shared" si="43"/>
        <v>8.1000000000000003E-2</v>
      </c>
      <c r="H145" s="46">
        <f t="shared" si="47"/>
        <v>6.9000000000000006E-2</v>
      </c>
      <c r="I145" s="46">
        <f t="shared" si="44"/>
        <v>0.13</v>
      </c>
      <c r="J145" s="43">
        <f>Table153643454613[[#This Row],[Total Healthcare Expenditures
(All Categories):
Base Scenario]]*Table153643454613[[#This Row],[Smoking-Attributable Fraction (SAF) of Healthcare Expenditures
Base Scenario]]</f>
        <v>203958000</v>
      </c>
      <c r="K145" s="43">
        <f>Table153643454613[[#This Row],[Total Healthcare Expenditures
(All Categories):
Base Scenario]]*Table153643454613[[#This Row],[Smoking-Attributable Fraction (SAF) of Healthcare Expenditures: Lower Bound
Base Scenario]]</f>
        <v>173742000</v>
      </c>
      <c r="L145" s="43">
        <f>Table153643454613[[#This Row],[Total Healthcare Expenditures
(All Categories):
Base Scenario]]*Table153643454613[[#This Row],[Smoking-Attributable Fraction (SAF) of Healthcare Expenditures: Upper Bound
Base Scenario]]</f>
        <v>327340000</v>
      </c>
      <c r="M145" s="43">
        <f>Table153643454613[[#This Row],[Total Government Healthcare Expenditures
(including national insurance):
Base Scenario]]*Table153643454613[[#This Row],[Smoking-Attributable Fraction (SAF) of Healthcare Expenditures
Base Scenario]]</f>
        <v>73953000</v>
      </c>
      <c r="N145" s="43">
        <f>Table153643454613[[#This Row],[Total Government Healthcare Expenditures
(including national insurance):
Base Scenario]]*Table153643454613[[#This Row],[Smoking-Attributable Fraction (SAF) of Healthcare Expenditures: Lower Bound
Base Scenario]]</f>
        <v>62997000.000000007</v>
      </c>
      <c r="O145" s="43">
        <f>Table153643454613[[#This Row],[Total Government Healthcare Expenditures
(including national insurance):
Base Scenario]]*Table153643454613[[#This Row],[Smoking-Attributable Fraction (SAF) of Healthcare Expenditures: Upper Bound
Base Scenario]]</f>
        <v>118690000</v>
      </c>
      <c r="P145" s="43">
        <f>Table153643454613[[#This Row],[Total Private (Out-of-Pocket) Healthcare Expenditures:
Base Scenario]]*Table153643454613[[#This Row],[Smoking-Attributable Fraction (SAF) of Healthcare Expenditures
Base Scenario]]</f>
        <v>116883000</v>
      </c>
      <c r="Q145" s="43">
        <f>Table153643454613[[#This Row],[Total Private (Out-of-Pocket) Healthcare Expenditures:
Base Scenario]]*Table153643454613[[#This Row],[Smoking-Attributable Fraction (SAF) of Healthcare Expenditures: Lower Bound
Base Scenario]]</f>
        <v>99567000.000000015</v>
      </c>
      <c r="R145" s="43">
        <f>Table153643454613[[#This Row],[Total Private (Out-of-Pocket) Healthcare Expenditures:
Base Scenario]]*Table153643454613[[#This Row],[Smoking-Attributable Fraction (SAF) of Healthcare Expenditures: Upper Bound
Base Scenario]]</f>
        <v>187590000</v>
      </c>
      <c r="S145" s="43">
        <f>Table153643454613[[#This Row],[Total Other Health Expenditures:
Base Scenario]]*Table153643454613[[#This Row],[Smoking-Attributable Fraction (SAF) of Healthcare Expenditures
Base Scenario]]</f>
        <v>13122000</v>
      </c>
      <c r="T145" s="43">
        <f>Table153643454613[[#This Row],[Total Other Health Expenditures:
Base Scenario]]*Table153643454613[[#This Row],[Smoking-Attributable Fraction (SAF) of Healthcare Expenditures: Lower Bound
Base Scenario]]</f>
        <v>11178000.000000002</v>
      </c>
      <c r="U145" s="43">
        <f>Table153643454613[[#This Row],[Total Other Health Expenditures:
Base Scenario]]*Table153643454613[[#This Row],[Smoking-Attributable Fraction (SAF) of Healthcare Expenditures: Upper Bound
Base Scenario]]</f>
        <v>21060000</v>
      </c>
      <c r="V145" s="62">
        <v>-2.9999999999999996E-3</v>
      </c>
      <c r="W145" s="60">
        <f>W144*(1+Table153643454613[[#This Row],[Relative Change in Smoking Prevalence:
Cigarette Package Warnings]])</f>
        <v>7.3998228838147606E-2</v>
      </c>
      <c r="X145" s="60">
        <f>X144*(1+Table153643454613[[#This Row],[Relative Change in Smoking Prevalence:
Cigarette Package Warnings]])</f>
        <v>6.3035528269533153E-2</v>
      </c>
      <c r="Y145" s="60">
        <f>Y144*(1+Table153643454613[[#This Row],[Relative Change in Smoking Prevalence:
Cigarette Package Warnings]])</f>
        <v>0.11876258949332331</v>
      </c>
      <c r="Z145" s="66">
        <f>Table153643454613[[#This Row],[Total Healthcare Expenditures
(All Categories):
Base Scenario]]*Table153643454613[[#This Row],[Smoking-Attributable Fraction (SAF) of Healthcare Expenditures:
Adjusted for Intervention Impacts]]</f>
        <v>186327540.21445566</v>
      </c>
      <c r="AA145" s="64">
        <f>Table153643454613[[#This Row],[Total Healthcare Expenditures
(All Categories):
Base Scenario]]*Table153643454613[[#This Row],[Smoking-Attributable Fraction (SAF) of Healthcare Expenditures: Lower Bound
Adjusted for Intervention Impacts]]</f>
        <v>158723460.18268448</v>
      </c>
      <c r="AB145" s="66">
        <f>Table153643454613[[#This Row],[Total Healthcare Expenditures
(All Categories):
Base Scenario]]*Table153643454613[[#This Row],[Smoking-Attributable Fraction (SAF) of Healthcare Expenditures: Upper Bound
Adjusted for Intervention Impacts]]</f>
        <v>299044200.34418809</v>
      </c>
      <c r="AC145" s="66">
        <f>Table153643454613[[#This Row],[Total Government Healthcare Expenditures
(including national insurance):
Base Scenario]]*Table153643454613[[#This Row],[Smoking-Attributable Fraction (SAF) of Healthcare Expenditures:
Adjusted for Intervention Impacts]]</f>
        <v>67560382.929228768</v>
      </c>
      <c r="AD145" s="66">
        <f>Table153643454613[[#This Row],[Total Government Healthcare Expenditures
(including national insurance):
Base Scenario]]*Table153643454613[[#This Row],[Smoking-Attributable Fraction (SAF) of Healthcare Expenditures: Lower Bound
Adjusted for Intervention Impacts]]</f>
        <v>57551437.310083769</v>
      </c>
      <c r="AE145" s="66">
        <f>Table153643454613[[#This Row],[Total Government Healthcare Expenditures
(including national insurance):
Base Scenario]]*Table153643454613[[#This Row],[Smoking-Attributable Fraction (SAF) of Healthcare Expenditures: Upper Bound
Adjusted for Intervention Impacts]]</f>
        <v>108430244.20740418</v>
      </c>
      <c r="AF145" s="66">
        <f>Table153643454613[[#This Row],[Total Private (Out-of-Pocket) Healthcare Expenditures:
Base Scenario]]*Table153643454613[[#This Row],[Smoking-Attributable Fraction (SAF) of Healthcare Expenditures:
Adjusted for Intervention Impacts]]</f>
        <v>106779444.21344699</v>
      </c>
      <c r="AG145" s="66">
        <f>Table153643454613[[#This Row],[Total Private (Out-of-Pocket) Healthcare Expenditures:
Base Scenario]]*Table153643454613[[#This Row],[Smoking-Attributable Fraction (SAF) of Healthcare Expenditures: Lower Bound
Adjusted for Intervention Impacts]]</f>
        <v>90960267.29293634</v>
      </c>
      <c r="AH145" s="66">
        <f>Table153643454613[[#This Row],[Total Private (Out-of-Pocket) Healthcare Expenditures:
Base Scenario]]*Table153643454613[[#This Row],[Smoking-Attributable Fraction (SAF) of Healthcare Expenditures: Upper Bound
Adjusted for Intervention Impacts]]</f>
        <v>171374416.63886553</v>
      </c>
      <c r="AI145" s="65">
        <f>Table153643454613[[#This Row],[Total Other Health Expenditures:
Base Scenario]]*Table153643454613[[#This Row],[Smoking-Attributable Fraction (SAF) of Healthcare Expenditures:
Adjusted for Intervention Impacts]]</f>
        <v>11987713.071779912</v>
      </c>
      <c r="AJ145" s="65">
        <f>Table153643454613[[#This Row],[Total Other Health Expenditures:
Base Scenario]]*Table153643454613[[#This Row],[Smoking-Attributable Fraction (SAF) of Healthcare Expenditures: Lower Bound
Adjusted for Intervention Impacts]]</f>
        <v>10211755.57966437</v>
      </c>
      <c r="AK145" s="65">
        <f>Table153643454613[[#This Row],[Total Other Health Expenditures:
Base Scenario]]*Table153643454613[[#This Row],[Smoking-Attributable Fraction (SAF) of Healthcare Expenditures: Upper Bound
Adjusted for Intervention Impacts]]</f>
        <v>19239539.497918379</v>
      </c>
      <c r="AL145" s="76">
        <f>Table153643454613[[#This Row],[Smoking-Attributable Total Healthcare Expenditures:
Base Scenario]]-Table153643454613[[#This Row],[Smoking-Attributable Total Healthcare Expenditures:
Intervention Scenario]]</f>
        <v>17630459.785544336</v>
      </c>
      <c r="AM145" s="76">
        <f>Table153643454613[[#This Row],[Smoking-Attributable Total Healthcare Expenditures: Lower Bound
Base Scenario]]-Table153643454613[[#This Row],[Smoking-Attributable Total Healthcare Expenditures: Lower Bound
Intervention Scenario]]</f>
        <v>15018539.817315519</v>
      </c>
      <c r="AN145" s="76">
        <f>Table153643454613[[#This Row],[Smoking-Attributable Total Healthcare Expenditures: Upper Bound
Base Scenario]]-Table153643454613[[#This Row],[Smoking-Attributable Total Healthcare Expenditures: Upper Bound
Intervention Scenario]]</f>
        <v>28295799.655811906</v>
      </c>
      <c r="AO145" s="76">
        <f>Table153643454613[[#This Row],[Smoking-Attributable Government Healthcare Expenditures
(including national insurance):
Base Scenario]]-Table153643454613[[#This Row],[Smoking-Attributable Government Healthcare Expenditures
(including national insurance):
Intervention Scenario]]</f>
        <v>6392617.0707712322</v>
      </c>
      <c r="AP145" s="76">
        <f>Table153643454613[[#This Row],[Smoking-Attributable Government Healthcare Expenditures
(including national insurance): Lower Bound
Base Scenario]]-Table153643454613[[#This Row],[Smoking-Attributable Government Healthcare Expenditures
(including national insurance): Lower Bound
Intervention Scenario]]</f>
        <v>5445562.6899162382</v>
      </c>
      <c r="AQ145" s="76">
        <f>Table153643454613[[#This Row],[Smoking-Attributable Government Healthcare Expenditures
(including national insurance): Upper Bound
Base Scenario]]-Table153643454613[[#This Row],[Smoking-Attributable Government Healthcare Expenditures
(including national insurance): Upper Bound
Intervention Scenario]]</f>
        <v>10259755.792595819</v>
      </c>
      <c r="AR145" s="76">
        <f>Table153643454613[[#This Row],[Smoking-Attributable Private Healthcare Expenditures:
Base Scenario]]-Table153643454613[[#This Row],[Smoking-Attributable Private Healthcare Expenditures:
Intervention Scenario]]</f>
        <v>10103555.78655301</v>
      </c>
      <c r="AS145" s="76">
        <f>Table153643454613[[#This Row],[Smoking-Attributable Private Healthcare Expenditures: Lower Bound
Base Scenario]]-Table153643454613[[#This Row],[Smoking-Attributable Private Healthcare Expenditures: Lower Bound
Intervention Scenario]]</f>
        <v>8606732.7070636749</v>
      </c>
      <c r="AT145" s="76">
        <f>Table153643454613[[#This Row],[Smoking-Attributable Private Healthcare Expenditures: Upper Bound
Base Scenario]]-Table153643454613[[#This Row],[Smoking-Attributable Private Healthcare Expenditures: Upper Bound
Intervention Scenario]]</f>
        <v>16215583.36113447</v>
      </c>
      <c r="AU145" s="76">
        <f>Table153643454613[[#This Row],[Smoking-Attributable Other Health Expenditures:
Base Scenario]]-Table153643454613[[#This Row],[Smoking-Attributable Other Health Expenditures:
Intervention Scenario]]</f>
        <v>1134286.9282200877</v>
      </c>
      <c r="AV145" s="236">
        <f>Table153643454613[[#This Row],[Smoking-Attributable Other Health Expenditures: Lower Bound
Base Scenario]]-Table153643454613[[#This Row],[Smoking-Attributable Other Health Expenditures: Lower Bound
Intervention Scenario]]</f>
        <v>966244.42033563182</v>
      </c>
      <c r="AW145" s="236">
        <f>Table153643454613[[#This Row],[Smoking-Attributable Other Health Expenditures: Upper Bound
Base Scenario]]-Table153643454613[[#This Row],[Smoking-Attributable Other Health Expenditures: Upper Bound
Intervention Scenario]]</f>
        <v>1820460.5020816214</v>
      </c>
    </row>
    <row r="150" spans="2:49" ht="21">
      <c r="B150" s="81" t="s">
        <v>119</v>
      </c>
    </row>
    <row r="151" spans="2:49" ht="15" customHeight="1">
      <c r="B151" s="81"/>
    </row>
    <row r="152" spans="2:49" ht="24" customHeight="1">
      <c r="B152" s="83" t="s">
        <v>126</v>
      </c>
    </row>
    <row r="153" spans="2:49" ht="15" customHeight="1">
      <c r="B153" s="81"/>
    </row>
    <row r="154" spans="2:49" ht="77.099999999999994" customHeight="1">
      <c r="B154" s="14" t="s">
        <v>120</v>
      </c>
      <c r="C154" s="168" t="s">
        <v>284</v>
      </c>
      <c r="D154" s="168" t="s">
        <v>285</v>
      </c>
      <c r="E154" s="168" t="s">
        <v>408</v>
      </c>
      <c r="F154" s="168" t="s">
        <v>409</v>
      </c>
      <c r="G154" s="172" t="s">
        <v>123</v>
      </c>
      <c r="H154" s="82" t="s">
        <v>286</v>
      </c>
      <c r="I154" s="82" t="s">
        <v>412</v>
      </c>
      <c r="J154" s="82" t="s">
        <v>413</v>
      </c>
      <c r="K154" s="169" t="s">
        <v>287</v>
      </c>
      <c r="L154" s="169" t="s">
        <v>410</v>
      </c>
      <c r="M154" s="169" t="s">
        <v>411</v>
      </c>
      <c r="N154" s="155" t="s">
        <v>202</v>
      </c>
      <c r="O154" s="169" t="s">
        <v>366</v>
      </c>
      <c r="P154" s="169" t="s">
        <v>367</v>
      </c>
      <c r="Q154" s="169" t="s">
        <v>368</v>
      </c>
    </row>
    <row r="155" spans="2:49">
      <c r="B155" s="6" t="s">
        <v>242</v>
      </c>
      <c r="C155" s="12">
        <f>SUM(C35:C39)</f>
        <v>12590000000</v>
      </c>
      <c r="D155" s="176">
        <f>SUM(J35:J39)</f>
        <v>1019790000</v>
      </c>
      <c r="E155" s="176">
        <f t="shared" ref="E155:F155" si="48">SUM(K35:K39)</f>
        <v>868710000</v>
      </c>
      <c r="F155" s="176">
        <f t="shared" si="48"/>
        <v>1636700000</v>
      </c>
      <c r="G155" s="171">
        <v>-0.3298622129436326</v>
      </c>
      <c r="H155" s="176">
        <f>SUM(Z35:Z39)</f>
        <v>834854345.40263081</v>
      </c>
      <c r="I155" s="176">
        <f t="shared" ref="I155:J155" si="49">SUM(AA35:AA39)</f>
        <v>711172220.15779674</v>
      </c>
      <c r="J155" s="176">
        <f t="shared" si="49"/>
        <v>1339889690.1523705</v>
      </c>
      <c r="K155" s="170">
        <f>SUM(AL35:AL39)</f>
        <v>184935654.59736916</v>
      </c>
      <c r="L155" s="170">
        <f t="shared" ref="L155:M155" si="50">SUM(AM35:AM39)</f>
        <v>157537779.84220329</v>
      </c>
      <c r="M155" s="170">
        <f t="shared" si="50"/>
        <v>296810309.84762943</v>
      </c>
      <c r="N155" s="154">
        <v>4748445.9023322966</v>
      </c>
      <c r="O155" s="170">
        <f>Table50[[#This Row],[Savings in Smoking-Attributable Total Healthcare Costs:
(Baseline Scenario - Intervention Scenario)
First 5 Years]]/Table50[[#This Row],[Intervention/Policy Costs (Financial)]]</f>
        <v>38.946564497351488</v>
      </c>
      <c r="P155" s="170">
        <f>Table50[[#This Row],[Savings in Smoking-Attributable Total Healthcare Costs: Lower Bound
(Baseline Scenario - Intervention Scenario)
First 5 Years]]/Table50[[#This Row],[Intervention/Policy Costs (Financial)]]</f>
        <v>33.176703090336439</v>
      </c>
      <c r="Q155" s="170">
        <f>Table50[[#This Row],[Savings in Smoking-Attributable Total Healthcare Costs: Upper Bound
(Baseline Scenario - Intervention Scenario)
First 5 Years]]/Table50[[#This Row],[Intervention/Policy Costs (Financial)]]</f>
        <v>62.506831909329527</v>
      </c>
    </row>
    <row r="156" spans="2:49">
      <c r="B156" s="6" t="s">
        <v>282</v>
      </c>
      <c r="C156" s="12">
        <f>SUM(C59:C63)</f>
        <v>12590000000</v>
      </c>
      <c r="D156" s="176">
        <f>SUM(J59:J63)</f>
        <v>1019790000</v>
      </c>
      <c r="E156" s="176">
        <f t="shared" ref="E156:F156" si="51">SUM(K59:K63)</f>
        <v>868710000</v>
      </c>
      <c r="F156" s="176">
        <f t="shared" si="51"/>
        <v>1636700000</v>
      </c>
      <c r="G156" s="171">
        <v>-0.182</v>
      </c>
      <c r="H156" s="176">
        <f>SUM(Z59:Z63)</f>
        <v>913688242.15271163</v>
      </c>
      <c r="I156" s="176">
        <f t="shared" ref="I156:J156" si="52">SUM(AA59:AA63)</f>
        <v>778327021.09305084</v>
      </c>
      <c r="J156" s="176">
        <f t="shared" si="52"/>
        <v>1466413228.1463277</v>
      </c>
      <c r="K156" s="170">
        <f>SUM(AL59:AL63)</f>
        <v>106101757.84728825</v>
      </c>
      <c r="L156" s="170">
        <f t="shared" ref="L156:M156" si="53">SUM(AM59:AM63)</f>
        <v>90382978.906949162</v>
      </c>
      <c r="M156" s="170">
        <f t="shared" si="53"/>
        <v>170286771.85367215</v>
      </c>
      <c r="N156" s="154">
        <v>1076643.9836525819</v>
      </c>
      <c r="O156" s="170">
        <f>Table50[[#This Row],[Savings in Smoking-Attributable Total Healthcare Costs:
(Baseline Scenario - Intervention Scenario)
First 5 Years]]/Table50[[#This Row],[Intervention/Policy Costs (Financial)]]</f>
        <v>98.548600520045085</v>
      </c>
      <c r="P156" s="170">
        <f>Table50[[#This Row],[Savings in Smoking-Attributable Total Healthcare Costs: Lower Bound
(Baseline Scenario - Intervention Scenario)
First 5 Years]]/Table50[[#This Row],[Intervention/Policy Costs (Financial)]]</f>
        <v>83.948807850408699</v>
      </c>
      <c r="Q156" s="170">
        <f>Table50[[#This Row],[Savings in Smoking-Attributable Total Healthcare Costs: Upper Bound
(Baseline Scenario - Intervention Scenario)
First 5 Years]]/Table50[[#This Row],[Intervention/Policy Costs (Financial)]]</f>
        <v>158.16442058772637</v>
      </c>
    </row>
    <row r="157" spans="2:49">
      <c r="B157" s="6" t="s">
        <v>77</v>
      </c>
      <c r="C157" s="12">
        <f>SUM(C83:C87)</f>
        <v>12590000000</v>
      </c>
      <c r="D157" s="176">
        <f>SUM(J83:J87)</f>
        <v>1019790000</v>
      </c>
      <c r="E157" s="176">
        <f t="shared" ref="E157:F157" si="54">SUM(K83:K87)</f>
        <v>868710000</v>
      </c>
      <c r="F157" s="176">
        <f t="shared" si="54"/>
        <v>1636700000</v>
      </c>
      <c r="G157" s="171">
        <v>-5.3999999999999999E-2</v>
      </c>
      <c r="H157" s="176">
        <f>SUM(Z83:Z87)</f>
        <v>987220759.91628695</v>
      </c>
      <c r="I157" s="176">
        <f t="shared" ref="I157:J157" si="55">SUM(AA83:AA87)</f>
        <v>840965832.52128136</v>
      </c>
      <c r="J157" s="176">
        <f t="shared" si="55"/>
        <v>1584428380.1125588</v>
      </c>
      <c r="K157" s="170">
        <f>SUM(AL83:AL87)</f>
        <v>32569240.083713204</v>
      </c>
      <c r="L157" s="170">
        <f t="shared" ref="L157:M157" si="56">SUM(AM83:AM87)</f>
        <v>27744167.478718638</v>
      </c>
      <c r="M157" s="170">
        <f t="shared" si="56"/>
        <v>52271619.887441158</v>
      </c>
      <c r="N157" s="154">
        <v>1821517.172807036</v>
      </c>
      <c r="O157" s="170">
        <f>Table50[[#This Row],[Savings in Smoking-Attributable Total Healthcare Costs:
(Baseline Scenario - Intervention Scenario)
First 5 Years]]/Table50[[#This Row],[Intervention/Policy Costs (Financial)]]</f>
        <v>17.880281651982788</v>
      </c>
      <c r="P157" s="170">
        <f>Table50[[#This Row],[Savings in Smoking-Attributable Total Healthcare Costs: Lower Bound
(Baseline Scenario - Intervention Scenario)
First 5 Years]]/Table50[[#This Row],[Intervention/Policy Costs (Financial)]]</f>
        <v>15.231351036874216</v>
      </c>
      <c r="Q157" s="170">
        <f>Table50[[#This Row],[Savings in Smoking-Attributable Total Healthcare Costs: Upper Bound
(Baseline Scenario - Intervention Scenario)
First 5 Years]]/Table50[[#This Row],[Intervention/Policy Costs (Financial)]]</f>
        <v>28.69674833034286</v>
      </c>
    </row>
    <row r="158" spans="2:49">
      <c r="B158" s="6" t="s">
        <v>121</v>
      </c>
      <c r="C158" s="12">
        <f>SUM(C107:C111)</f>
        <v>12590000000</v>
      </c>
      <c r="D158" s="176">
        <f>SUM(J107:J111)</f>
        <v>1019790000</v>
      </c>
      <c r="E158" s="176">
        <f t="shared" ref="E158:F158" si="57">SUM(K107:K111)</f>
        <v>868710000</v>
      </c>
      <c r="F158" s="176">
        <f t="shared" si="57"/>
        <v>1636700000</v>
      </c>
      <c r="G158" s="171">
        <v>-0.1</v>
      </c>
      <c r="H158" s="176">
        <f>SUM(Z107:Z111)</f>
        <v>960209984.18701434</v>
      </c>
      <c r="I158" s="176">
        <f t="shared" ref="I158:J158" si="58">SUM(AA107:AA111)</f>
        <v>817956653.19634557</v>
      </c>
      <c r="J158" s="176">
        <f t="shared" si="58"/>
        <v>1541077752.398912</v>
      </c>
      <c r="K158" s="170">
        <f>SUM(AL107:AL111)</f>
        <v>59580015.812985629</v>
      </c>
      <c r="L158" s="170">
        <f t="shared" ref="L158:M158" si="59">SUM(AM107:AM111)</f>
        <v>50753346.803654492</v>
      </c>
      <c r="M158" s="170">
        <f t="shared" si="59"/>
        <v>95622247.601087987</v>
      </c>
      <c r="N158" s="154">
        <v>920267.0235148943</v>
      </c>
      <c r="O158" s="170">
        <f>Table50[[#This Row],[Savings in Smoking-Attributable Total Healthcare Costs:
(Baseline Scenario - Intervention Scenario)
First 5 Years]]/Table50[[#This Row],[Intervention/Policy Costs (Financial)]]</f>
        <v>64.742095816303404</v>
      </c>
      <c r="P158" s="170">
        <f>Table50[[#This Row],[Savings in Smoking-Attributable Total Healthcare Costs: Lower Bound
(Baseline Scenario - Intervention Scenario)
First 5 Years]]/Table50[[#This Row],[Intervention/Policy Costs (Financial)]]</f>
        <v>55.150674213888159</v>
      </c>
      <c r="Q158" s="170">
        <f>Table50[[#This Row],[Savings in Smoking-Attributable Total Healthcare Costs: Upper Bound
(Baseline Scenario - Intervention Scenario)
First 5 Years]]/Table50[[#This Row],[Intervention/Policy Costs (Financial)]]</f>
        <v>103.90706735949924</v>
      </c>
    </row>
    <row r="159" spans="2:49">
      <c r="B159" s="6" t="s">
        <v>122</v>
      </c>
      <c r="C159" s="12">
        <f>SUM(C131:C135)</f>
        <v>12590000000</v>
      </c>
      <c r="D159" s="176">
        <f>SUM(J131:J135)</f>
        <v>1019790000</v>
      </c>
      <c r="E159" s="176">
        <f t="shared" ref="E159:F159" si="60">SUM(K131:K135)</f>
        <v>868710000</v>
      </c>
      <c r="F159" s="176">
        <f t="shared" si="60"/>
        <v>1636700000</v>
      </c>
      <c r="G159" s="171">
        <v>-0.06</v>
      </c>
      <c r="H159" s="176">
        <f>SUM(Z131:Z135)</f>
        <v>983659697.77352726</v>
      </c>
      <c r="I159" s="176">
        <f t="shared" ref="I159:J159" si="61">SUM(AA131:AA135)</f>
        <v>837932335.14041221</v>
      </c>
      <c r="J159" s="176">
        <f t="shared" si="61"/>
        <v>1578713095.1920805</v>
      </c>
      <c r="K159" s="170">
        <f>SUM(AL131:AL135)</f>
        <v>36130302.226472855</v>
      </c>
      <c r="L159" s="170">
        <f t="shared" ref="L159:M159" si="62">SUM(AM131:AM135)</f>
        <v>30777664.859587848</v>
      </c>
      <c r="M159" s="170">
        <f t="shared" si="62"/>
        <v>57986904.807919323</v>
      </c>
      <c r="N159" s="154">
        <v>930017.7223577844</v>
      </c>
      <c r="O159" s="170">
        <f>Table50[[#This Row],[Savings in Smoking-Attributable Total Healthcare Costs:
(Baseline Scenario - Intervention Scenario)
First 5 Years]]/Table50[[#This Row],[Intervention/Policy Costs (Financial)]]</f>
        <v>38.849047021249419</v>
      </c>
      <c r="P159" s="170">
        <f>Table50[[#This Row],[Savings in Smoking-Attributable Total Healthcare Costs: Lower Bound
(Baseline Scenario - Intervention Scenario)
First 5 Years]]/Table50[[#This Row],[Intervention/Policy Costs (Financial)]]</f>
        <v>33.093632647730836</v>
      </c>
      <c r="Q159" s="170">
        <f>Table50[[#This Row],[Savings in Smoking-Attributable Total Healthcare Costs: Upper Bound
(Baseline Scenario - Intervention Scenario)
First 5 Years]]/Table50[[#This Row],[Intervention/Policy Costs (Financial)]]</f>
        <v>62.350322379782945</v>
      </c>
    </row>
    <row r="160" spans="2:49" ht="21">
      <c r="B160" s="81"/>
    </row>
    <row r="161" spans="2:17" ht="21">
      <c r="B161" s="81"/>
    </row>
    <row r="162" spans="2:17" ht="18.75">
      <c r="B162" s="83" t="s">
        <v>127</v>
      </c>
    </row>
    <row r="163" spans="2:17" ht="21">
      <c r="B163" s="81"/>
    </row>
    <row r="164" spans="2:17" ht="72.95" customHeight="1">
      <c r="B164" s="14" t="s">
        <v>120</v>
      </c>
      <c r="C164" s="168" t="s">
        <v>288</v>
      </c>
      <c r="D164" s="168" t="s">
        <v>289</v>
      </c>
      <c r="E164" s="168" t="s">
        <v>414</v>
      </c>
      <c r="F164" s="168" t="s">
        <v>415</v>
      </c>
      <c r="G164" s="172" t="s">
        <v>124</v>
      </c>
      <c r="H164" s="82" t="s">
        <v>290</v>
      </c>
      <c r="I164" s="82" t="s">
        <v>416</v>
      </c>
      <c r="J164" s="82" t="s">
        <v>417</v>
      </c>
      <c r="K164" s="169" t="s">
        <v>291</v>
      </c>
      <c r="L164" s="169" t="s">
        <v>418</v>
      </c>
      <c r="M164" s="169" t="s">
        <v>419</v>
      </c>
      <c r="N164" s="155" t="s">
        <v>202</v>
      </c>
      <c r="O164" s="169" t="s">
        <v>366</v>
      </c>
      <c r="P164" s="169" t="s">
        <v>367</v>
      </c>
      <c r="Q164" s="169" t="s">
        <v>368</v>
      </c>
    </row>
    <row r="165" spans="2:17">
      <c r="B165" s="6" t="s">
        <v>242</v>
      </c>
      <c r="C165" s="12">
        <f>SUM(C40:C49)</f>
        <v>25180000000</v>
      </c>
      <c r="D165" s="176">
        <f>SUM(J40:J49)</f>
        <v>2039580000</v>
      </c>
      <c r="E165" s="176">
        <f t="shared" ref="E165:F165" si="63">SUM(K40:K49)</f>
        <v>1737420000</v>
      </c>
      <c r="F165" s="176">
        <f t="shared" si="63"/>
        <v>3273400000</v>
      </c>
      <c r="G165" s="171">
        <v>-0.12411482254697299</v>
      </c>
      <c r="H165" s="176">
        <f>SUM(Z40:Z49)</f>
        <v>1354524182.9247944</v>
      </c>
      <c r="I165" s="176">
        <f t="shared" ref="I165:J165" si="64">SUM(AA40:AA49)</f>
        <v>1153853933.6026027</v>
      </c>
      <c r="J165" s="176">
        <f t="shared" si="64"/>
        <v>2173927700.9904108</v>
      </c>
      <c r="K165" s="174">
        <f>SUM(AL40:AL49)</f>
        <v>685055817.07520556</v>
      </c>
      <c r="L165" s="174">
        <f t="shared" ref="L165:M165" si="65">SUM(AM40:AM49)</f>
        <v>583566066.39739716</v>
      </c>
      <c r="M165" s="174">
        <f t="shared" si="65"/>
        <v>1099472299.0095892</v>
      </c>
      <c r="N165" s="154">
        <v>5273707.05598957</v>
      </c>
      <c r="O165" s="170">
        <f>Table5052[[#This Row],[Savings in Smoking-Attributable Total Healthcare Costs:
(Baseline Scenario - Intervention Scenario)
Years 6-15]]/Table5052[[#This Row],[Intervention/Policy Costs (Financial)]]</f>
        <v>129.90024091253969</v>
      </c>
      <c r="P165" s="170">
        <f>Table5052[[#This Row],[Savings in Smoking-Attributable Total Healthcare Costs: Lower Bound
(Baseline Scenario - Intervention Scenario)
Years 6-15]]/Table5052[[#This Row],[Intervention/Policy Costs (Financial)]]</f>
        <v>110.65576077734859</v>
      </c>
      <c r="Q165" s="170">
        <f>Table5052[[#This Row],[Savings in Smoking-Attributable Total Healthcare Costs: Upper Bound
(Baseline Scenario - Intervention Scenario)
Years 6-15]]/Table5052[[#This Row],[Intervention/Policy Costs (Financial)]]</f>
        <v>208.48186813123652</v>
      </c>
    </row>
    <row r="166" spans="2:17">
      <c r="B166" s="6" t="s">
        <v>282</v>
      </c>
      <c r="C166" s="85">
        <f>SUM(C64:C73)</f>
        <v>25180000000</v>
      </c>
      <c r="D166" s="177">
        <f>SUM(J64:J73)</f>
        <v>2039580000</v>
      </c>
      <c r="E166" s="177">
        <f t="shared" ref="E166:F166" si="66">SUM(K64:K73)</f>
        <v>1737420000</v>
      </c>
      <c r="F166" s="177">
        <f t="shared" si="66"/>
        <v>3273400000</v>
      </c>
      <c r="G166" s="173">
        <v>-9.1000000000000025E-2</v>
      </c>
      <c r="H166" s="177">
        <f>SUM(Z64:Z73)</f>
        <v>1611901352.007592</v>
      </c>
      <c r="I166" s="177">
        <f t="shared" ref="I166:J166" si="67">SUM(AA64:AA73)</f>
        <v>1373101151.7101712</v>
      </c>
      <c r="J166" s="177">
        <f t="shared" si="67"/>
        <v>2587002169.8887291</v>
      </c>
      <c r="K166" s="175">
        <f>SUM(AL64:AL73)</f>
        <v>427678647.99240792</v>
      </c>
      <c r="L166" s="175">
        <f t="shared" ref="L166:M166" si="68">SUM(AM64:AM73)</f>
        <v>364318848.28982878</v>
      </c>
      <c r="M166" s="175">
        <f t="shared" si="68"/>
        <v>686397830.11127102</v>
      </c>
      <c r="N166" s="154">
        <v>1521686.7758493207</v>
      </c>
      <c r="O166" s="170">
        <f>Table5052[[#This Row],[Savings in Smoking-Attributable Total Healthcare Costs:
(Baseline Scenario - Intervention Scenario)
Years 6-15]]/Table5052[[#This Row],[Intervention/Policy Costs (Financial)]]</f>
        <v>281.05563824309479</v>
      </c>
      <c r="P166" s="170">
        <f>Table5052[[#This Row],[Savings in Smoking-Attributable Total Healthcare Costs: Lower Bound
(Baseline Scenario - Intervention Scenario)
Years 6-15]]/Table5052[[#This Row],[Intervention/Policy Costs (Financial)]]</f>
        <v>239.41776591078431</v>
      </c>
      <c r="Q166" s="170">
        <f>Table5052[[#This Row],[Savings in Smoking-Attributable Total Healthcare Costs: Upper Bound
(Baseline Scenario - Intervention Scenario)
Years 6-15]]/Table5052[[#This Row],[Intervention/Policy Costs (Financial)]]</f>
        <v>451.07695026669467</v>
      </c>
    </row>
    <row r="167" spans="2:17">
      <c r="B167" s="6" t="s">
        <v>77</v>
      </c>
      <c r="C167" s="85">
        <f>SUM(C88:C97)</f>
        <v>25180000000</v>
      </c>
      <c r="D167" s="177">
        <f>SUM(J88:J97)</f>
        <v>2039580000</v>
      </c>
      <c r="E167" s="177">
        <f t="shared" ref="E167:F167" si="69">SUM(K88:K97)</f>
        <v>1737420000</v>
      </c>
      <c r="F167" s="177">
        <f t="shared" si="69"/>
        <v>3273400000</v>
      </c>
      <c r="G167" s="173">
        <v>-8.0000000000000002E-3</v>
      </c>
      <c r="H167" s="177">
        <f>SUM(Z88:Z97)</f>
        <v>1923316556.079675</v>
      </c>
      <c r="I167" s="177">
        <f t="shared" ref="I167:J167" si="70">SUM(AA88:AA97)</f>
        <v>1638380769.9937973</v>
      </c>
      <c r="J167" s="177">
        <f t="shared" si="70"/>
        <v>3086804349.2636757</v>
      </c>
      <c r="K167" s="175">
        <f>SUM(AL88:AL97)</f>
        <v>116263443.92032504</v>
      </c>
      <c r="L167" s="175">
        <f t="shared" ref="L167:M167" si="71">SUM(AM88:AM97)</f>
        <v>99039230.006202877</v>
      </c>
      <c r="M167" s="175">
        <f t="shared" si="71"/>
        <v>186595650.73632443</v>
      </c>
      <c r="N167" s="154">
        <v>1794451.8797159838</v>
      </c>
      <c r="O167" s="170">
        <f>Table5052[[#This Row],[Savings in Smoking-Attributable Total Healthcare Costs:
(Baseline Scenario - Intervention Scenario)
Years 6-15]]/Table5052[[#This Row],[Intervention/Policy Costs (Financial)]]</f>
        <v>64.790505242596197</v>
      </c>
      <c r="P167" s="170">
        <f>Table5052[[#This Row],[Savings in Smoking-Attributable Total Healthcare Costs: Lower Bound
(Baseline Scenario - Intervention Scenario)
Years 6-15]]/Table5052[[#This Row],[Intervention/Policy Costs (Financial)]]</f>
        <v>55.191911873322717</v>
      </c>
      <c r="Q167" s="170">
        <f>Table5052[[#This Row],[Savings in Smoking-Attributable Total Healthcare Costs: Upper Bound
(Baseline Scenario - Intervention Scenario)
Years 6-15]]/Table5052[[#This Row],[Intervention/Policy Costs (Financial)]]</f>
        <v>103.98476150046319</v>
      </c>
    </row>
    <row r="168" spans="2:17">
      <c r="B168" s="6" t="s">
        <v>121</v>
      </c>
      <c r="C168" s="85">
        <f>SUM(C112:C121)</f>
        <v>25180000000</v>
      </c>
      <c r="D168" s="177">
        <f>SUM(J112:J121)</f>
        <v>2039580000</v>
      </c>
      <c r="E168" s="177">
        <f t="shared" ref="E168:F168" si="72">SUM(K112:K121)</f>
        <v>1737420000</v>
      </c>
      <c r="F168" s="177">
        <f t="shared" si="72"/>
        <v>3273400000</v>
      </c>
      <c r="G168" s="173">
        <v>-1.999999999999999E-2</v>
      </c>
      <c r="H168" s="177">
        <f>SUM(Z112:Z121)</f>
        <v>1823460165.6553535</v>
      </c>
      <c r="I168" s="177">
        <f t="shared" ref="I168:J168" si="73">SUM(AA112:AA121)</f>
        <v>1553317918.891597</v>
      </c>
      <c r="J168" s="177">
        <f t="shared" si="73"/>
        <v>2926541006.607357</v>
      </c>
      <c r="K168" s="175">
        <f>SUM(AL112:AL121)</f>
        <v>216119834.34464642</v>
      </c>
      <c r="L168" s="175">
        <f t="shared" ref="L168:M168" si="74">SUM(AM112:AM121)</f>
        <v>184102081.10840282</v>
      </c>
      <c r="M168" s="175">
        <f t="shared" si="74"/>
        <v>346858993.39264256</v>
      </c>
      <c r="N168" s="154">
        <v>997746.24927485816</v>
      </c>
      <c r="O168" s="170">
        <f>Table5052[[#This Row],[Savings in Smoking-Attributable Total Healthcare Costs:
(Baseline Scenario - Intervention Scenario)
Years 6-15]]/Table5052[[#This Row],[Intervention/Policy Costs (Financial)]]</f>
        <v>216.60801481510751</v>
      </c>
      <c r="P168" s="170">
        <f>Table5052[[#This Row],[Savings in Smoking-Attributable Total Healthcare Costs: Lower Bound
(Baseline Scenario - Intervention Scenario)
Years 6-15]]/Table5052[[#This Row],[Intervention/Policy Costs (Financial)]]</f>
        <v>184.517938546203</v>
      </c>
      <c r="Q168" s="170">
        <f>Table5052[[#This Row],[Savings in Smoking-Attributable Total Healthcare Costs: Upper Bound
(Baseline Scenario - Intervention Scenario)
Years 6-15]]/Table5052[[#This Row],[Intervention/Policy Costs (Financial)]]</f>
        <v>347.64249291313564</v>
      </c>
    </row>
    <row r="169" spans="2:17">
      <c r="B169" s="6" t="s">
        <v>122</v>
      </c>
      <c r="C169" s="85">
        <f>SUM(C136:C145)</f>
        <v>25180000000</v>
      </c>
      <c r="D169" s="177">
        <f>SUM(J136:J145)</f>
        <v>2039580000</v>
      </c>
      <c r="E169" s="177">
        <f t="shared" ref="E169:F169" si="75">SUM(K136:K145)</f>
        <v>1737420000</v>
      </c>
      <c r="F169" s="177">
        <f t="shared" si="75"/>
        <v>3273400000</v>
      </c>
      <c r="G169" s="173">
        <v>-0.03</v>
      </c>
      <c r="H169" s="177">
        <f>SUM(Z136:Z145)</f>
        <v>1888708826.299237</v>
      </c>
      <c r="I169" s="177">
        <f t="shared" ref="I169:J169" si="76">SUM(AA136:AA145)</f>
        <v>1608900111.2919424</v>
      </c>
      <c r="J169" s="177">
        <f t="shared" si="76"/>
        <v>3031261079.2456884</v>
      </c>
      <c r="K169" s="175">
        <f>SUM(AL136:AL145)</f>
        <v>150871173.70076326</v>
      </c>
      <c r="L169" s="175">
        <f t="shared" ref="L169:M169" si="77">SUM(AM136:AM145)</f>
        <v>128519888.70805758</v>
      </c>
      <c r="M169" s="175">
        <f t="shared" si="77"/>
        <v>242138920.7543115</v>
      </c>
      <c r="N169" s="154">
        <v>959822.15114940715</v>
      </c>
      <c r="O169" s="170">
        <f>Table5052[[#This Row],[Savings in Smoking-Attributable Total Healthcare Costs:
(Baseline Scenario - Intervention Scenario)
Years 6-15]]/Table5052[[#This Row],[Intervention/Policy Costs (Financial)]]</f>
        <v>157.18659287045196</v>
      </c>
      <c r="P169" s="170">
        <f>Table5052[[#This Row],[Savings in Smoking-Attributable Total Healthcare Costs: Lower Bound
(Baseline Scenario - Intervention Scenario)
Years 6-15]]/Table5052[[#This Row],[Intervention/Policy Costs (Financial)]]</f>
        <v>133.89969022297757</v>
      </c>
      <c r="Q169" s="170">
        <f>Table5052[[#This Row],[Savings in Smoking-Attributable Total Healthcare Costs: Upper Bound
(Baseline Scenario - Intervention Scenario)
Years 6-15]]/Table5052[[#This Row],[Intervention/Policy Costs (Financial)]]</f>
        <v>252.27477868097236</v>
      </c>
    </row>
    <row r="170" spans="2:17" ht="21">
      <c r="B170" s="81"/>
    </row>
    <row r="171" spans="2:17" ht="21">
      <c r="B171" s="81"/>
    </row>
    <row r="172" spans="2:17" ht="18.75">
      <c r="B172" s="83" t="s">
        <v>128</v>
      </c>
    </row>
    <row r="173" spans="2:17" ht="21">
      <c r="B173" s="81"/>
    </row>
    <row r="174" spans="2:17" ht="72" customHeight="1">
      <c r="B174" s="14" t="s">
        <v>120</v>
      </c>
      <c r="C174" s="168" t="s">
        <v>292</v>
      </c>
      <c r="D174" s="168" t="s">
        <v>293</v>
      </c>
      <c r="E174" s="168" t="s">
        <v>420</v>
      </c>
      <c r="F174" s="168" t="s">
        <v>421</v>
      </c>
      <c r="G174" s="172" t="s">
        <v>125</v>
      </c>
      <c r="H174" s="82" t="s">
        <v>294</v>
      </c>
      <c r="I174" s="82" t="s">
        <v>422</v>
      </c>
      <c r="J174" s="82" t="s">
        <v>423</v>
      </c>
      <c r="K174" s="169" t="s">
        <v>295</v>
      </c>
      <c r="L174" s="169" t="s">
        <v>424</v>
      </c>
      <c r="M174" s="169" t="s">
        <v>425</v>
      </c>
      <c r="N174" s="155" t="s">
        <v>202</v>
      </c>
      <c r="O174" s="169" t="s">
        <v>366</v>
      </c>
      <c r="P174" s="169" t="s">
        <v>367</v>
      </c>
      <c r="Q174" s="169" t="s">
        <v>368</v>
      </c>
    </row>
    <row r="175" spans="2:17">
      <c r="B175" s="6" t="s">
        <v>242</v>
      </c>
      <c r="C175" s="12">
        <f>SUM(C35:C49)</f>
        <v>37770000000</v>
      </c>
      <c r="D175" s="176">
        <f>SUM(J35:J49)</f>
        <v>3059370000</v>
      </c>
      <c r="E175" s="176">
        <f t="shared" ref="E175:F175" si="78">SUM(K35:K49)</f>
        <v>2606130000</v>
      </c>
      <c r="F175" s="176">
        <f t="shared" si="78"/>
        <v>4910100000</v>
      </c>
      <c r="G175" s="171">
        <v>-0.45397703549060553</v>
      </c>
      <c r="H175" s="176">
        <f>SUM(Z35:Z49)</f>
        <v>2189378528.3274255</v>
      </c>
      <c r="I175" s="176">
        <f t="shared" ref="I175:J175" si="79">SUM(AA35:AA49)</f>
        <v>1865026153.7603996</v>
      </c>
      <c r="J175" s="176">
        <f t="shared" si="79"/>
        <v>3513817391.1427813</v>
      </c>
      <c r="K175" s="170">
        <f>SUM(AL35:AL49)</f>
        <v>869991471.67257464</v>
      </c>
      <c r="L175" s="170">
        <f t="shared" ref="L175:M175" si="80">SUM(AM35:AM49)</f>
        <v>741103846.23960042</v>
      </c>
      <c r="M175" s="170">
        <f t="shared" si="80"/>
        <v>1396282608.8572183</v>
      </c>
      <c r="N175" s="154">
        <v>10022152.958321866</v>
      </c>
      <c r="O175" s="170">
        <f>Table505253[[#This Row],[Savings in Smoking-Attributable Total Healthcare Costs:
(Baseline Scenario - Intervention Scenario)
After 15 Years]]/Table505253[[#This Row],[Intervention/Policy Costs (Financial)]]</f>
        <v>86.806844326814996</v>
      </c>
      <c r="P175" s="170">
        <f>Table505253[[#This Row],[Savings in Smoking-Attributable Total Healthcare Costs: Lower Bound
(Baseline Scenario - Intervention Scenario)
After 15 Years]]/Table505253[[#This Row],[Intervention/Policy Costs (Financial)]]</f>
        <v>73.946571093212754</v>
      </c>
      <c r="Q175" s="170">
        <f>Table505253[[#This Row],[Savings in Smoking-Attributable Total Healthcare Costs: Upper Bound
(Baseline Scenario - Intervention Scenario)
After 15 Years]]/Table505253[[#This Row],[Intervention/Policy Costs (Financial)]]</f>
        <v>139.31962669735739</v>
      </c>
    </row>
    <row r="176" spans="2:17">
      <c r="B176" s="6" t="s">
        <v>282</v>
      </c>
      <c r="C176" s="85">
        <f>SUM(C59:C73)</f>
        <v>37770000000</v>
      </c>
      <c r="D176" s="177">
        <f>SUM(J59:J73)</f>
        <v>3059370000</v>
      </c>
      <c r="E176" s="177">
        <f t="shared" ref="E176:F176" si="81">SUM(K59:K73)</f>
        <v>2606130000</v>
      </c>
      <c r="F176" s="177">
        <f t="shared" si="81"/>
        <v>4910100000</v>
      </c>
      <c r="G176" s="173">
        <v>-0.27300000000000002</v>
      </c>
      <c r="H176" s="177">
        <f>SUM(Z59:Z73)</f>
        <v>2525589594.1603036</v>
      </c>
      <c r="I176" s="177">
        <f t="shared" ref="I176:J176" si="82">SUM(AA59:AA73)</f>
        <v>2151428172.8032222</v>
      </c>
      <c r="J176" s="177">
        <f t="shared" si="82"/>
        <v>4053415398.0350571</v>
      </c>
      <c r="K176" s="170">
        <f>SUM(AL59:AL73)</f>
        <v>533780405.83969617</v>
      </c>
      <c r="L176" s="170">
        <f t="shared" ref="L176:M176" si="83">SUM(AM59:AM73)</f>
        <v>454701827.19677794</v>
      </c>
      <c r="M176" s="170">
        <f t="shared" si="83"/>
        <v>856684601.96494305</v>
      </c>
      <c r="N176" s="154">
        <v>2598330.7595019024</v>
      </c>
      <c r="O176" s="170">
        <f>Table505253[[#This Row],[Savings in Smoking-Attributable Total Healthcare Costs:
(Baseline Scenario - Intervention Scenario)
After 15 Years]]/Table505253[[#This Row],[Intervention/Policy Costs (Financial)]]</f>
        <v>205.43204666599928</v>
      </c>
      <c r="P176" s="170">
        <f>Table505253[[#This Row],[Savings in Smoking-Attributable Total Healthcare Costs: Lower Bound
(Baseline Scenario - Intervention Scenario)
After 15 Years]]/Table505253[[#This Row],[Intervention/Policy Costs (Financial)]]</f>
        <v>174.99766938214742</v>
      </c>
      <c r="Q176" s="170">
        <f>Table505253[[#This Row],[Savings in Smoking-Attributable Total Healthcare Costs: Upper Bound
(Baseline Scenario - Intervention Scenario)
After 15 Years]]/Table505253[[#This Row],[Intervention/Policy Costs (Financial)]]</f>
        <v>329.70575390839338</v>
      </c>
    </row>
    <row r="177" spans="2:17">
      <c r="B177" s="6" t="s">
        <v>77</v>
      </c>
      <c r="C177" s="85">
        <f>SUM(C83:C97)</f>
        <v>37770000000</v>
      </c>
      <c r="D177" s="177">
        <f>SUM(J83:J97)</f>
        <v>3059370000</v>
      </c>
      <c r="E177" s="177">
        <f t="shared" ref="E177:F177" si="84">SUM(K83:K97)</f>
        <v>2606130000</v>
      </c>
      <c r="F177" s="177">
        <f t="shared" si="84"/>
        <v>4910100000</v>
      </c>
      <c r="G177" s="173">
        <v>-6.2E-2</v>
      </c>
      <c r="H177" s="177">
        <f>SUM(Z83:Z97)</f>
        <v>2910537315.9959621</v>
      </c>
      <c r="I177" s="177">
        <f t="shared" ref="I177:J177" si="85">SUM(AA83:AA97)</f>
        <v>2479346602.5150785</v>
      </c>
      <c r="J177" s="177">
        <f t="shared" si="85"/>
        <v>4671232729.3762341</v>
      </c>
      <c r="K177" s="170">
        <f>SUM(AL83:AL97)</f>
        <v>148832684.00403824</v>
      </c>
      <c r="L177" s="170">
        <f t="shared" ref="L177:M177" si="86">SUM(AM83:AM97)</f>
        <v>126783397.48492151</v>
      </c>
      <c r="M177" s="170">
        <f t="shared" si="86"/>
        <v>238867270.62376559</v>
      </c>
      <c r="N177" s="154">
        <v>3615969.0525230188</v>
      </c>
      <c r="O177" s="170">
        <f>Table505253[[#This Row],[Savings in Smoking-Attributable Total Healthcare Costs:
(Baseline Scenario - Intervention Scenario)
After 15 Years]]/Table505253[[#This Row],[Intervention/Policy Costs (Financial)]]</f>
        <v>41.159833461569924</v>
      </c>
      <c r="P177" s="170">
        <f>Table505253[[#This Row],[Savings in Smoking-Attributable Total Healthcare Costs: Lower Bound
(Baseline Scenario - Intervention Scenario)
After 15 Years]]/Table505253[[#This Row],[Intervention/Policy Costs (Financial)]]</f>
        <v>35.062080356152173</v>
      </c>
      <c r="Q177" s="170">
        <f>Table505253[[#This Row],[Savings in Smoking-Attributable Total Healthcare Costs: Upper Bound
(Baseline Scenario - Intervention Scenario)
After 15 Years]]/Table505253[[#This Row],[Intervention/Policy Costs (Financial)]]</f>
        <v>66.058991975359277</v>
      </c>
    </row>
    <row r="178" spans="2:17">
      <c r="B178" s="6" t="s">
        <v>121</v>
      </c>
      <c r="C178" s="85">
        <f>SUM(C107:C121)</f>
        <v>37770000000</v>
      </c>
      <c r="D178" s="177">
        <f>SUM(J107:J121)</f>
        <v>3059370000</v>
      </c>
      <c r="E178" s="177">
        <f t="shared" ref="E178:F178" si="87">SUM(K107:K121)</f>
        <v>2606130000</v>
      </c>
      <c r="F178" s="177">
        <f t="shared" si="87"/>
        <v>4910100000</v>
      </c>
      <c r="G178" s="173">
        <v>-0.12</v>
      </c>
      <c r="H178" s="177">
        <f>SUM(Z107:Z121)</f>
        <v>2783670149.8423681</v>
      </c>
      <c r="I178" s="177">
        <f t="shared" ref="I178:J178" si="88">SUM(AA107:AA121)</f>
        <v>2371274572.0879431</v>
      </c>
      <c r="J178" s="177">
        <f t="shared" si="88"/>
        <v>4467618759.0062695</v>
      </c>
      <c r="K178" s="170">
        <f>SUM(AL107:AL121)</f>
        <v>275699850.15763205</v>
      </c>
      <c r="L178" s="170">
        <f t="shared" ref="L178:M178" si="89">SUM(AM107:AM121)</f>
        <v>234855427.91205731</v>
      </c>
      <c r="M178" s="170">
        <f t="shared" si="89"/>
        <v>442481240.99373055</v>
      </c>
      <c r="N178" s="154">
        <v>1918013.2727897526</v>
      </c>
      <c r="O178" s="170">
        <f>Table505253[[#This Row],[Savings in Smoking-Attributable Total Healthcare Costs:
(Baseline Scenario - Intervention Scenario)
After 15 Years]]/Table505253[[#This Row],[Intervention/Policy Costs (Financial)]]</f>
        <v>143.7424099556028</v>
      </c>
      <c r="P178" s="170">
        <f>Table505253[[#This Row],[Savings in Smoking-Attributable Total Healthcare Costs: Lower Bound
(Baseline Scenario - Intervention Scenario)
After 15 Years]]/Table505253[[#This Row],[Intervention/Policy Costs (Financial)]]</f>
        <v>122.44723811032851</v>
      </c>
      <c r="Q178" s="170">
        <f>Table505253[[#This Row],[Savings in Smoking-Attributable Total Healthcare Costs: Upper Bound
(Baseline Scenario - Intervention Scenario)
After 15 Years]]/Table505253[[#This Row],[Intervention/Policy Costs (Financial)]]</f>
        <v>230.69769499047368</v>
      </c>
    </row>
    <row r="179" spans="2:17">
      <c r="B179" s="6" t="s">
        <v>122</v>
      </c>
      <c r="C179" s="85">
        <f>SUM(C131:C145)</f>
        <v>37770000000</v>
      </c>
      <c r="D179" s="177">
        <f>SUM(J131:J145)</f>
        <v>3059370000</v>
      </c>
      <c r="E179" s="177">
        <f t="shared" ref="E179:F179" si="90">SUM(K131:K145)</f>
        <v>2606130000</v>
      </c>
      <c r="F179" s="177">
        <f t="shared" si="90"/>
        <v>4910100000</v>
      </c>
      <c r="G179" s="173">
        <v>-0.09</v>
      </c>
      <c r="H179" s="177">
        <f>SUM(Z131:Z145)</f>
        <v>2872368524.0727639</v>
      </c>
      <c r="I179" s="177">
        <f t="shared" ref="I179:J179" si="91">SUM(AA131:AA145)</f>
        <v>2446832446.4323545</v>
      </c>
      <c r="J179" s="177">
        <f t="shared" si="91"/>
        <v>4609974174.4377689</v>
      </c>
      <c r="K179" s="170">
        <f>SUM(AL131:AL145)</f>
        <v>187001475.92723611</v>
      </c>
      <c r="L179" s="170">
        <f t="shared" ref="L179:M179" si="92">SUM(AM131:AM145)</f>
        <v>159297553.56764543</v>
      </c>
      <c r="M179" s="170">
        <f t="shared" si="92"/>
        <v>300125825.56223083</v>
      </c>
      <c r="N179" s="154">
        <v>1889839.8735071917</v>
      </c>
      <c r="O179" s="170">
        <f>Table505253[[#This Row],[Savings in Smoking-Attributable Total Healthcare Costs:
(Baseline Scenario - Intervention Scenario)
After 15 Years]]/Table505253[[#This Row],[Intervention/Policy Costs (Financial)]]</f>
        <v>98.950963279336534</v>
      </c>
      <c r="P179" s="170">
        <f>Table505253[[#This Row],[Savings in Smoking-Attributable Total Healthcare Costs: Lower Bound
(Baseline Scenario - Intervention Scenario)
After 15 Years]]/Table505253[[#This Row],[Intervention/Policy Costs (Financial)]]</f>
        <v>84.291561312027341</v>
      </c>
      <c r="Q179" s="170">
        <f>Table505253[[#This Row],[Savings in Smoking-Attributable Total Healthcare Costs: Upper Bound
(Baseline Scenario - Intervention Scenario)
After 15 Years]]/Table505253[[#This Row],[Intervention/Policy Costs (Financial)]]</f>
        <v>158.8101879791821</v>
      </c>
    </row>
    <row r="180" spans="2:17" ht="21">
      <c r="B180" s="81"/>
    </row>
    <row r="181" spans="2:17" ht="21">
      <c r="B181" s="81"/>
    </row>
    <row r="182" spans="2:17" ht="24" customHeight="1">
      <c r="B182" s="83" t="s">
        <v>129</v>
      </c>
    </row>
    <row r="183" spans="2:17" ht="15" customHeight="1">
      <c r="B183" s="81"/>
    </row>
    <row r="184" spans="2:17" ht="77.099999999999994" customHeight="1">
      <c r="B184" s="14" t="s">
        <v>120</v>
      </c>
      <c r="C184" s="168" t="s">
        <v>299</v>
      </c>
      <c r="D184" s="168" t="s">
        <v>300</v>
      </c>
      <c r="E184" s="168" t="s">
        <v>426</v>
      </c>
      <c r="F184" s="168" t="s">
        <v>427</v>
      </c>
      <c r="G184" s="172" t="s">
        <v>123</v>
      </c>
      <c r="H184" s="82" t="s">
        <v>301</v>
      </c>
      <c r="I184" s="82" t="s">
        <v>428</v>
      </c>
      <c r="J184" s="82" t="s">
        <v>429</v>
      </c>
      <c r="K184" s="169" t="s">
        <v>302</v>
      </c>
      <c r="L184" s="169" t="s">
        <v>430</v>
      </c>
      <c r="M184" s="169" t="s">
        <v>431</v>
      </c>
      <c r="N184" s="155" t="s">
        <v>202</v>
      </c>
      <c r="O184" s="169" t="s">
        <v>366</v>
      </c>
      <c r="P184" s="169" t="s">
        <v>367</v>
      </c>
      <c r="Q184" s="169" t="s">
        <v>368</v>
      </c>
    </row>
    <row r="185" spans="2:17">
      <c r="B185" s="6" t="s">
        <v>242</v>
      </c>
      <c r="C185" s="12">
        <f>SUM(D$35:D$39)</f>
        <v>4565000000</v>
      </c>
      <c r="D185" s="177">
        <f>SUM(M$35:M$39)</f>
        <v>369765000</v>
      </c>
      <c r="E185" s="177">
        <f>SUM(N$35:N$39)</f>
        <v>314985000.00000006</v>
      </c>
      <c r="F185" s="177">
        <f t="shared" ref="F185" si="93">SUM(O$35:O$39)</f>
        <v>593450000</v>
      </c>
      <c r="G185" s="171">
        <v>-0.3298622129436326</v>
      </c>
      <c r="H185" s="177">
        <f>SUM(AC$35:AC$39)</f>
        <v>302709299.98117632</v>
      </c>
      <c r="I185" s="177">
        <f t="shared" ref="I185:J185" si="94">SUM(AD$35:AD$39)</f>
        <v>257863477.7617428</v>
      </c>
      <c r="J185" s="177">
        <f t="shared" si="94"/>
        <v>485829740.71052992</v>
      </c>
      <c r="K185" s="170">
        <f>SUM(AO$35:AO$39)</f>
        <v>67055700.018823676</v>
      </c>
      <c r="L185" s="170">
        <f t="shared" ref="L185:M185" si="95">SUM(AP$35:AP$39)</f>
        <v>57121522.238257222</v>
      </c>
      <c r="M185" s="170">
        <f t="shared" si="95"/>
        <v>107620259.28947009</v>
      </c>
      <c r="N185" s="154">
        <v>4748445.9023322966</v>
      </c>
      <c r="O185" s="170">
        <f>Table5054[[#This Row],[Savings in Smoking-Attributable Government Healthcare Costs:
(Baseline Scenario - Intervention Scenario)
First 5 Years]]/Table5054[[#This Row],[Intervention/Policy Costs (Financial)]]</f>
        <v>14.121609764131017</v>
      </c>
      <c r="P185" s="170">
        <f>Table5054[[#This Row],[Savings in Smoking-Attributable Government Healthcare Costs: Lower Bound
(Baseline Scenario - Intervention Scenario)
First 5 Years]]/Table5054[[#This Row],[Intervention/Policy Costs (Financial)]]</f>
        <v>12.029519428704203</v>
      </c>
      <c r="Q185" s="170">
        <f>Table5054[[#This Row],[Savings in Smoking-Attributable Government Healthcare Costs: Upper Bound
(Baseline Scenario - Intervention Scenario)
First 5 Years]]/Table5054[[#This Row],[Intervention/Policy Costs (Financial)]]</f>
        <v>22.664311967123854</v>
      </c>
    </row>
    <row r="186" spans="2:17">
      <c r="B186" s="6" t="s">
        <v>282</v>
      </c>
      <c r="C186" s="12">
        <f>SUM(D$59:D$63)</f>
        <v>4565000000</v>
      </c>
      <c r="D186" s="177">
        <f>SUM(M$59:M$63)</f>
        <v>369765000</v>
      </c>
      <c r="E186" s="177">
        <f t="shared" ref="E186:F186" si="96">SUM(N$59:N$63)</f>
        <v>314985000.00000006</v>
      </c>
      <c r="F186" s="177">
        <f t="shared" si="96"/>
        <v>593450000</v>
      </c>
      <c r="G186" s="171">
        <v>-0.182</v>
      </c>
      <c r="H186" s="177">
        <f>SUM(AC$59:AC$63)</f>
        <v>331293631.88460118</v>
      </c>
      <c r="I186" s="177">
        <f t="shared" ref="I186:J186" si="97">SUM(AD$59:AD$63)</f>
        <v>282213093.82762331</v>
      </c>
      <c r="J186" s="177">
        <f t="shared" si="97"/>
        <v>531705828.95059466</v>
      </c>
      <c r="K186" s="170">
        <f>SUM(AO$59:AO$63)</f>
        <v>38471368.115398794</v>
      </c>
      <c r="L186" s="170">
        <f t="shared" ref="L186:M186" si="98">SUM(AP$59:AP$63)</f>
        <v>32771906.172376759</v>
      </c>
      <c r="M186" s="170">
        <f t="shared" si="98"/>
        <v>61744171.049405351</v>
      </c>
      <c r="N186" s="154">
        <v>1076643.9836525819</v>
      </c>
      <c r="O186" s="170">
        <f>Table5054[[#This Row],[Savings in Smoking-Attributable Government Healthcare Costs:
(Baseline Scenario - Intervention Scenario)
First 5 Years]]/Table5054[[#This Row],[Intervention/Policy Costs (Financial)]]</f>
        <v>35.732673659571546</v>
      </c>
      <c r="P186" s="170">
        <f>Table5054[[#This Row],[Savings in Smoking-Attributable Government Healthcare Costs: Lower Bound
(Baseline Scenario - Intervention Scenario)
First 5 Years]]/Table5054[[#This Row],[Intervention/Policy Costs (Financial)]]</f>
        <v>30.438944228523919</v>
      </c>
      <c r="Q186" s="170">
        <f>Table5054[[#This Row],[Savings in Smoking-Attributable Government Healthcare Costs: Upper Bound
(Baseline Scenario - Intervention Scenario)
First 5 Years]]/Table5054[[#This Row],[Intervention/Policy Costs (Financial)]]</f>
        <v>57.348735503015952</v>
      </c>
    </row>
    <row r="187" spans="2:17">
      <c r="B187" s="6" t="s">
        <v>77</v>
      </c>
      <c r="C187" s="12">
        <f>SUM(D$83:D$87)</f>
        <v>4565000000</v>
      </c>
      <c r="D187" s="177">
        <f>SUM(M$83:M$87)</f>
        <v>369765000</v>
      </c>
      <c r="E187" s="177">
        <f t="shared" ref="E187:F187" si="99">SUM(N$83:N$87)</f>
        <v>314985000.00000006</v>
      </c>
      <c r="F187" s="177">
        <f t="shared" si="99"/>
        <v>593450000</v>
      </c>
      <c r="G187" s="171">
        <v>-5.3999999999999999E-2</v>
      </c>
      <c r="H187" s="177">
        <f>SUM(AC$83:AC$87)</f>
        <v>357955740.19204521</v>
      </c>
      <c r="I187" s="177">
        <f t="shared" ref="I187:J187" si="100">SUM(AD$83:AD$87)</f>
        <v>304925260.16359407</v>
      </c>
      <c r="J187" s="177">
        <f t="shared" si="100"/>
        <v>574496866.97488737</v>
      </c>
      <c r="K187" s="170">
        <f>SUM(AO$83:AO$87)</f>
        <v>11809259.807954788</v>
      </c>
      <c r="L187" s="170">
        <f t="shared" ref="L187:M187" si="101">SUM(AP$83:AP$87)</f>
        <v>10059739.836405955</v>
      </c>
      <c r="M187" s="170">
        <f t="shared" si="101"/>
        <v>18953133.025112674</v>
      </c>
      <c r="N187" s="154">
        <v>1821517.172807036</v>
      </c>
      <c r="O187" s="170">
        <f>Table5054[[#This Row],[Savings in Smoking-Attributable Government Healthcare Costs:
(Baseline Scenario - Intervention Scenario)
First 5 Years]]/Table5054[[#This Row],[Intervention/Policy Costs (Financial)]]</f>
        <v>6.4831998205958241</v>
      </c>
      <c r="P187" s="170">
        <f>Table5054[[#This Row],[Savings in Smoking-Attributable Government Healthcare Costs: Lower Bound
(Baseline Scenario - Intervention Scenario)
First 5 Years]]/Table5054[[#This Row],[Intervention/Policy Costs (Financial)]]</f>
        <v>5.5227257731001602</v>
      </c>
      <c r="Q187" s="170">
        <f>Table5054[[#This Row],[Savings in Smoking-Attributable Government Healthcare Costs: Upper Bound
(Baseline Scenario - Intervention Scenario)
First 5 Years]]/Table5054[[#This Row],[Intervention/Policy Costs (Financial)]]</f>
        <v>10.405135514536536</v>
      </c>
    </row>
    <row r="188" spans="2:17">
      <c r="B188" s="6" t="s">
        <v>121</v>
      </c>
      <c r="C188" s="12">
        <f>SUM(D$107:D$111)</f>
        <v>4565000000</v>
      </c>
      <c r="D188" s="177">
        <f>SUM(M$107:M$111)</f>
        <v>369765000</v>
      </c>
      <c r="E188" s="177">
        <f t="shared" ref="E188:F188" si="102">SUM(N$107:N$111)</f>
        <v>314985000.00000006</v>
      </c>
      <c r="F188" s="177">
        <f t="shared" si="102"/>
        <v>593450000</v>
      </c>
      <c r="G188" s="171">
        <v>-0.1</v>
      </c>
      <c r="H188" s="177">
        <f>SUM(AC$107:AC$111)</f>
        <v>348161920.39823037</v>
      </c>
      <c r="I188" s="177">
        <f t="shared" ref="I188:J188" si="103">SUM(AD$107:AD$111)</f>
        <v>296582376.63552958</v>
      </c>
      <c r="J188" s="177">
        <f t="shared" si="103"/>
        <v>558778390.76259208</v>
      </c>
      <c r="K188" s="170">
        <f>SUM(AO$107:AO$111)</f>
        <v>21603079.601769619</v>
      </c>
      <c r="L188" s="170">
        <f t="shared" ref="L188:M188" si="104">SUM(AP$107:AP$111)</f>
        <v>18402623.36447046</v>
      </c>
      <c r="M188" s="170">
        <f t="shared" si="104"/>
        <v>34671609.237407982</v>
      </c>
      <c r="N188" s="154">
        <v>920267.0235148943</v>
      </c>
      <c r="O188" s="170">
        <f>Table5054[[#This Row],[Savings in Smoking-Attributable Government Healthcare Costs:
(Baseline Scenario - Intervention Scenario)
First 5 Years]]/Table5054[[#This Row],[Intervention/Policy Costs (Financial)]]</f>
        <v>23.474794869056804</v>
      </c>
      <c r="P188" s="170">
        <f>Table5054[[#This Row],[Savings in Smoking-Attributable Government Healthcare Costs: Lower Bound
(Baseline Scenario - Intervention Scenario)
First 5 Years]]/Table5054[[#This Row],[Intervention/Policy Costs (Financial)]]</f>
        <v>19.997047481048437</v>
      </c>
      <c r="Q188" s="170">
        <f>Table5054[[#This Row],[Savings in Smoking-Attributable Government Healthcare Costs: Upper Bound
(Baseline Scenario - Intervention Scenario)
First 5 Years]]/Table5054[[#This Row],[Intervention/Policy Costs (Financial)]]</f>
        <v>37.675596703424446</v>
      </c>
    </row>
    <row r="189" spans="2:17">
      <c r="B189" s="6" t="s">
        <v>122</v>
      </c>
      <c r="C189" s="12">
        <f>SUM(D$131:D$135)</f>
        <v>4565000000</v>
      </c>
      <c r="D189" s="177">
        <f>SUM(M$131:M$135)</f>
        <v>369765000</v>
      </c>
      <c r="E189" s="177">
        <f t="shared" ref="E189:F189" si="105">SUM(N$131:N$135)</f>
        <v>314985000.00000006</v>
      </c>
      <c r="F189" s="177">
        <f t="shared" si="105"/>
        <v>593450000</v>
      </c>
      <c r="G189" s="171">
        <v>-0.06</v>
      </c>
      <c r="H189" s="177">
        <f>SUM(AC$131:AC$135)</f>
        <v>356664536.96077454</v>
      </c>
      <c r="I189" s="177">
        <f t="shared" ref="I189:J189" si="106">SUM(AD$131:AD$135)</f>
        <v>303825346.29991913</v>
      </c>
      <c r="J189" s="177">
        <f t="shared" si="106"/>
        <v>572424565.49260116</v>
      </c>
      <c r="K189" s="170">
        <f>SUM(AO$131:AO$135)</f>
        <v>13100463.039225474</v>
      </c>
      <c r="L189" s="170">
        <f t="shared" ref="L189:M189" si="107">SUM(AP$131:AP$135)</f>
        <v>11159653.700080931</v>
      </c>
      <c r="M189" s="170">
        <f t="shared" si="107"/>
        <v>21025434.507398859</v>
      </c>
      <c r="N189" s="154">
        <v>930017.7223577844</v>
      </c>
      <c r="O189" s="170">
        <f>Table5054[[#This Row],[Savings in Smoking-Attributable Government Healthcare Costs:
(Baseline Scenario - Intervention Scenario)
First 5 Years]]/Table5054[[#This Row],[Intervention/Policy Costs (Financial)]]</f>
        <v>14.086250965210782</v>
      </c>
      <c r="P189" s="170">
        <f>Table5054[[#This Row],[Savings in Smoking-Attributable Government Healthcare Costs: Lower Bound
(Baseline Scenario - Intervention Scenario)
First 5 Years]]/Table5054[[#This Row],[Intervention/Policy Costs (Financial)]]</f>
        <v>11.999398970364711</v>
      </c>
      <c r="Q189" s="170">
        <f>Table5054[[#This Row],[Savings in Smoking-Attributable Government Healthcare Costs: Upper Bound
(Baseline Scenario - Intervention Scenario)
First 5 Years]]/Table5054[[#This Row],[Intervention/Policy Costs (Financial)]]</f>
        <v>22.607563277498734</v>
      </c>
    </row>
    <row r="190" spans="2:17" ht="21">
      <c r="B190" s="81"/>
    </row>
    <row r="191" spans="2:17" ht="21">
      <c r="B191" s="81"/>
    </row>
    <row r="192" spans="2:17" ht="18.75">
      <c r="B192" s="83" t="s">
        <v>130</v>
      </c>
    </row>
    <row r="193" spans="2:17" ht="21">
      <c r="B193" s="81"/>
    </row>
    <row r="194" spans="2:17" ht="75" customHeight="1">
      <c r="B194" s="14" t="s">
        <v>120</v>
      </c>
      <c r="C194" s="168" t="s">
        <v>303</v>
      </c>
      <c r="D194" s="168" t="s">
        <v>304</v>
      </c>
      <c r="E194" s="168" t="s">
        <v>438</v>
      </c>
      <c r="F194" s="168" t="s">
        <v>439</v>
      </c>
      <c r="G194" s="172" t="s">
        <v>124</v>
      </c>
      <c r="H194" s="82" t="s">
        <v>305</v>
      </c>
      <c r="I194" s="82" t="s">
        <v>440</v>
      </c>
      <c r="J194" s="82" t="s">
        <v>441</v>
      </c>
      <c r="K194" s="169" t="s">
        <v>306</v>
      </c>
      <c r="L194" s="169" t="s">
        <v>442</v>
      </c>
      <c r="M194" s="169" t="s">
        <v>443</v>
      </c>
      <c r="N194" s="155" t="s">
        <v>202</v>
      </c>
      <c r="O194" s="169" t="s">
        <v>366</v>
      </c>
      <c r="P194" s="169" t="s">
        <v>367</v>
      </c>
      <c r="Q194" s="169" t="s">
        <v>368</v>
      </c>
    </row>
    <row r="195" spans="2:17">
      <c r="B195" s="6" t="s">
        <v>242</v>
      </c>
      <c r="C195" s="12">
        <f>SUM(D$40:D$49)</f>
        <v>9130000000</v>
      </c>
      <c r="D195" s="177">
        <f>SUM(M$40:M$49)</f>
        <v>739530000</v>
      </c>
      <c r="E195" s="177">
        <f t="shared" ref="E195:F195" si="108">SUM(N$40:N$49)</f>
        <v>629970000.00000012</v>
      </c>
      <c r="F195" s="177">
        <f t="shared" si="108"/>
        <v>1186900000</v>
      </c>
      <c r="G195" s="171">
        <v>-0.12411482254697299</v>
      </c>
      <c r="H195" s="177">
        <f>SUM(AC$40:AC$49)</f>
        <v>491136052.02952242</v>
      </c>
      <c r="I195" s="177">
        <f t="shared" ref="I195:J195" si="109">SUM(AD$40:AD$49)</f>
        <v>418375155.43255609</v>
      </c>
      <c r="J195" s="177">
        <f t="shared" si="109"/>
        <v>788243046.46713483</v>
      </c>
      <c r="K195" s="170">
        <f>SUM(AO$40:AO$49)</f>
        <v>248393947.97047761</v>
      </c>
      <c r="L195" s="170">
        <f t="shared" ref="L195:M195" si="110">SUM(AP$40:AP$49)</f>
        <v>211594844.56744394</v>
      </c>
      <c r="M195" s="170">
        <f t="shared" si="110"/>
        <v>398656953.53286529</v>
      </c>
      <c r="N195" s="154">
        <v>5273707.05598957</v>
      </c>
      <c r="O195" s="170">
        <f>Table505255[[#This Row],[Savings in Smoking-Attributable Government Healthcare Costs:
(Baseline Scenario - Intervention Scenario)
Years 6-15]]/Table505255[[#This Row],[Intervention/Policy Costs (Financial)]]</f>
        <v>47.10044477885176</v>
      </c>
      <c r="P195" s="170">
        <f>Table505255[[#This Row],[Savings in Smoking-Attributable Government Healthcare Costs: Lower Bound
(Baseline Scenario - Intervention Scenario)
Years 6-15]]/Table505255[[#This Row],[Intervention/Policy Costs (Financial)]]</f>
        <v>40.122601107910768</v>
      </c>
      <c r="Q195" s="170">
        <f>Table505255[[#This Row],[Savings in Smoking-Attributable Government Healthcare Costs: Upper Bound
(Baseline Scenario - Intervention Scenario)
Years 6-15]]/Table505255[[#This Row],[Intervention/Policy Costs (Financial)]]</f>
        <v>75.593306435194179</v>
      </c>
    </row>
    <row r="196" spans="2:17">
      <c r="B196" s="6" t="s">
        <v>282</v>
      </c>
      <c r="C196" s="85">
        <f>SUM(D$64:D$73)</f>
        <v>9130000000</v>
      </c>
      <c r="D196" s="177">
        <f>SUM(M$64:M$73)</f>
        <v>739530000</v>
      </c>
      <c r="E196" s="177">
        <f t="shared" ref="E196:F196" si="111">SUM(N$64:N$73)</f>
        <v>629970000.00000012</v>
      </c>
      <c r="F196" s="177">
        <f t="shared" si="111"/>
        <v>1186900000</v>
      </c>
      <c r="G196" s="173">
        <v>-9.1000000000000025E-2</v>
      </c>
      <c r="H196" s="177">
        <f>SUM(AC$64:AC$73)</f>
        <v>584458274.17908323</v>
      </c>
      <c r="I196" s="177">
        <f t="shared" ref="I196:J196" si="112">SUM(AD$64:AD$73)</f>
        <v>497871863.18958956</v>
      </c>
      <c r="J196" s="177">
        <f t="shared" si="112"/>
        <v>938019452.38618338</v>
      </c>
      <c r="K196" s="170">
        <f>SUM(AO$64:AO$73)</f>
        <v>155071725.82091677</v>
      </c>
      <c r="L196" s="170">
        <f t="shared" ref="L196:M196" si="113">SUM(AP$64:AP$73)</f>
        <v>132098136.81041056</v>
      </c>
      <c r="M196" s="170">
        <f t="shared" si="113"/>
        <v>248880547.61381668</v>
      </c>
      <c r="N196" s="154">
        <v>1521686.7758493207</v>
      </c>
      <c r="O196" s="170">
        <f>Table505255[[#This Row],[Savings in Smoking-Attributable Government Healthcare Costs:
(Baseline Scenario - Intervention Scenario)
Years 6-15]]/Table505255[[#This Row],[Intervention/Policy Costs (Financial)]]</f>
        <v>101.90778304842952</v>
      </c>
      <c r="P196" s="170">
        <f>Table505255[[#This Row],[Savings in Smoking-Attributable Government Healthcare Costs: Lower Bound
(Baseline Scenario - Intervention Scenario)
Years 6-15]]/Table505255[[#This Row],[Intervention/Policy Costs (Financial)]]</f>
        <v>86.81033370792143</v>
      </c>
      <c r="Q196" s="170">
        <f>Table505255[[#This Row],[Savings in Smoking-Attributable Government Healthcare Costs: Upper Bound
(Baseline Scenario - Intervention Scenario)
Years 6-15]]/Table505255[[#This Row],[Intervention/Policy Costs (Financial)]]</f>
        <v>163.55570118883725</v>
      </c>
    </row>
    <row r="197" spans="2:17">
      <c r="B197" s="6" t="s">
        <v>77</v>
      </c>
      <c r="C197" s="85">
        <f>SUM(D$88:D$97)</f>
        <v>9130000000</v>
      </c>
      <c r="D197" s="177">
        <f>SUM(M$88:M$97)</f>
        <v>739530000</v>
      </c>
      <c r="E197" s="177">
        <f t="shared" ref="E197:F197" si="114">SUM(N$88:N$97)</f>
        <v>629970000.00000012</v>
      </c>
      <c r="F197" s="177">
        <f t="shared" si="114"/>
        <v>1186900000</v>
      </c>
      <c r="G197" s="173">
        <v>-8.0000000000000002E-3</v>
      </c>
      <c r="H197" s="177">
        <f>SUM(AC$88:AC$97)</f>
        <v>697374112.66907978</v>
      </c>
      <c r="I197" s="177">
        <f t="shared" ref="I197:J197" si="115">SUM(AD$88:AD$97)</f>
        <v>594059429.31069779</v>
      </c>
      <c r="J197" s="177">
        <f t="shared" si="115"/>
        <v>1119242403.0491405</v>
      </c>
      <c r="K197" s="170">
        <f>SUM(AO$88:AO$97)</f>
        <v>42155887.330920085</v>
      </c>
      <c r="L197" s="170">
        <f t="shared" ref="L197:M197" si="116">SUM(AP$88:AP$97)</f>
        <v>35910570.689302377</v>
      </c>
      <c r="M197" s="170">
        <f t="shared" si="116"/>
        <v>67657596.950859502</v>
      </c>
      <c r="N197" s="154">
        <v>1794451.8797159838</v>
      </c>
      <c r="O197" s="170">
        <f>Table505255[[#This Row],[Savings in Smoking-Attributable Government Healthcare Costs:
(Baseline Scenario - Intervention Scenario)
Years 6-15]]/Table505255[[#This Row],[Intervention/Policy Costs (Financial)]]</f>
        <v>23.492347611791235</v>
      </c>
      <c r="P197" s="170">
        <f>Table505255[[#This Row],[Savings in Smoking-Attributable Government Healthcare Costs: Lower Bound
(Baseline Scenario - Intervention Scenario)
Years 6-15]]/Table505255[[#This Row],[Intervention/Policy Costs (Financial)]]</f>
        <v>20.011999817451841</v>
      </c>
      <c r="Q197" s="170">
        <f>Table505255[[#This Row],[Savings in Smoking-Attributable Government Healthcare Costs: Upper Bound
(Baseline Scenario - Intervention Scenario)
Years 6-15]]/Table505255[[#This Row],[Intervention/Policy Costs (Financial)]]</f>
        <v>37.703767772010686</v>
      </c>
    </row>
    <row r="198" spans="2:17">
      <c r="B198" s="6" t="s">
        <v>121</v>
      </c>
      <c r="C198" s="85">
        <f>SUM(D$112:D$121)</f>
        <v>9130000000</v>
      </c>
      <c r="D198" s="177">
        <f>SUM(M$112:M$121)</f>
        <v>739530000</v>
      </c>
      <c r="E198" s="177">
        <f t="shared" ref="E198:F198" si="117">SUM(N$112:N$121)</f>
        <v>629970000.00000012</v>
      </c>
      <c r="F198" s="177">
        <f t="shared" si="117"/>
        <v>1186900000</v>
      </c>
      <c r="G198" s="173">
        <v>-1.999999999999999E-2</v>
      </c>
      <c r="H198" s="177">
        <f>SUM(AC$112:AC$121)</f>
        <v>661167248.30950677</v>
      </c>
      <c r="I198" s="177">
        <f t="shared" ref="I198:J198" si="118">SUM(AD$112:AD$121)</f>
        <v>563216544.85624623</v>
      </c>
      <c r="J198" s="177">
        <f t="shared" si="118"/>
        <v>1061132620.7436527</v>
      </c>
      <c r="K198" s="170">
        <f>SUM(AO$112:AO$121)</f>
        <v>78362751.690493301</v>
      </c>
      <c r="L198" s="170">
        <f t="shared" ref="L198:M198" si="119">SUM(AP$112:AP$121)</f>
        <v>66753455.143753767</v>
      </c>
      <c r="M198" s="170">
        <f t="shared" si="119"/>
        <v>125767379.25634734</v>
      </c>
      <c r="N198" s="154">
        <v>997746.24927485816</v>
      </c>
      <c r="O198" s="170">
        <f>Table505255[[#This Row],[Savings in Smoking-Attributable Government Healthcare Costs:
(Baseline Scenario - Intervention Scenario)
Years 6-15]]/Table505255[[#This Row],[Intervention/Policy Costs (Financial)]]</f>
        <v>78.539760733198207</v>
      </c>
      <c r="P198" s="170">
        <f>Table505255[[#This Row],[Savings in Smoking-Attributable Government Healthcare Costs: Lower Bound
(Baseline Scenario - Intervention Scenario)
Years 6-15]]/Table505255[[#This Row],[Intervention/Policy Costs (Financial)]]</f>
        <v>66.904240624576474</v>
      </c>
      <c r="Q198" s="170">
        <f>Table505255[[#This Row],[Savings in Smoking-Attributable Government Healthcare Costs: Upper Bound
(Baseline Scenario - Intervention Scenario)
Years 6-15]]/Table505255[[#This Row],[Intervention/Policy Costs (Financial)]]</f>
        <v>126.05146784340461</v>
      </c>
    </row>
    <row r="199" spans="2:17">
      <c r="B199" s="6" t="s">
        <v>122</v>
      </c>
      <c r="C199" s="85">
        <f>SUM(D$136:D$145)</f>
        <v>9130000000</v>
      </c>
      <c r="D199" s="177">
        <f>SUM(M$136:M$145)</f>
        <v>739530000</v>
      </c>
      <c r="E199" s="177">
        <f t="shared" ref="E199:F199" si="120">SUM(N$136:N$145)</f>
        <v>629970000.00000012</v>
      </c>
      <c r="F199" s="177">
        <f t="shared" si="120"/>
        <v>1186900000</v>
      </c>
      <c r="G199" s="173">
        <v>-0.03</v>
      </c>
      <c r="H199" s="177">
        <f>SUM(AC$136:AC$145)</f>
        <v>684825718.19348812</v>
      </c>
      <c r="I199" s="177">
        <f t="shared" ref="I199:J199" si="121">SUM(AD$136:AD$145)</f>
        <v>583370056.23889732</v>
      </c>
      <c r="J199" s="177">
        <f t="shared" si="121"/>
        <v>1099103004.5080674</v>
      </c>
      <c r="K199" s="170">
        <f>SUM(AO$136:AO$145)</f>
        <v>54704281.806511864</v>
      </c>
      <c r="L199" s="170">
        <f t="shared" ref="L199:M199" si="122">SUM(AP$136:AP$145)</f>
        <v>46599943.761102751</v>
      </c>
      <c r="M199" s="170">
        <f t="shared" si="122"/>
        <v>87796995.49193266</v>
      </c>
      <c r="N199" s="154">
        <v>959822.15114940715</v>
      </c>
      <c r="O199" s="170">
        <f>Table505255[[#This Row],[Savings in Smoking-Attributable Government Healthcare Costs:
(Baseline Scenario - Intervention Scenario)
Years 6-15]]/Table505255[[#This Row],[Intervention/Policy Costs (Financial)]]</f>
        <v>56.994185580112251</v>
      </c>
      <c r="P199" s="170">
        <f>Table505255[[#This Row],[Savings in Smoking-Attributable Government Healthcare Costs: Lower Bound
(Baseline Scenario - Intervention Scenario)
Years 6-15]]/Table505255[[#This Row],[Intervention/Policy Costs (Financial)]]</f>
        <v>48.550602531206785</v>
      </c>
      <c r="Q199" s="170">
        <f>Table505255[[#This Row],[Savings in Smoking-Attributable Government Healthcare Costs: Upper Bound
(Baseline Scenario - Intervention Scenario)
Years 6-15]]/Table505255[[#This Row],[Intervention/Policy Costs (Financial)]]</f>
        <v>91.472149696476492</v>
      </c>
    </row>
    <row r="200" spans="2:17" ht="21">
      <c r="B200" s="81"/>
    </row>
    <row r="201" spans="2:17" ht="21">
      <c r="B201" s="81"/>
    </row>
    <row r="202" spans="2:17" ht="18.75">
      <c r="B202" s="83" t="s">
        <v>131</v>
      </c>
    </row>
    <row r="203" spans="2:17" ht="21">
      <c r="B203" s="81"/>
    </row>
    <row r="204" spans="2:17" ht="69.95" customHeight="1">
      <c r="B204" s="14" t="s">
        <v>120</v>
      </c>
      <c r="C204" s="168" t="s">
        <v>307</v>
      </c>
      <c r="D204" s="168" t="s">
        <v>308</v>
      </c>
      <c r="E204" s="168" t="s">
        <v>432</v>
      </c>
      <c r="F204" s="168" t="s">
        <v>433</v>
      </c>
      <c r="G204" s="172" t="s">
        <v>125</v>
      </c>
      <c r="H204" s="82" t="s">
        <v>309</v>
      </c>
      <c r="I204" s="82" t="s">
        <v>434</v>
      </c>
      <c r="J204" s="82" t="s">
        <v>435</v>
      </c>
      <c r="K204" s="169" t="s">
        <v>310</v>
      </c>
      <c r="L204" s="169" t="s">
        <v>436</v>
      </c>
      <c r="M204" s="169" t="s">
        <v>437</v>
      </c>
      <c r="N204" s="155" t="s">
        <v>202</v>
      </c>
      <c r="O204" s="169" t="s">
        <v>366</v>
      </c>
      <c r="P204" s="169" t="s">
        <v>367</v>
      </c>
      <c r="Q204" s="169" t="s">
        <v>368</v>
      </c>
    </row>
    <row r="205" spans="2:17">
      <c r="B205" s="6" t="s">
        <v>242</v>
      </c>
      <c r="C205" s="12">
        <f>SUM(D$35:D$49)</f>
        <v>13695000000</v>
      </c>
      <c r="D205" s="177">
        <f>SUM(M$35:M$49)</f>
        <v>1109295000</v>
      </c>
      <c r="E205" s="177">
        <f t="shared" ref="E205:F205" si="123">SUM(N$35:N$49)</f>
        <v>944955000.00000012</v>
      </c>
      <c r="F205" s="177">
        <f t="shared" si="123"/>
        <v>1780350000</v>
      </c>
      <c r="G205" s="171">
        <v>-0.45397703549060553</v>
      </c>
      <c r="H205" s="177">
        <f>SUM(AC$35:AC$49)</f>
        <v>793845352.01069868</v>
      </c>
      <c r="I205" s="177">
        <f t="shared" ref="I205:J205" si="124">SUM(AD$35:AD$49)</f>
        <v>676238633.19429898</v>
      </c>
      <c r="J205" s="177">
        <f t="shared" si="124"/>
        <v>1274072787.1776643</v>
      </c>
      <c r="K205" s="170">
        <f>SUM(AO$35:AO$49)</f>
        <v>315449647.98930132</v>
      </c>
      <c r="L205" s="170">
        <f t="shared" ref="L205:M205" si="125">SUM(AP$35:AP$49)</f>
        <v>268716366.80570114</v>
      </c>
      <c r="M205" s="170">
        <f t="shared" si="125"/>
        <v>506277212.82233524</v>
      </c>
      <c r="N205" s="154">
        <f>SUM(N206:N209)</f>
        <v>10022152.958321866</v>
      </c>
      <c r="O205" s="170">
        <f>Table50525356[[#This Row],[Savings in Smoking-Attributable Government Healthcare Costs:
(Baseline Scenario - Intervention Scenario)
After 15 Years]]/Table50525356[[#This Row],[Intervention/Policy Costs (Financial)]]</f>
        <v>31.475237835735548</v>
      </c>
      <c r="P205" s="170">
        <f>Table50525356[[#This Row],[Savings in Smoking-Attributable Government Healthcare Costs: Lower Bound
(Baseline Scenario - Intervention Scenario)
After 15 Years]]/Table50525356[[#This Row],[Intervention/Policy Costs (Financial)]]</f>
        <v>26.812239637848801</v>
      </c>
      <c r="Q205" s="170">
        <f>Table50525356[[#This Row],[Savings in Smoking-Attributable Government Healthcare Costs: Upper Bound
(Baseline Scenario - Intervention Scenario)
After 15 Years]]/Table50525356[[#This Row],[Intervention/Policy Costs (Financial)]]</f>
        <v>50.515813810439745</v>
      </c>
    </row>
    <row r="206" spans="2:17">
      <c r="B206" s="6" t="s">
        <v>282</v>
      </c>
      <c r="C206" s="85">
        <f>SUM(D$59:D$73)</f>
        <v>13695000000</v>
      </c>
      <c r="D206" s="177">
        <f>SUM(M$59:M$73)</f>
        <v>1109295000</v>
      </c>
      <c r="E206" s="177">
        <f t="shared" ref="E206:F206" si="126">SUM(N$59:N$73)</f>
        <v>944955000.00000012</v>
      </c>
      <c r="F206" s="177">
        <f t="shared" si="126"/>
        <v>1780350000</v>
      </c>
      <c r="G206" s="173">
        <v>-0.27300000000000002</v>
      </c>
      <c r="H206" s="177">
        <f>SUM(AC$59:AC$73)</f>
        <v>915751906.06368434</v>
      </c>
      <c r="I206" s="177">
        <f t="shared" ref="I206:J206" si="127">SUM(AD$59:AD$73)</f>
        <v>780084957.01721287</v>
      </c>
      <c r="J206" s="177">
        <f t="shared" si="127"/>
        <v>1469725281.3367782</v>
      </c>
      <c r="K206" s="170">
        <f>SUM(AO$59:AO$73)</f>
        <v>193543093.9363156</v>
      </c>
      <c r="L206" s="170">
        <f t="shared" ref="L206:M206" si="128">SUM(AP$59:AP$73)</f>
        <v>164870042.98278734</v>
      </c>
      <c r="M206" s="170">
        <f t="shared" si="128"/>
        <v>310624718.66322201</v>
      </c>
      <c r="N206" s="154">
        <v>2598330.7595019024</v>
      </c>
      <c r="O206" s="170">
        <f>Table50525356[[#This Row],[Savings in Smoking-Attributable Government Healthcare Costs:
(Baseline Scenario - Intervention Scenario)
After 15 Years]]/Table50525356[[#This Row],[Intervention/Policy Costs (Financial)]]</f>
        <v>74.487473632270607</v>
      </c>
      <c r="P206" s="170">
        <f>Table50525356[[#This Row],[Savings in Smoking-Attributable Government Healthcare Costs: Lower Bound
(Baseline Scenario - Intervention Scenario)
After 15 Years]]/Table50525356[[#This Row],[Intervention/Policy Costs (Financial)]]</f>
        <v>63.452292353415686</v>
      </c>
      <c r="Q206" s="170">
        <f>Table50525356[[#This Row],[Savings in Smoking-Attributable Government Healthcare Costs: Upper Bound
(Baseline Scenario - Intervention Scenario)
After 15 Years]]/Table50525356[[#This Row],[Intervention/Policy Costs (Financial)]]</f>
        <v>119.54779718759458</v>
      </c>
    </row>
    <row r="207" spans="2:17">
      <c r="B207" s="6" t="s">
        <v>77</v>
      </c>
      <c r="C207" s="85">
        <f>SUM(D$83:D$97)</f>
        <v>13695000000</v>
      </c>
      <c r="D207" s="177">
        <f>SUM(M$83:M$97)</f>
        <v>1109295000</v>
      </c>
      <c r="E207" s="177">
        <f t="shared" ref="E207:F207" si="129">SUM(N$83:N$97)</f>
        <v>944955000.00000012</v>
      </c>
      <c r="F207" s="177">
        <f t="shared" si="129"/>
        <v>1780350000</v>
      </c>
      <c r="G207" s="173">
        <v>-6.2E-2</v>
      </c>
      <c r="H207" s="177">
        <f>SUM(AC$83:AC$97)</f>
        <v>1055329852.8611251</v>
      </c>
      <c r="I207" s="177">
        <f t="shared" ref="I207:J207" si="130">SUM(AD$83:AD$97)</f>
        <v>898984689.47429168</v>
      </c>
      <c r="J207" s="177">
        <f t="shared" si="130"/>
        <v>1693739270.0240278</v>
      </c>
      <c r="K207" s="170">
        <f>SUM(AO$83:AO$97)</f>
        <v>53965147.138874874</v>
      </c>
      <c r="L207" s="170">
        <f t="shared" ref="L207:M207" si="131">SUM(AP$83:AP$97)</f>
        <v>45970310.525708333</v>
      </c>
      <c r="M207" s="170">
        <f t="shared" si="131"/>
        <v>86610729.975972176</v>
      </c>
      <c r="N207" s="154">
        <v>3615969.0525230188</v>
      </c>
      <c r="O207" s="170">
        <f>Table50525356[[#This Row],[Savings in Smoking-Attributable Government Healthcare Costs:
(Baseline Scenario - Intervention Scenario)
After 15 Years]]/Table50525356[[#This Row],[Intervention/Policy Costs (Financial)]]</f>
        <v>14.924117533921105</v>
      </c>
      <c r="P207" s="170">
        <f>Table50525356[[#This Row],[Savings in Smoking-Attributable Government Healthcare Costs: Lower Bound
(Baseline Scenario - Intervention Scenario)
After 15 Years]]/Table50525356[[#This Row],[Intervention/Policy Costs (Financial)]]</f>
        <v>12.713137158525416</v>
      </c>
      <c r="Q207" s="170">
        <f>Table50525356[[#This Row],[Savings in Smoking-Attributable Government Healthcare Costs: Upper Bound
(Baseline Scenario - Intervention Scenario)
After 15 Years]]/Table50525356[[#This Row],[Intervention/Policy Costs (Financial)]]</f>
        <v>23.952287400120337</v>
      </c>
    </row>
    <row r="208" spans="2:17">
      <c r="B208" s="6" t="s">
        <v>121</v>
      </c>
      <c r="C208" s="85">
        <f>SUM(D$107:D$121)</f>
        <v>13695000000</v>
      </c>
      <c r="D208" s="177">
        <f>SUM(M$107:M$121)</f>
        <v>1109295000</v>
      </c>
      <c r="E208" s="177">
        <f t="shared" ref="E208:F208" si="132">SUM(N$107:N$121)</f>
        <v>944955000.00000012</v>
      </c>
      <c r="F208" s="177">
        <f t="shared" si="132"/>
        <v>1780350000</v>
      </c>
      <c r="G208" s="173">
        <v>-0.12</v>
      </c>
      <c r="H208" s="177">
        <f>SUM(AC$107:AC$121)</f>
        <v>1009329168.7077371</v>
      </c>
      <c r="I208" s="177">
        <f t="shared" ref="I208:J208" si="133">SUM(AD$107:AD$121)</f>
        <v>859798921.49177587</v>
      </c>
      <c r="J208" s="177">
        <f t="shared" si="133"/>
        <v>1619911011.5062449</v>
      </c>
      <c r="K208" s="170">
        <f>SUM(AO$107:AO$121)</f>
        <v>99965831.292262927</v>
      </c>
      <c r="L208" s="170">
        <f t="shared" ref="L208:M208" si="134">SUM(AP$107:AP$121)</f>
        <v>85156078.508224219</v>
      </c>
      <c r="M208" s="170">
        <f t="shared" si="134"/>
        <v>160438988.49375531</v>
      </c>
      <c r="N208" s="154">
        <v>1918013.2727897526</v>
      </c>
      <c r="O208" s="170">
        <f>Table50525356[[#This Row],[Savings in Smoking-Attributable Government Healthcare Costs:
(Baseline Scenario - Intervention Scenario)
After 15 Years]]/Table50525356[[#This Row],[Intervention/Policy Costs (Financial)]]</f>
        <v>52.119467946570829</v>
      </c>
      <c r="P208" s="170">
        <f>Table50525356[[#This Row],[Savings in Smoking-Attributable Government Healthcare Costs: Lower Bound
(Baseline Scenario - Intervention Scenario)
After 15 Years]]/Table50525356[[#This Row],[Intervention/Policy Costs (Financial)]]</f>
        <v>44.398065287819726</v>
      </c>
      <c r="Q208" s="170">
        <f>Table50525356[[#This Row],[Savings in Smoking-Attributable Government Healthcare Costs: Upper Bound
(Baseline Scenario - Intervention Scenario)
After 15 Years]]/Table50525356[[#This Row],[Intervention/Policy Costs (Financial)]]</f>
        <v>83.648528803138376</v>
      </c>
    </row>
    <row r="209" spans="2:17">
      <c r="B209" s="6" t="s">
        <v>122</v>
      </c>
      <c r="C209" s="85">
        <f>SUM(D$131:D$145)</f>
        <v>13695000000</v>
      </c>
      <c r="D209" s="177">
        <f>SUM(M$131:M$145)</f>
        <v>1109295000</v>
      </c>
      <c r="E209" s="177">
        <f t="shared" ref="E209:F209" si="135">SUM(N$131:N$145)</f>
        <v>944955000.00000012</v>
      </c>
      <c r="F209" s="177">
        <f t="shared" si="135"/>
        <v>1780350000</v>
      </c>
      <c r="G209" s="173">
        <v>-0.09</v>
      </c>
      <c r="H209" s="177">
        <f>SUM(AC$131:AC$145)</f>
        <v>1041490255.1542625</v>
      </c>
      <c r="I209" s="177">
        <f t="shared" ref="I209:J209" si="136">SUM(AD$131:AD$145)</f>
        <v>887195402.53881645</v>
      </c>
      <c r="J209" s="177">
        <f t="shared" si="136"/>
        <v>1671527570.0006685</v>
      </c>
      <c r="K209" s="170">
        <f>SUM(AO$131:AO$145)</f>
        <v>67804744.845737338</v>
      </c>
      <c r="L209" s="170">
        <f t="shared" ref="L209:M209" si="137">SUM(AP$131:AP$145)</f>
        <v>57759597.461183682</v>
      </c>
      <c r="M209" s="170">
        <f t="shared" si="137"/>
        <v>108822429.99933152</v>
      </c>
      <c r="N209" s="154">
        <v>1889839.8735071917</v>
      </c>
      <c r="O209" s="170">
        <f>Table50525356[[#This Row],[Savings in Smoking-Attributable Government Healthcare Costs:
(Baseline Scenario - Intervention Scenario)
After 15 Years]]/Table50525356[[#This Row],[Intervention/Policy Costs (Financial)]]</f>
        <v>35.878566113595824</v>
      </c>
      <c r="P209" s="170">
        <f>Table50525356[[#This Row],[Savings in Smoking-Attributable Government Healthcare Costs: Lower Bound
(Baseline Scenario - Intervention Scenario)
After 15 Years]]/Table50525356[[#This Row],[Intervention/Policy Costs (Financial)]]</f>
        <v>30.56322298565571</v>
      </c>
      <c r="Q209" s="170">
        <f>Table50525356[[#This Row],[Savings in Smoking-Attributable Government Healthcare Costs: Upper Bound
(Baseline Scenario - Intervention Scenario)
After 15 Years]]/Table50525356[[#This Row],[Intervention/Policy Costs (Financial)]]</f>
        <v>57.582883886017974</v>
      </c>
    </row>
    <row r="212" spans="2:17" ht="24" customHeight="1">
      <c r="B212" s="83" t="s">
        <v>296</v>
      </c>
    </row>
    <row r="213" spans="2:17" ht="15" customHeight="1">
      <c r="B213" s="81"/>
    </row>
    <row r="214" spans="2:17" ht="75.95" customHeight="1">
      <c r="B214" s="14" t="s">
        <v>120</v>
      </c>
      <c r="C214" s="168" t="s">
        <v>311</v>
      </c>
      <c r="D214" s="168" t="s">
        <v>312</v>
      </c>
      <c r="E214" s="168" t="s">
        <v>444</v>
      </c>
      <c r="F214" s="168" t="s">
        <v>445</v>
      </c>
      <c r="G214" s="172" t="s">
        <v>123</v>
      </c>
      <c r="H214" s="82" t="s">
        <v>313</v>
      </c>
      <c r="I214" s="82" t="s">
        <v>446</v>
      </c>
      <c r="J214" s="82" t="s">
        <v>447</v>
      </c>
      <c r="K214" s="169" t="s">
        <v>314</v>
      </c>
      <c r="L214" s="169" t="s">
        <v>448</v>
      </c>
      <c r="M214" s="169" t="s">
        <v>449</v>
      </c>
      <c r="N214" s="155" t="s">
        <v>202</v>
      </c>
      <c r="O214" s="169" t="s">
        <v>366</v>
      </c>
      <c r="P214" s="169" t="s">
        <v>367</v>
      </c>
      <c r="Q214" s="169" t="s">
        <v>368</v>
      </c>
    </row>
    <row r="215" spans="2:17">
      <c r="B215" s="6" t="s">
        <v>242</v>
      </c>
      <c r="C215" s="12">
        <f>SUM(E$35:E$39)</f>
        <v>7215000000</v>
      </c>
      <c r="D215" s="177">
        <f>SUM(P$35:P$39)</f>
        <v>584415000</v>
      </c>
      <c r="E215" s="177">
        <f t="shared" ref="E215" si="138">SUM(Q$35:Q$39)</f>
        <v>497835000.00000006</v>
      </c>
      <c r="F215" s="177">
        <f>SUM(R$35:R$39)</f>
        <v>937950000</v>
      </c>
      <c r="G215" s="171">
        <v>-0.3298622129436326</v>
      </c>
      <c r="H215" s="177">
        <f>SUM(AF$35:AF$39)</f>
        <v>478433209.06115818</v>
      </c>
      <c r="I215" s="177">
        <f t="shared" ref="I215" si="139">SUM(AG$35:AG$39)</f>
        <v>407554215.12617183</v>
      </c>
      <c r="J215" s="177">
        <f>SUM(AH$35:AH$39)</f>
        <v>767855767.62901938</v>
      </c>
      <c r="K215" s="170">
        <f>SUM(AR$35:AR$39)</f>
        <v>105981790.93884182</v>
      </c>
      <c r="L215" s="170">
        <f t="shared" ref="L215:M215" si="140">SUM(AS$35:AS$39)</f>
        <v>90280784.873828232</v>
      </c>
      <c r="M215" s="170">
        <f t="shared" si="140"/>
        <v>170094232.37098062</v>
      </c>
      <c r="N215" s="154">
        <f>SUM(N216:N219)</f>
        <v>4748445.9023322966</v>
      </c>
      <c r="O215" s="170">
        <f>Table505460[[#This Row],[Savings in Smoking-Attributable Private (Out-of-Pocket) Healthcare Costs:
(Baseline Scenario - Intervention Scenario)
First 5 Years]]/Table505460[[#This Row],[Intervention/Policy Costs (Financial)]]</f>
        <v>22.319258367624382</v>
      </c>
      <c r="P215" s="170">
        <f>Table505460[[#This Row],[Savings in Smoking-Attributable Private (Out-of-Pocket) Healthcare Costs: Lower Bound
(Baseline Scenario - Intervention Scenario)
First 5 Years]]/Table505460[[#This Row],[Intervention/Policy Costs (Financial)]]</f>
        <v>19.012701572420774</v>
      </c>
      <c r="Q215" s="170">
        <f>Table505460[[#This Row],[Savings in Smoking-Attributable Private (Out-of-Pocket) Healthcare Costs: Upper Bound
(Baseline Scenario - Intervention Scenario)
First 5 Years]]/Table505460[[#This Row],[Intervention/Policy Costs (Financial)]]</f>
        <v>35.821031948039114</v>
      </c>
    </row>
    <row r="216" spans="2:17">
      <c r="B216" s="6" t="s">
        <v>282</v>
      </c>
      <c r="C216" s="12">
        <f>SUM(E$59:E$63)</f>
        <v>7215000000</v>
      </c>
      <c r="D216" s="177">
        <f>SUM(P$59:P$63)</f>
        <v>584415000</v>
      </c>
      <c r="E216" s="177">
        <f t="shared" ref="E216:F216" si="141">SUM(Q$59:Q$63)</f>
        <v>497835000.00000006</v>
      </c>
      <c r="F216" s="177">
        <f t="shared" si="141"/>
        <v>937950000</v>
      </c>
      <c r="G216" s="171">
        <v>-0.182</v>
      </c>
      <c r="H216" s="177">
        <f>SUM(AF$59:AF$63)</f>
        <v>523610855.2130115</v>
      </c>
      <c r="I216" s="177">
        <f t="shared" ref="I216:J216" si="142">SUM(AG$59:AG$63)</f>
        <v>446038876.66293579</v>
      </c>
      <c r="J216" s="177">
        <f t="shared" si="142"/>
        <v>840363100.95915437</v>
      </c>
      <c r="K216" s="170">
        <f>SUM(AR$59:AR$63)</f>
        <v>60804144.786988467</v>
      </c>
      <c r="L216" s="170">
        <f t="shared" ref="L216:M216" si="143">SUM(AS$59:AS$63)</f>
        <v>51796123.337064251</v>
      </c>
      <c r="M216" s="170">
        <f t="shared" si="143"/>
        <v>97586899.040845484</v>
      </c>
      <c r="N216" s="154">
        <v>1076643.9836525819</v>
      </c>
      <c r="O216" s="170">
        <f>Table505460[[#This Row],[Savings in Smoking-Attributable Private (Out-of-Pocket) Healthcare Costs:
(Baseline Scenario - Intervention Scenario)
First 5 Years]]/Table505460[[#This Row],[Intervention/Policy Costs (Financial)]]</f>
        <v>56.475627700724814</v>
      </c>
      <c r="P216" s="170">
        <f>Table505460[[#This Row],[Savings in Smoking-Attributable Private (Out-of-Pocket) Healthcare Costs: Lower Bound
(Baseline Scenario - Intervention Scenario)
First 5 Years]]/Table505460[[#This Row],[Intervention/Policy Costs (Financial)]]</f>
        <v>48.108868041358171</v>
      </c>
      <c r="Q216" s="170">
        <f>Table505460[[#This Row],[Savings in Smoking-Attributable Private (Out-of-Pocket) Healthcare Costs: Upper Bound
(Baseline Scenario - Intervention Scenario)
First 5 Years]]/Table505460[[#This Row],[Intervention/Policy Costs (Financial)]]</f>
        <v>90.639896309805067</v>
      </c>
    </row>
    <row r="217" spans="2:17">
      <c r="B217" s="6" t="s">
        <v>77</v>
      </c>
      <c r="C217" s="12">
        <f>SUM(E$83:E$87)</f>
        <v>7215000000</v>
      </c>
      <c r="D217" s="177">
        <f>SUM(P$83:P$87)</f>
        <v>584415000</v>
      </c>
      <c r="E217" s="177">
        <f t="shared" ref="E217:F217" si="144">SUM(Q$83:Q$87)</f>
        <v>497835000.00000006</v>
      </c>
      <c r="F217" s="177">
        <f t="shared" si="144"/>
        <v>937950000</v>
      </c>
      <c r="G217" s="171">
        <v>-5.3999999999999999E-2</v>
      </c>
      <c r="H217" s="177">
        <f>SUM(AF$83:AF$87)</f>
        <v>565750419.6025424</v>
      </c>
      <c r="I217" s="177">
        <f t="shared" ref="I217:J217" si="145">SUM(AG$83:AG$87)</f>
        <v>481935542.62438804</v>
      </c>
      <c r="J217" s="177">
        <f t="shared" si="145"/>
        <v>907994500.59667301</v>
      </c>
      <c r="K217" s="170">
        <f>SUM(AR$83:AR$87)</f>
        <v>18664580.397457585</v>
      </c>
      <c r="L217" s="170">
        <f t="shared" ref="L217:M217" si="146">SUM(AS$83:AS$87)</f>
        <v>15899457.37561205</v>
      </c>
      <c r="M217" s="170">
        <f t="shared" si="146"/>
        <v>29955499.403327107</v>
      </c>
      <c r="N217" s="154">
        <v>1821517.172807036</v>
      </c>
      <c r="O217" s="170">
        <f>Table505460[[#This Row],[Savings in Smoking-Attributable Private (Out-of-Pocket) Healthcare Costs:
(Baseline Scenario - Intervention Scenario)
First 5 Years]]/Table505460[[#This Row],[Intervention/Policy Costs (Financial)]]</f>
        <v>10.246722169901187</v>
      </c>
      <c r="P217" s="170">
        <f>Table505460[[#This Row],[Savings in Smoking-Attributable Private (Out-of-Pocket) Healthcare Costs: Lower Bound
(Baseline Scenario - Intervention Scenario)
First 5 Years]]/Table505460[[#This Row],[Intervention/Policy Costs (Financial)]]</f>
        <v>8.7286892558417701</v>
      </c>
      <c r="Q217" s="170">
        <f>Table505460[[#This Row],[Savings in Smoking-Attributable Private (Out-of-Pocket) Healthcare Costs: Upper Bound
(Baseline Scenario - Intervention Scenario)
First 5 Years]]/Table505460[[#This Row],[Intervention/Policy Costs (Financial)]]</f>
        <v>16.445356568977278</v>
      </c>
    </row>
    <row r="218" spans="2:17">
      <c r="B218" s="6" t="s">
        <v>121</v>
      </c>
      <c r="C218" s="12">
        <f>SUM(E$107:E$111)</f>
        <v>7215000000</v>
      </c>
      <c r="D218" s="177">
        <f>SUM(P$107:P$111)</f>
        <v>584415000</v>
      </c>
      <c r="E218" s="177">
        <f t="shared" ref="E218:F218" si="147">SUM(Q$107:Q$111)</f>
        <v>497835000.00000006</v>
      </c>
      <c r="F218" s="177">
        <f t="shared" si="147"/>
        <v>937950000</v>
      </c>
      <c r="G218" s="171">
        <v>-0.1</v>
      </c>
      <c r="H218" s="177">
        <f>SUM(AF$107:AF$111)</f>
        <v>550271249.87365437</v>
      </c>
      <c r="I218" s="177">
        <f t="shared" ref="I218:J218" si="148">SUM(AG$107:AG$111)</f>
        <v>468749583.22570562</v>
      </c>
      <c r="J218" s="177">
        <f t="shared" si="148"/>
        <v>883151388.68611193</v>
      </c>
      <c r="K218" s="170">
        <f>SUM(AR$107:AR$111)</f>
        <v>34143750.126345605</v>
      </c>
      <c r="L218" s="170">
        <f t="shared" ref="L218:M218" si="149">SUM(AS$107:AS$111)</f>
        <v>29085416.77429451</v>
      </c>
      <c r="M218" s="170">
        <f t="shared" si="149"/>
        <v>54798611.313887954</v>
      </c>
      <c r="N218" s="154">
        <v>920267.0235148943</v>
      </c>
      <c r="O218" s="170">
        <f>Table505460[[#This Row],[Savings in Smoking-Attributable Private (Out-of-Pocket) Healthcare Costs:
(Baseline Scenario - Intervention Scenario)
First 5 Years]]/Table505460[[#This Row],[Intervention/Policy Costs (Financial)]]</f>
        <v>37.102003281543205</v>
      </c>
      <c r="P218" s="170">
        <f>Table505460[[#This Row],[Savings in Smoking-Attributable Private (Out-of-Pocket) Healthcare Costs: Lower Bound
(Baseline Scenario - Intervention Scenario)
First 5 Years]]/Table505460[[#This Row],[Intervention/Policy Costs (Financial)]]</f>
        <v>31.605410202796179</v>
      </c>
      <c r="Q218" s="170">
        <f>Table505460[[#This Row],[Savings in Smoking-Attributable Private (Out-of-Pocket) Healthcare Costs: Upper Bound
(Baseline Scenario - Intervention Scenario)
First 5 Years]]/Table505460[[#This Row],[Intervention/Policy Costs (Financial)]]</f>
        <v>59.54642501976064</v>
      </c>
    </row>
    <row r="219" spans="2:17">
      <c r="B219" s="6" t="s">
        <v>122</v>
      </c>
      <c r="C219" s="12">
        <f>SUM(E$131:E$135)</f>
        <v>7215000000</v>
      </c>
      <c r="D219" s="177">
        <f>SUM(P$131:P$135)</f>
        <v>584415000</v>
      </c>
      <c r="E219" s="177">
        <f t="shared" ref="E219:F219" si="150">SUM(Q$131:Q$135)</f>
        <v>497835000.00000006</v>
      </c>
      <c r="F219" s="177">
        <f t="shared" si="150"/>
        <v>937950000</v>
      </c>
      <c r="G219" s="171">
        <v>-0.06</v>
      </c>
      <c r="H219" s="177">
        <f>SUM(AF$131:AF$135)</f>
        <v>563709667.94567108</v>
      </c>
      <c r="I219" s="177">
        <f t="shared" ref="I219:J219" si="151">SUM(AG$131:AG$135)</f>
        <v>480197124.54631245</v>
      </c>
      <c r="J219" s="177">
        <f t="shared" si="151"/>
        <v>904719220.15971899</v>
      </c>
      <c r="K219" s="170">
        <f>SUM(AR$131:AR$135)</f>
        <v>20705332.054328978</v>
      </c>
      <c r="L219" s="170">
        <f t="shared" ref="L219:M219" si="152">SUM(AS$131:AS$135)</f>
        <v>17637875.453687638</v>
      </c>
      <c r="M219" s="170">
        <f t="shared" si="152"/>
        <v>33230779.84028101</v>
      </c>
      <c r="N219" s="154">
        <v>930017.7223577844</v>
      </c>
      <c r="O219" s="170">
        <f>Table505460[[#This Row],[Savings in Smoking-Attributable Private (Out-of-Pocket) Healthcare Costs:
(Baseline Scenario - Intervention Scenario)
First 5 Years]]/Table505460[[#This Row],[Intervention/Policy Costs (Financial)]]</f>
        <v>22.263373650382427</v>
      </c>
      <c r="P219" s="170">
        <f>Table505460[[#This Row],[Savings in Smoking-Attributable Private (Out-of-Pocket) Healthcare Costs: Lower Bound
(Baseline Scenario - Intervention Scenario)
First 5 Years]]/Table505460[[#This Row],[Intervention/Policy Costs (Financial)]]</f>
        <v>18.965096072547983</v>
      </c>
      <c r="Q219" s="170">
        <f>Table505460[[#This Row],[Savings in Smoking-Attributable Private (Out-of-Pocket) Healthcare Costs: Upper Bound
(Baseline Scenario - Intervention Scenario)
First 5 Years]]/Table505460[[#This Row],[Intervention/Policy Costs (Financial)]]</f>
        <v>35.731340426539631</v>
      </c>
    </row>
    <row r="220" spans="2:17" ht="21">
      <c r="B220" s="81"/>
    </row>
    <row r="221" spans="2:17" ht="21">
      <c r="B221" s="81"/>
    </row>
    <row r="222" spans="2:17" ht="18.75">
      <c r="B222" s="83" t="s">
        <v>297</v>
      </c>
    </row>
    <row r="223" spans="2:17" ht="21">
      <c r="B223" s="81"/>
    </row>
    <row r="224" spans="2:17" ht="78" customHeight="1">
      <c r="B224" s="14" t="s">
        <v>120</v>
      </c>
      <c r="C224" s="168" t="s">
        <v>315</v>
      </c>
      <c r="D224" s="168" t="s">
        <v>316</v>
      </c>
      <c r="E224" s="168" t="s">
        <v>450</v>
      </c>
      <c r="F224" s="168" t="s">
        <v>451</v>
      </c>
      <c r="G224" s="172" t="s">
        <v>124</v>
      </c>
      <c r="H224" s="82" t="s">
        <v>317</v>
      </c>
      <c r="I224" s="82" t="s">
        <v>452</v>
      </c>
      <c r="J224" s="82" t="s">
        <v>453</v>
      </c>
      <c r="K224" s="169" t="s">
        <v>318</v>
      </c>
      <c r="L224" s="169" t="s">
        <v>454</v>
      </c>
      <c r="M224" s="169" t="s">
        <v>455</v>
      </c>
      <c r="N224" s="155" t="s">
        <v>202</v>
      </c>
      <c r="O224" s="169" t="s">
        <v>366</v>
      </c>
      <c r="P224" s="169" t="s">
        <v>367</v>
      </c>
      <c r="Q224" s="169" t="s">
        <v>368</v>
      </c>
    </row>
    <row r="225" spans="2:17">
      <c r="B225" s="6" t="s">
        <v>242</v>
      </c>
      <c r="C225" s="12">
        <f>SUM(E$40:E$49)</f>
        <v>14430000000</v>
      </c>
      <c r="D225" s="177">
        <f>SUM(P$40:P$49)</f>
        <v>1168830000</v>
      </c>
      <c r="E225" s="177">
        <f t="shared" ref="E225" si="153">SUM(Q$40:Q$49)</f>
        <v>995670000.00000012</v>
      </c>
      <c r="F225" s="177">
        <f>SUM(R$40:R$49)</f>
        <v>1875900000</v>
      </c>
      <c r="G225" s="171">
        <v>-0.12411482254697299</v>
      </c>
      <c r="H225" s="177">
        <f>SUM(AF$40:AF$49)</f>
        <v>776242413.01051569</v>
      </c>
      <c r="I225" s="177">
        <f t="shared" ref="I225" si="154">SUM(AG$40:AG$49)</f>
        <v>661243537.00895786</v>
      </c>
      <c r="J225" s="177">
        <f>SUM(AH$40:AH$49)</f>
        <v>1245821156.6835437</v>
      </c>
      <c r="K225" s="170">
        <f>SUM(AR$40:AR$49)</f>
        <v>392587586.98948443</v>
      </c>
      <c r="L225" s="170">
        <f t="shared" ref="L225:M225" si="155">SUM(AS$40:AS$49)</f>
        <v>334426462.99104232</v>
      </c>
      <c r="M225" s="170">
        <f t="shared" si="155"/>
        <v>630078843.3164562</v>
      </c>
      <c r="N225" s="154">
        <f>SUM(N226:N229)</f>
        <v>5273707.05598957</v>
      </c>
      <c r="O225" s="170">
        <f>Table50525561[[#This Row],[Savings in Smoking-Attributable Private (Out-of-Pocket) Healthcare Costs:
(Baseline Scenario - Intervention Scenario)
Years 6-15]]/Table50525561[[#This Row],[Intervention/Policy Costs (Financial)]]</f>
        <v>74.442433533278319</v>
      </c>
      <c r="P225" s="170">
        <f>Table50525561[[#This Row],[Savings in Smoking-Attributable Private (Out-of-Pocket) Healthcare Costs: Lower Bound
(Baseline Scenario - Intervention Scenario)
Years 6-15]]/Table50525561[[#This Row],[Intervention/Policy Costs (Financial)]]</f>
        <v>63.413924861681529</v>
      </c>
      <c r="Q225" s="170">
        <f>Table50525561[[#This Row],[Savings in Smoking-Attributable Private (Out-of-Pocket) Healthcare Costs: Upper Bound
(Baseline Scenario - Intervention Scenario)
Years 6-15]]/Table50525561[[#This Row],[Intervention/Policy Costs (Financial)]]</f>
        <v>119.47551060896514</v>
      </c>
    </row>
    <row r="226" spans="2:17">
      <c r="B226" s="6" t="s">
        <v>282</v>
      </c>
      <c r="C226" s="85">
        <f>SUM(E$64:E$73)</f>
        <v>14430000000</v>
      </c>
      <c r="D226" s="177">
        <f>SUM(P$64:P$73)</f>
        <v>1168830000</v>
      </c>
      <c r="E226" s="177">
        <f t="shared" ref="E226:F226" si="156">SUM(Q$64:Q$73)</f>
        <v>995670000.00000012</v>
      </c>
      <c r="F226" s="177">
        <f t="shared" si="156"/>
        <v>1875900000</v>
      </c>
      <c r="G226" s="173">
        <v>-9.1000000000000025E-2</v>
      </c>
      <c r="H226" s="177">
        <f>SUM(AF$64:AF$73)</f>
        <v>923738542.87011743</v>
      </c>
      <c r="I226" s="177">
        <f t="shared" ref="I226:J226" si="157">SUM(AG$64:AG$73)</f>
        <v>786888388.37084079</v>
      </c>
      <c r="J226" s="177">
        <f t="shared" si="157"/>
        <v>1482543340.4088309</v>
      </c>
      <c r="K226" s="170">
        <f>SUM(AR$64:AR$73)</f>
        <v>245091457.12988275</v>
      </c>
      <c r="L226" s="170">
        <f t="shared" ref="L226:M226" si="158">SUM(AS$64:AS$73)</f>
        <v>208781611.62915933</v>
      </c>
      <c r="M226" s="170">
        <f t="shared" si="158"/>
        <v>393356659.59116912</v>
      </c>
      <c r="N226" s="154">
        <v>1521686.7758493207</v>
      </c>
      <c r="O226" s="170">
        <f>Table50525561[[#This Row],[Savings in Smoking-Attributable Private (Out-of-Pocket) Healthcare Costs:
(Baseline Scenario - Intervention Scenario)
Years 6-15]]/Table50525561[[#This Row],[Intervention/Policy Costs (Financial)]]</f>
        <v>161.06564177314769</v>
      </c>
      <c r="P226" s="170">
        <f>Table50525561[[#This Row],[Savings in Smoking-Attributable Private (Out-of-Pocket) Healthcare Costs: Lower Bound
(Baseline Scenario - Intervention Scenario)
Years 6-15]]/Table50525561[[#This Row],[Intervention/Policy Costs (Financial)]]</f>
        <v>137.2040652141628</v>
      </c>
      <c r="Q226" s="170">
        <f>Table50525561[[#This Row],[Savings in Smoking-Attributable Private (Out-of-Pocket) Healthcare Costs: Upper Bound
(Baseline Scenario - Intervention Scenario)
Years 6-15]]/Table50525561[[#This Row],[Intervention/Policy Costs (Financial)]]</f>
        <v>258.50041272233528</v>
      </c>
    </row>
    <row r="227" spans="2:17">
      <c r="B227" s="6" t="s">
        <v>77</v>
      </c>
      <c r="C227" s="85">
        <f>SUM(E$88:E$97)</f>
        <v>14430000000</v>
      </c>
      <c r="D227" s="177">
        <f>SUM(P$88:P$97)</f>
        <v>1168830000</v>
      </c>
      <c r="E227" s="177">
        <f t="shared" ref="E227:F227" si="159">SUM(Q$88:Q$97)</f>
        <v>995670000.00000012</v>
      </c>
      <c r="F227" s="177">
        <f t="shared" si="159"/>
        <v>1875900000</v>
      </c>
      <c r="G227" s="173">
        <v>-8.0000000000000002E-3</v>
      </c>
      <c r="H227" s="177">
        <f>SUM(AF$88:AF$97)</f>
        <v>1102202458.4682171</v>
      </c>
      <c r="I227" s="177">
        <f t="shared" ref="I227:J227" si="160">SUM(AG$88:AG$97)</f>
        <v>938913205.3618145</v>
      </c>
      <c r="J227" s="177">
        <f t="shared" si="160"/>
        <v>1768966908.6526937</v>
      </c>
      <c r="K227" s="170">
        <f>SUM(AR$88:AR$97)</f>
        <v>66627541.531782776</v>
      </c>
      <c r="L227" s="170">
        <f t="shared" ref="L227:M227" si="161">SUM(AS$88:AS$97)</f>
        <v>56756794.638185531</v>
      </c>
      <c r="M227" s="170">
        <f t="shared" si="161"/>
        <v>106933091.34730586</v>
      </c>
      <c r="N227" s="154">
        <v>1794451.8797159838</v>
      </c>
      <c r="O227" s="170">
        <f>Table50525561[[#This Row],[Savings in Smoking-Attributable Private (Out-of-Pocket) Healthcare Costs:
(Baseline Scenario - Intervention Scenario)
Years 6-15]]/Table50525561[[#This Row],[Intervention/Policy Costs (Financial)]]</f>
        <v>37.129745458723711</v>
      </c>
      <c r="P227" s="170">
        <f>Table50525561[[#This Row],[Savings in Smoking-Attributable Private (Out-of-Pocket) Healthcare Costs: Lower Bound
(Baseline Scenario - Intervention Scenario)
Years 6-15]]/Table50525561[[#This Row],[Intervention/Policy Costs (Financial)]]</f>
        <v>31.629042427801792</v>
      </c>
      <c r="Q227" s="170">
        <f>Table50525561[[#This Row],[Savings in Smoking-Attributable Private (Out-of-Pocket) Healthcare Costs: Upper Bound
(Baseline Scenario - Intervention Scenario)
Years 6-15]]/Table50525561[[#This Row],[Intervention/Policy Costs (Financial)]]</f>
        <v>59.590949501655437</v>
      </c>
    </row>
    <row r="228" spans="2:17">
      <c r="B228" s="6" t="s">
        <v>121</v>
      </c>
      <c r="C228" s="85">
        <f>SUM(E$112:E$121)</f>
        <v>14430000000</v>
      </c>
      <c r="D228" s="177">
        <f>SUM(P$112:P$121)</f>
        <v>1168830000</v>
      </c>
      <c r="E228" s="177">
        <f t="shared" ref="E228:F228" si="162">SUM(Q$112:Q$121)</f>
        <v>995670000.00000012</v>
      </c>
      <c r="F228" s="177">
        <f t="shared" si="162"/>
        <v>1875900000</v>
      </c>
      <c r="G228" s="173">
        <v>-1.999999999999999E-2</v>
      </c>
      <c r="H228" s="177">
        <f>SUM(AF$112:AF$121)</f>
        <v>1044977370.5483222</v>
      </c>
      <c r="I228" s="177">
        <f t="shared" ref="I228:J228" si="163">SUM(AG$112:AG$121)</f>
        <v>890165908.24486685</v>
      </c>
      <c r="J228" s="177">
        <f t="shared" si="163"/>
        <v>1677124174.9540973</v>
      </c>
      <c r="K228" s="170">
        <f>SUM(AR$112:AR$121)</f>
        <v>123852629.45167778</v>
      </c>
      <c r="L228" s="170">
        <f t="shared" ref="L228:M228" si="164">SUM(AS$112:AS$121)</f>
        <v>105504091.7551333</v>
      </c>
      <c r="M228" s="170">
        <f t="shared" si="164"/>
        <v>198775825.04590276</v>
      </c>
      <c r="N228" s="154">
        <v>997746.24927485816</v>
      </c>
      <c r="O228" s="170">
        <f>Table50525561[[#This Row],[Savings in Smoking-Attributable Private (Out-of-Pocket) Healthcare Costs:
(Baseline Scenario - Intervention Scenario)
Years 6-15]]/Table50525561[[#This Row],[Intervention/Policy Costs (Financial)]]</f>
        <v>124.13239292223987</v>
      </c>
      <c r="P228" s="170">
        <f>Table50525561[[#This Row],[Savings in Smoking-Attributable Private (Out-of-Pocket) Healthcare Costs: Lower Bound
(Baseline Scenario - Intervention Scenario)
Years 6-15]]/Table50525561[[#This Row],[Intervention/Policy Costs (Financial)]]</f>
        <v>105.74240878561211</v>
      </c>
      <c r="Q228" s="170">
        <f>Table50525561[[#This Row],[Savings in Smoking-Attributable Private (Out-of-Pocket) Healthcare Costs: Upper Bound
(Baseline Scenario - Intervention Scenario)
Years 6-15]]/Table50525561[[#This Row],[Intervention/Policy Costs (Financial)]]</f>
        <v>199.22482814680487</v>
      </c>
    </row>
    <row r="229" spans="2:17">
      <c r="B229" s="6" t="s">
        <v>122</v>
      </c>
      <c r="C229" s="85">
        <f>SUM(E$136:E$145)</f>
        <v>14430000000</v>
      </c>
      <c r="D229" s="177">
        <f>SUM(P$136:P$145)</f>
        <v>1168830000</v>
      </c>
      <c r="E229" s="177">
        <f t="shared" ref="E229:F229" si="165">SUM(Q$136:Q$145)</f>
        <v>995670000.00000012</v>
      </c>
      <c r="F229" s="177">
        <f t="shared" si="165"/>
        <v>1875900000</v>
      </c>
      <c r="G229" s="173">
        <v>-0.03</v>
      </c>
      <c r="H229" s="177">
        <f>SUM(AF$136:AF$145)</f>
        <v>1082369672.8950748</v>
      </c>
      <c r="I229" s="177">
        <f t="shared" ref="I229:J229" si="166">SUM(AG$136:AG$145)</f>
        <v>922018610.24395263</v>
      </c>
      <c r="J229" s="177">
        <f t="shared" si="166"/>
        <v>1737136512.0538239</v>
      </c>
      <c r="K229" s="170">
        <f>SUM(AR$136:AR$145)</f>
        <v>86460327.104925081</v>
      </c>
      <c r="L229" s="170">
        <f t="shared" ref="L229:M229" si="167">SUM(AS$136:AS$145)</f>
        <v>73651389.756047428</v>
      </c>
      <c r="M229" s="170">
        <f t="shared" si="167"/>
        <v>138763487.94617617</v>
      </c>
      <c r="N229" s="154">
        <v>959822.15114940715</v>
      </c>
      <c r="O229" s="170">
        <f>Table50525561[[#This Row],[Savings in Smoking-Attributable Private (Out-of-Pocket) Healthcare Costs:
(Baseline Scenario - Intervention Scenario)
Years 6-15]]/Table50525561[[#This Row],[Intervention/Policy Costs (Financial)]]</f>
        <v>90.079528797482979</v>
      </c>
      <c r="P229" s="170">
        <f>Table50525561[[#This Row],[Savings in Smoking-Attributable Private (Out-of-Pocket) Healthcare Costs: Lower Bound
(Baseline Scenario - Intervention Scenario)
Years 6-15]]/Table50525561[[#This Row],[Intervention/Policy Costs (Financial)]]</f>
        <v>76.734413420078241</v>
      </c>
      <c r="Q229" s="170">
        <f>Table50525561[[#This Row],[Savings in Smoking-Attributable Private (Out-of-Pocket) Healthcare Costs: Upper Bound
(Baseline Scenario - Intervention Scenario)
Years 6-15]]/Table50525561[[#This Row],[Intervention/Policy Costs (Financial)]]</f>
        <v>144.57208325521972</v>
      </c>
    </row>
    <row r="230" spans="2:17" ht="21">
      <c r="B230" s="81"/>
    </row>
    <row r="231" spans="2:17" ht="21">
      <c r="B231" s="81"/>
    </row>
    <row r="232" spans="2:17" ht="18.75">
      <c r="B232" s="83" t="s">
        <v>298</v>
      </c>
    </row>
    <row r="233" spans="2:17" ht="21">
      <c r="B233" s="81"/>
    </row>
    <row r="234" spans="2:17" ht="75" customHeight="1">
      <c r="B234" s="14" t="s">
        <v>120</v>
      </c>
      <c r="C234" s="168" t="s">
        <v>319</v>
      </c>
      <c r="D234" s="168" t="s">
        <v>320</v>
      </c>
      <c r="E234" s="168" t="s">
        <v>456</v>
      </c>
      <c r="F234" s="168" t="s">
        <v>457</v>
      </c>
      <c r="G234" s="172" t="s">
        <v>125</v>
      </c>
      <c r="H234" s="82" t="s">
        <v>321</v>
      </c>
      <c r="I234" s="82" t="s">
        <v>458</v>
      </c>
      <c r="J234" s="82" t="s">
        <v>459</v>
      </c>
      <c r="K234" s="169" t="s">
        <v>322</v>
      </c>
      <c r="L234" s="169" t="s">
        <v>460</v>
      </c>
      <c r="M234" s="169" t="s">
        <v>461</v>
      </c>
      <c r="N234" s="155" t="s">
        <v>202</v>
      </c>
      <c r="O234" s="169" t="s">
        <v>366</v>
      </c>
      <c r="P234" s="169" t="s">
        <v>367</v>
      </c>
      <c r="Q234" s="169" t="s">
        <v>368</v>
      </c>
    </row>
    <row r="235" spans="2:17">
      <c r="B235" s="6" t="s">
        <v>242</v>
      </c>
      <c r="C235" s="12">
        <f>SUM(E$35:E$49)</f>
        <v>21645000000</v>
      </c>
      <c r="D235" s="177">
        <f>SUM(P$35:P$49)</f>
        <v>1753245000</v>
      </c>
      <c r="E235" s="177">
        <f t="shared" ref="E235" si="168">SUM(Q$35:Q$49)</f>
        <v>1493505000.0000002</v>
      </c>
      <c r="F235" s="177">
        <f>SUM(R$35:R$49)</f>
        <v>2813850000</v>
      </c>
      <c r="G235" s="171">
        <v>-0.45397703549060553</v>
      </c>
      <c r="H235" s="177">
        <f>SUM(AF$35:AF$49)</f>
        <v>1254675622.0716739</v>
      </c>
      <c r="I235" s="177">
        <f t="shared" ref="I235:J235" si="169">SUM(AG$35:AG$49)</f>
        <v>1068797752.1351297</v>
      </c>
      <c r="J235" s="177">
        <f t="shared" si="169"/>
        <v>2013676924.3125629</v>
      </c>
      <c r="K235" s="170">
        <f>SUM(AR$35:AR$49)</f>
        <v>498569377.92832625</v>
      </c>
      <c r="L235" s="170">
        <f t="shared" ref="L235:M235" si="170">SUM(AS$35:AS$49)</f>
        <v>424707247.86487049</v>
      </c>
      <c r="M235" s="170">
        <f t="shared" si="170"/>
        <v>800173075.68743682</v>
      </c>
      <c r="N235" s="154">
        <f>SUM(N236:N239)</f>
        <v>10022152.958321866</v>
      </c>
      <c r="O235" s="170">
        <f>Table5052535662[[#This Row],[Savings in Smoking-Attributable Private (Out-of-Pocket) Healthcare Costs:
(Baseline Scenario - Intervention Scenario)
After 15 Years]]/Table5052535662[[#This Row],[Intervention/Policy Costs (Financial)]]</f>
        <v>49.746734060204162</v>
      </c>
      <c r="P235" s="170">
        <f>Table5052535662[[#This Row],[Savings in Smoking-Attributable Private (Out-of-Pocket) Healthcare Costs: Lower Bound
(Baseline Scenario - Intervention Scenario)
After 15 Years]]/Table5052535662[[#This Row],[Intervention/Policy Costs (Financial)]]</f>
        <v>42.376847532766504</v>
      </c>
      <c r="Q235" s="170">
        <f>Table5052535662[[#This Row],[Savings in Smoking-Attributable Private (Out-of-Pocket) Healthcare Costs: Upper Bound
(Baseline Scenario - Intervention Scenario)
After 15 Years]]/Table5052535662[[#This Row],[Intervention/Policy Costs (Financial)]]</f>
        <v>79.840437380574542</v>
      </c>
    </row>
    <row r="236" spans="2:17">
      <c r="B236" s="6" t="s">
        <v>282</v>
      </c>
      <c r="C236" s="85">
        <f>SUM(E$59:E$73)</f>
        <v>21645000000</v>
      </c>
      <c r="D236" s="177">
        <f>SUM(P$59:P$73)</f>
        <v>1753245000</v>
      </c>
      <c r="E236" s="177">
        <f t="shared" ref="E236:F236" si="171">SUM(Q$59:Q$73)</f>
        <v>1493505000.0000002</v>
      </c>
      <c r="F236" s="177">
        <f t="shared" si="171"/>
        <v>2813850000</v>
      </c>
      <c r="G236" s="173">
        <v>-0.27300000000000002</v>
      </c>
      <c r="H236" s="177">
        <f>SUM(AF$59:AF$73)</f>
        <v>1447349398.0831289</v>
      </c>
      <c r="I236" s="177">
        <f t="shared" ref="I236:J236" si="172">SUM(AG$59:AG$73)</f>
        <v>1232927265.0337765</v>
      </c>
      <c r="J236" s="177">
        <f t="shared" si="172"/>
        <v>2322906441.3679848</v>
      </c>
      <c r="K236" s="170">
        <f>SUM(AR$59:AR$73)</f>
        <v>305895601.91687125</v>
      </c>
      <c r="L236" s="170">
        <f t="shared" ref="L236:M236" si="173">SUM(AS$59:AS$73)</f>
        <v>260577734.9662236</v>
      </c>
      <c r="M236" s="170">
        <f t="shared" si="173"/>
        <v>490943558.63201463</v>
      </c>
      <c r="N236" s="154">
        <v>2598330.7595019024</v>
      </c>
      <c r="O236" s="170">
        <f>Table5052535662[[#This Row],[Savings in Smoking-Attributable Private (Out-of-Pocket) Healthcare Costs:
(Baseline Scenario - Intervention Scenario)
After 15 Years]]/Table5052535662[[#This Row],[Intervention/Policy Costs (Financial)]]</f>
        <v>117.72773762471687</v>
      </c>
      <c r="P236" s="170">
        <f>Table5052535662[[#This Row],[Savings in Smoking-Attributable Private (Out-of-Pocket) Healthcare Costs: Lower Bound
(Baseline Scenario - Intervention Scenario)
After 15 Years]]/Table5052535662[[#This Row],[Intervention/Policy Costs (Financial)]]</f>
        <v>100.28659130994397</v>
      </c>
      <c r="Q236" s="170">
        <f>Table5052535662[[#This Row],[Savings in Smoking-Attributable Private (Out-of-Pocket) Healthcare Costs: Upper Bound
(Baseline Scenario - Intervention Scenario)
After 15 Years]]/Table5052535662[[#This Row],[Intervention/Policy Costs (Financial)]]</f>
        <v>188.94575174337237</v>
      </c>
    </row>
    <row r="237" spans="2:17">
      <c r="B237" s="6" t="s">
        <v>77</v>
      </c>
      <c r="C237" s="85">
        <f>SUM(E$83:E$97)</f>
        <v>21645000000</v>
      </c>
      <c r="D237" s="177">
        <f>SUM(P$83:P$97)</f>
        <v>1753245000</v>
      </c>
      <c r="E237" s="177">
        <f t="shared" ref="E237:F237" si="174">SUM(Q$83:Q$97)</f>
        <v>1493505000.0000002</v>
      </c>
      <c r="F237" s="177">
        <f t="shared" si="174"/>
        <v>2813850000</v>
      </c>
      <c r="G237" s="173">
        <v>-6.2E-2</v>
      </c>
      <c r="H237" s="177">
        <f>SUM(AF$83:AF$97)</f>
        <v>1667952878.0707595</v>
      </c>
      <c r="I237" s="177">
        <f t="shared" ref="I237:J237" si="175">SUM(AG$83:AG$97)</f>
        <v>1420848747.9862027</v>
      </c>
      <c r="J237" s="177">
        <f t="shared" si="175"/>
        <v>2676961409.2493677</v>
      </c>
      <c r="K237" s="170">
        <f>SUM(AR$83:AR$97)</f>
        <v>85292121.929240361</v>
      </c>
      <c r="L237" s="170">
        <f t="shared" ref="L237:M237" si="176">SUM(AS$83:AS$97)</f>
        <v>72656252.013797581</v>
      </c>
      <c r="M237" s="170">
        <f t="shared" si="176"/>
        <v>136888590.75063297</v>
      </c>
      <c r="N237" s="154">
        <v>3615969.0525230188</v>
      </c>
      <c r="O237" s="170">
        <f>Table5052535662[[#This Row],[Savings in Smoking-Attributable Private (Out-of-Pocket) Healthcare Costs:
(Baseline Scenario - Intervention Scenario)
After 15 Years]]/Table5052535662[[#This Row],[Intervention/Policy Costs (Financial)]]</f>
        <v>23.587624974203898</v>
      </c>
      <c r="P237" s="170">
        <f>Table5052535662[[#This Row],[Savings in Smoking-Attributable Private (Out-of-Pocket) Healthcare Costs: Lower Bound
(Baseline Scenario - Intervention Scenario)
After 15 Years]]/Table5052535662[[#This Row],[Intervention/Policy Costs (Financial)]]</f>
        <v>20.093162015062646</v>
      </c>
      <c r="Q237" s="170">
        <f>Table5052535662[[#This Row],[Savings in Smoking-Attributable Private (Out-of-Pocket) Healthcare Costs: Upper Bound
(Baseline Scenario - Intervention Scenario)
After 15 Years]]/Table5052535662[[#This Row],[Intervention/Policy Costs (Financial)]]</f>
        <v>37.85668205736436</v>
      </c>
    </row>
    <row r="238" spans="2:17">
      <c r="B238" s="6" t="s">
        <v>121</v>
      </c>
      <c r="C238" s="85">
        <f>SUM(E$107:E$121)</f>
        <v>21645000000</v>
      </c>
      <c r="D238" s="177">
        <f>SUM(P$107:P$121)</f>
        <v>1753245000</v>
      </c>
      <c r="E238" s="177">
        <f t="shared" ref="E238:F238" si="177">SUM(Q$107:Q$121)</f>
        <v>1493505000.0000002</v>
      </c>
      <c r="F238" s="177">
        <f t="shared" si="177"/>
        <v>2813850000</v>
      </c>
      <c r="G238" s="173">
        <v>-0.12</v>
      </c>
      <c r="H238" s="177">
        <f>SUM(AF$107:AF$121)</f>
        <v>1595248620.4219766</v>
      </c>
      <c r="I238" s="177">
        <f t="shared" ref="I238:J238" si="178">SUM(AG$107:AG$121)</f>
        <v>1358915491.4705725</v>
      </c>
      <c r="J238" s="177">
        <f t="shared" si="178"/>
        <v>2560275563.6402092</v>
      </c>
      <c r="K238" s="170">
        <f>SUM(AR$107:AR$121)</f>
        <v>157996379.57802337</v>
      </c>
      <c r="L238" s="170">
        <f t="shared" ref="L238:M238" si="179">SUM(AS$107:AS$121)</f>
        <v>134589508.52942783</v>
      </c>
      <c r="M238" s="170">
        <f t="shared" si="179"/>
        <v>253574436.35979071</v>
      </c>
      <c r="N238" s="154">
        <v>1918013.2727897526</v>
      </c>
      <c r="O238" s="170">
        <f>Table5052535662[[#This Row],[Savings in Smoking-Attributable Private (Out-of-Pocket) Healthcare Costs:
(Baseline Scenario - Intervention Scenario)
After 15 Years]]/Table5052535662[[#This Row],[Intervention/Policy Costs (Financial)]]</f>
        <v>82.375018890363279</v>
      </c>
      <c r="P238" s="170">
        <f>Table5052535662[[#This Row],[Savings in Smoking-Attributable Private (Out-of-Pocket) Healthcare Costs: Lower Bound
(Baseline Scenario - Intervention Scenario)
After 15 Years]]/Table5052535662[[#This Row],[Intervention/Policy Costs (Financial)]]</f>
        <v>70.1713123880875</v>
      </c>
      <c r="Q238" s="170">
        <f>Table5052535662[[#This Row],[Savings in Smoking-Attributable Private (Out-of-Pocket) Healthcare Costs: Upper Bound
(Baseline Scenario - Intervention Scenario)
After 15 Years]]/Table5052535662[[#This Row],[Intervention/Policy Costs (Financial)]]</f>
        <v>132.20682044132386</v>
      </c>
    </row>
    <row r="239" spans="2:17">
      <c r="B239" s="6" t="s">
        <v>122</v>
      </c>
      <c r="C239" s="85">
        <f>SUM(E$131:E$145)</f>
        <v>21645000000</v>
      </c>
      <c r="D239" s="177">
        <f>SUM(P$131:P$145)</f>
        <v>1753245000</v>
      </c>
      <c r="E239" s="177">
        <f t="shared" ref="E239:F239" si="180">SUM(Q$131:Q$145)</f>
        <v>1493505000.0000002</v>
      </c>
      <c r="F239" s="177">
        <f t="shared" si="180"/>
        <v>2813850000</v>
      </c>
      <c r="G239" s="173">
        <v>-0.09</v>
      </c>
      <c r="H239" s="177">
        <f>SUM(AF$131:AF$145)</f>
        <v>1646079340.8407462</v>
      </c>
      <c r="I239" s="177">
        <f t="shared" ref="I239:J239" si="181">SUM(AG$131:AG$145)</f>
        <v>1402215734.7902651</v>
      </c>
      <c r="J239" s="177">
        <f t="shared" si="181"/>
        <v>2641855732.2135429</v>
      </c>
      <c r="K239" s="170">
        <f>SUM(AR$131:AR$145)</f>
        <v>107165659.15925406</v>
      </c>
      <c r="L239" s="170">
        <f t="shared" ref="L239:M239" si="182">SUM(AS$131:AS$145)</f>
        <v>91289265.209735066</v>
      </c>
      <c r="M239" s="170">
        <f t="shared" si="182"/>
        <v>171994267.78645718</v>
      </c>
      <c r="N239" s="154">
        <v>1889839.8735071917</v>
      </c>
      <c r="O239" s="170">
        <f>Table5052535662[[#This Row],[Savings in Smoking-Attributable Private (Out-of-Pocket) Healthcare Costs:
(Baseline Scenario - Intervention Scenario)
After 15 Years]]/Table5052535662[[#This Row],[Intervention/Policy Costs (Financial)]]</f>
        <v>56.706211283591188</v>
      </c>
      <c r="P239" s="170">
        <f>Table5052535662[[#This Row],[Savings in Smoking-Attributable Private (Out-of-Pocket) Healthcare Costs: Lower Bound
(Baseline Scenario - Intervention Scenario)
After 15 Years]]/Table5052535662[[#This Row],[Intervention/Policy Costs (Financial)]]</f>
        <v>48.305291093429602</v>
      </c>
      <c r="Q239" s="170">
        <f>Table5052535662[[#This Row],[Savings in Smoking-Attributable Private (Out-of-Pocket) Healthcare Costs: Upper Bound
(Baseline Scenario - Intervention Scenario)
After 15 Years]]/Table5052535662[[#This Row],[Intervention/Policy Costs (Financial)]]</f>
        <v>91.009968726751325</v>
      </c>
    </row>
  </sheetData>
  <mergeCells count="7">
    <mergeCell ref="W103:Y103"/>
    <mergeCell ref="W127:Y127"/>
    <mergeCell ref="Z31:AK31"/>
    <mergeCell ref="AL31:AW31"/>
    <mergeCell ref="W31:Y31"/>
    <mergeCell ref="W55:Y55"/>
    <mergeCell ref="W79:Y79"/>
  </mergeCells>
  <pageMargins left="0.7" right="0.7" top="0.75" bottom="0.75" header="0.3" footer="0.3"/>
  <pageSetup paperSize="9" orientation="portrait" r:id="rId1"/>
  <drawing r:id="rId2"/>
  <tableParts count="1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423"/>
  <sheetViews>
    <sheetView topLeftCell="G370" workbookViewId="0">
      <selection activeCell="P382" sqref="P382"/>
    </sheetView>
  </sheetViews>
  <sheetFormatPr defaultColWidth="8.85546875" defaultRowHeight="15"/>
  <cols>
    <col min="1" max="1" width="8.85546875" style="1"/>
    <col min="2" max="2" width="44.85546875" style="1" customWidth="1"/>
    <col min="3" max="3" width="45.140625" style="1" customWidth="1"/>
    <col min="4" max="4" width="22.7109375" style="1" customWidth="1"/>
    <col min="5" max="5" width="30.7109375" style="1" customWidth="1"/>
    <col min="6" max="6" width="28.140625" style="1" customWidth="1"/>
    <col min="7" max="7" width="27.28515625" style="1" customWidth="1"/>
    <col min="8" max="8" width="22.28515625" style="1" customWidth="1"/>
    <col min="9" max="9" width="27.140625" style="1" customWidth="1"/>
    <col min="10" max="10" width="25.28515625" style="1" customWidth="1"/>
    <col min="11" max="12" width="27.28515625" style="1" customWidth="1"/>
    <col min="13" max="13" width="25.28515625" style="1" customWidth="1"/>
    <col min="14" max="14" width="26.42578125" style="1" customWidth="1"/>
    <col min="15" max="15" width="26.7109375" style="1" customWidth="1"/>
    <col min="16" max="16" width="25.85546875" style="1" customWidth="1"/>
    <col min="17" max="17" width="20.42578125" style="1" customWidth="1"/>
    <col min="18" max="18" width="28.28515625" style="1" customWidth="1"/>
    <col min="19" max="19" width="26.7109375" style="1" customWidth="1"/>
    <col min="20" max="20" width="29.140625" style="1" customWidth="1"/>
    <col min="21" max="21" width="45.85546875" style="1" customWidth="1"/>
    <col min="22" max="22" width="57.28515625" style="1" customWidth="1"/>
    <col min="23" max="23" width="57.42578125" style="1" customWidth="1"/>
    <col min="24" max="24" width="16.42578125" style="1" bestFit="1" customWidth="1"/>
    <col min="25" max="25" width="17.42578125" style="1" bestFit="1" customWidth="1"/>
    <col min="26" max="26" width="16.7109375" style="1" bestFit="1" customWidth="1"/>
    <col min="27" max="27" width="18.140625" style="1" bestFit="1" customWidth="1"/>
    <col min="28" max="28" width="17.42578125" style="1" bestFit="1" customWidth="1"/>
    <col min="29" max="29" width="18.140625" style="1" bestFit="1" customWidth="1"/>
    <col min="30" max="30" width="19" style="1" bestFit="1" customWidth="1"/>
    <col min="31" max="31" width="18.28515625" style="1" bestFit="1" customWidth="1"/>
    <col min="32" max="32" width="19.7109375" style="1" bestFit="1" customWidth="1"/>
    <col min="33" max="33" width="40.28515625" style="1" customWidth="1"/>
    <col min="34" max="34" width="6.42578125" style="1" bestFit="1" customWidth="1"/>
    <col min="35" max="35" width="13.42578125" style="1" bestFit="1" customWidth="1"/>
    <col min="36" max="36" width="12.140625" style="1" bestFit="1" customWidth="1"/>
    <col min="37" max="37" width="17.42578125" style="1" bestFit="1" customWidth="1"/>
    <col min="38" max="38" width="15.85546875" style="1" bestFit="1" customWidth="1"/>
    <col min="39" max="39" width="16.42578125" style="1" bestFit="1" customWidth="1"/>
    <col min="40" max="40" width="17.42578125" style="1" bestFit="1" customWidth="1"/>
    <col min="41" max="41" width="16.7109375" style="1" bestFit="1" customWidth="1"/>
    <col min="42" max="42" width="18.140625" style="1" bestFit="1" customWidth="1"/>
    <col min="43" max="43" width="17.42578125" style="1" bestFit="1" customWidth="1"/>
    <col min="44" max="44" width="18.140625" style="1" bestFit="1" customWidth="1"/>
    <col min="45" max="45" width="19" style="1" bestFit="1" customWidth="1"/>
    <col min="46" max="46" width="18.28515625" style="1" bestFit="1" customWidth="1"/>
    <col min="47" max="47" width="19.7109375" style="1" bestFit="1" customWidth="1"/>
    <col min="48" max="16384" width="8.85546875" style="1"/>
  </cols>
  <sheetData>
    <row r="2" spans="2:2" ht="23.25">
      <c r="B2" s="163" t="s">
        <v>525</v>
      </c>
    </row>
    <row r="4" spans="2:2" ht="15.75">
      <c r="B4" s="282"/>
    </row>
    <row r="5" spans="2:2" ht="15.75">
      <c r="B5" s="282"/>
    </row>
    <row r="10" spans="2:2" ht="19.5">
      <c r="B10" s="273" t="s">
        <v>527</v>
      </c>
    </row>
    <row r="12" spans="2:2" ht="15.75">
      <c r="B12" s="282"/>
    </row>
    <row r="13" spans="2:2" ht="15.75">
      <c r="B13" s="282"/>
    </row>
    <row r="14" spans="2:2" ht="15.75">
      <c r="B14" s="282"/>
    </row>
    <row r="15" spans="2:2" ht="15.75">
      <c r="B15" s="282"/>
    </row>
    <row r="16" spans="2:2" ht="15.75">
      <c r="B16" s="282"/>
    </row>
    <row r="17" spans="2:14" ht="15.75">
      <c r="B17" s="282"/>
    </row>
    <row r="18" spans="2:14" ht="15.75">
      <c r="B18" s="282"/>
    </row>
    <row r="19" spans="2:14" ht="15.75">
      <c r="B19" s="282"/>
    </row>
    <row r="20" spans="2:14" ht="15.75">
      <c r="B20" s="282"/>
    </row>
    <row r="21" spans="2:14" ht="15.75">
      <c r="B21" s="282"/>
    </row>
    <row r="22" spans="2:14" ht="15.75">
      <c r="B22" s="282"/>
    </row>
    <row r="23" spans="2:14" ht="15.75">
      <c r="B23" s="282"/>
    </row>
    <row r="24" spans="2:14" ht="15.75">
      <c r="B24" s="282"/>
    </row>
    <row r="25" spans="2:14" ht="15.75">
      <c r="B25" s="282"/>
    </row>
    <row r="26" spans="2:14" ht="15.75">
      <c r="B26" s="282"/>
    </row>
    <row r="27" spans="2:14" ht="15.75">
      <c r="B27" s="282"/>
    </row>
    <row r="28" spans="2:14" ht="15.75">
      <c r="B28" s="282"/>
    </row>
    <row r="30" spans="2:14">
      <c r="B30" s="263" t="s">
        <v>250</v>
      </c>
      <c r="C30" s="263" t="s">
        <v>516</v>
      </c>
      <c r="D30" s="263" t="s">
        <v>526</v>
      </c>
      <c r="E30" s="263" t="s">
        <v>501</v>
      </c>
      <c r="F30" s="263" t="s">
        <v>513</v>
      </c>
      <c r="G30" s="263" t="s">
        <v>514</v>
      </c>
      <c r="J30"/>
      <c r="K30"/>
      <c r="L30"/>
    </row>
    <row r="31" spans="2:14" ht="30">
      <c r="B31" s="293" t="s">
        <v>279</v>
      </c>
      <c r="C31" s="294" t="s">
        <v>559</v>
      </c>
      <c r="D31" s="295">
        <v>1</v>
      </c>
      <c r="E31" s="295" t="s">
        <v>515</v>
      </c>
      <c r="F31" s="295" t="s">
        <v>515</v>
      </c>
      <c r="G31" s="296"/>
      <c r="I31"/>
      <c r="J31"/>
      <c r="K31"/>
      <c r="N31"/>
    </row>
    <row r="32" spans="2:14" ht="30">
      <c r="B32" s="293" t="s">
        <v>270</v>
      </c>
      <c r="C32" s="294" t="s">
        <v>549</v>
      </c>
      <c r="D32" s="295">
        <v>2</v>
      </c>
      <c r="E32" s="295" t="s">
        <v>515</v>
      </c>
      <c r="F32" s="295" t="s">
        <v>515</v>
      </c>
      <c r="G32" s="295" t="s">
        <v>515</v>
      </c>
      <c r="I32"/>
      <c r="J32"/>
      <c r="K32"/>
      <c r="N32"/>
    </row>
    <row r="33" spans="2:25">
      <c r="B33" s="293" t="s">
        <v>268</v>
      </c>
      <c r="C33" s="294" t="s">
        <v>547</v>
      </c>
      <c r="D33" s="295">
        <v>3</v>
      </c>
      <c r="E33" s="295" t="s">
        <v>515</v>
      </c>
      <c r="F33" s="295" t="s">
        <v>515</v>
      </c>
      <c r="G33" s="295"/>
      <c r="I33"/>
      <c r="J33"/>
      <c r="K33"/>
      <c r="N33"/>
    </row>
    <row r="34" spans="2:25">
      <c r="B34" s="293" t="s">
        <v>271</v>
      </c>
      <c r="C34" s="294" t="s">
        <v>550</v>
      </c>
      <c r="D34" s="295">
        <v>4</v>
      </c>
      <c r="E34" s="295" t="s">
        <v>515</v>
      </c>
      <c r="F34" s="295" t="s">
        <v>515</v>
      </c>
      <c r="G34" s="295"/>
      <c r="I34"/>
      <c r="J34"/>
      <c r="K34"/>
      <c r="N34"/>
      <c r="X34"/>
      <c r="Y34"/>
    </row>
    <row r="35" spans="2:25">
      <c r="B35" s="293" t="s">
        <v>260</v>
      </c>
      <c r="C35" s="294" t="s">
        <v>539</v>
      </c>
      <c r="D35" s="295">
        <v>5</v>
      </c>
      <c r="E35" s="295" t="s">
        <v>515</v>
      </c>
      <c r="F35" s="295" t="s">
        <v>515</v>
      </c>
      <c r="G35" s="295"/>
      <c r="I35"/>
      <c r="J35"/>
      <c r="K35"/>
      <c r="N35"/>
    </row>
    <row r="36" spans="2:25">
      <c r="B36" s="293" t="s">
        <v>266</v>
      </c>
      <c r="C36" s="294" t="s">
        <v>545</v>
      </c>
      <c r="D36" s="295">
        <v>6</v>
      </c>
      <c r="E36" s="295" t="s">
        <v>515</v>
      </c>
      <c r="F36" s="295" t="s">
        <v>515</v>
      </c>
      <c r="G36" s="295"/>
      <c r="I36"/>
      <c r="J36"/>
      <c r="K36"/>
      <c r="N36"/>
    </row>
    <row r="37" spans="2:25">
      <c r="B37" s="293" t="s">
        <v>277</v>
      </c>
      <c r="C37" s="294" t="s">
        <v>557</v>
      </c>
      <c r="D37" s="295">
        <v>7</v>
      </c>
      <c r="E37" s="295" t="s">
        <v>515</v>
      </c>
      <c r="F37" s="295" t="s">
        <v>515</v>
      </c>
      <c r="G37" s="295"/>
      <c r="I37"/>
      <c r="J37"/>
      <c r="K37"/>
      <c r="N37"/>
    </row>
    <row r="38" spans="2:25">
      <c r="B38" s="293" t="s">
        <v>258</v>
      </c>
      <c r="C38" s="294" t="s">
        <v>537</v>
      </c>
      <c r="D38" s="295">
        <v>8</v>
      </c>
      <c r="E38" s="295" t="s">
        <v>515</v>
      </c>
      <c r="F38" s="295" t="s">
        <v>515</v>
      </c>
      <c r="G38" s="295"/>
      <c r="I38"/>
      <c r="J38"/>
      <c r="K38"/>
      <c r="N38"/>
    </row>
    <row r="39" spans="2:25">
      <c r="B39" s="293" t="s">
        <v>269</v>
      </c>
      <c r="C39" s="294" t="s">
        <v>548</v>
      </c>
      <c r="D39" s="295">
        <v>9</v>
      </c>
      <c r="E39" s="295" t="s">
        <v>515</v>
      </c>
      <c r="F39" s="295" t="s">
        <v>515</v>
      </c>
      <c r="G39" s="295"/>
      <c r="I39"/>
      <c r="J39"/>
      <c r="K39"/>
      <c r="N39"/>
    </row>
    <row r="40" spans="2:25">
      <c r="B40" s="293" t="s">
        <v>273</v>
      </c>
      <c r="C40" s="294" t="s">
        <v>553</v>
      </c>
      <c r="D40" s="295">
        <v>10</v>
      </c>
      <c r="E40" s="295" t="s">
        <v>515</v>
      </c>
      <c r="F40" s="295" t="s">
        <v>515</v>
      </c>
      <c r="G40" s="295"/>
      <c r="I40"/>
      <c r="J40"/>
      <c r="K40"/>
      <c r="N40"/>
    </row>
    <row r="41" spans="2:25">
      <c r="B41" s="293" t="s">
        <v>278</v>
      </c>
      <c r="C41" s="294" t="s">
        <v>558</v>
      </c>
      <c r="D41" s="295">
        <v>11</v>
      </c>
      <c r="E41" s="295" t="s">
        <v>515</v>
      </c>
      <c r="F41" s="295" t="s">
        <v>515</v>
      </c>
      <c r="G41" s="295" t="s">
        <v>515</v>
      </c>
      <c r="I41"/>
      <c r="J41"/>
      <c r="K41"/>
      <c r="N41"/>
    </row>
    <row r="42" spans="2:25">
      <c r="B42" s="293" t="s">
        <v>256</v>
      </c>
      <c r="C42" s="294" t="s">
        <v>535</v>
      </c>
      <c r="D42" s="295">
        <v>12</v>
      </c>
      <c r="E42" s="295" t="s">
        <v>515</v>
      </c>
      <c r="F42" s="295" t="s">
        <v>515</v>
      </c>
      <c r="G42" s="295"/>
      <c r="I42"/>
      <c r="J42"/>
      <c r="K42"/>
      <c r="N42"/>
    </row>
    <row r="43" spans="2:25">
      <c r="B43" s="293" t="s">
        <v>265</v>
      </c>
      <c r="C43" s="294" t="s">
        <v>544</v>
      </c>
      <c r="D43" s="295">
        <v>13</v>
      </c>
      <c r="E43" s="295" t="s">
        <v>515</v>
      </c>
      <c r="F43" s="295" t="s">
        <v>515</v>
      </c>
      <c r="G43" s="295"/>
      <c r="I43"/>
      <c r="J43"/>
      <c r="K43"/>
      <c r="N43"/>
    </row>
    <row r="44" spans="2:25">
      <c r="B44" s="293" t="s">
        <v>255</v>
      </c>
      <c r="C44" s="294" t="s">
        <v>534</v>
      </c>
      <c r="D44" s="295">
        <v>14</v>
      </c>
      <c r="E44" s="295" t="s">
        <v>515</v>
      </c>
      <c r="F44" s="295" t="s">
        <v>515</v>
      </c>
      <c r="G44" s="295"/>
      <c r="I44"/>
      <c r="J44"/>
      <c r="K44"/>
      <c r="N44"/>
    </row>
    <row r="45" spans="2:25">
      <c r="B45" s="293" t="s">
        <v>267</v>
      </c>
      <c r="C45" s="294" t="s">
        <v>546</v>
      </c>
      <c r="D45" s="295">
        <v>15</v>
      </c>
      <c r="E45" s="295" t="s">
        <v>515</v>
      </c>
      <c r="F45" s="295" t="s">
        <v>515</v>
      </c>
      <c r="G45" s="295"/>
      <c r="I45"/>
      <c r="J45"/>
      <c r="K45"/>
      <c r="N45"/>
    </row>
    <row r="46" spans="2:25">
      <c r="B46" s="293" t="s">
        <v>263</v>
      </c>
      <c r="C46" s="294" t="s">
        <v>542</v>
      </c>
      <c r="D46" s="295">
        <v>16</v>
      </c>
      <c r="E46" s="295" t="s">
        <v>515</v>
      </c>
      <c r="F46" s="295" t="s">
        <v>515</v>
      </c>
      <c r="G46" s="295" t="s">
        <v>515</v>
      </c>
      <c r="I46"/>
      <c r="J46"/>
      <c r="K46"/>
      <c r="N46"/>
    </row>
    <row r="47" spans="2:25">
      <c r="B47" s="293" t="s">
        <v>264</v>
      </c>
      <c r="C47" s="294" t="s">
        <v>543</v>
      </c>
      <c r="D47" s="295">
        <v>17</v>
      </c>
      <c r="E47" s="295" t="s">
        <v>515</v>
      </c>
      <c r="F47" s="295" t="s">
        <v>515</v>
      </c>
      <c r="G47" s="295" t="s">
        <v>515</v>
      </c>
      <c r="I47"/>
      <c r="J47"/>
      <c r="K47"/>
      <c r="N47"/>
    </row>
    <row r="48" spans="2:25">
      <c r="B48" s="293" t="s">
        <v>261</v>
      </c>
      <c r="C48" s="294" t="s">
        <v>540</v>
      </c>
      <c r="D48" s="295">
        <v>18</v>
      </c>
      <c r="E48" s="295" t="s">
        <v>515</v>
      </c>
      <c r="F48" s="295" t="s">
        <v>515</v>
      </c>
      <c r="G48" s="295" t="s">
        <v>515</v>
      </c>
      <c r="I48"/>
      <c r="J48"/>
      <c r="K48"/>
      <c r="N48"/>
    </row>
    <row r="49" spans="2:14">
      <c r="B49" s="293" t="s">
        <v>262</v>
      </c>
      <c r="C49" s="294" t="s">
        <v>541</v>
      </c>
      <c r="D49" s="295">
        <v>19</v>
      </c>
      <c r="E49" s="295" t="s">
        <v>515</v>
      </c>
      <c r="F49" s="295" t="s">
        <v>515</v>
      </c>
      <c r="G49" s="295"/>
      <c r="I49"/>
      <c r="J49"/>
      <c r="K49"/>
      <c r="N49"/>
    </row>
    <row r="50" spans="2:14">
      <c r="B50" s="293" t="s">
        <v>254</v>
      </c>
      <c r="C50" s="294" t="s">
        <v>533</v>
      </c>
      <c r="D50" s="295">
        <v>20</v>
      </c>
      <c r="E50" s="295" t="s">
        <v>515</v>
      </c>
      <c r="F50" s="295" t="s">
        <v>515</v>
      </c>
      <c r="G50" s="295"/>
      <c r="I50"/>
      <c r="J50"/>
      <c r="K50"/>
      <c r="N50"/>
    </row>
    <row r="51" spans="2:14">
      <c r="B51" s="295" t="s">
        <v>252</v>
      </c>
      <c r="C51" s="281" t="s">
        <v>531</v>
      </c>
      <c r="D51" s="295">
        <v>21</v>
      </c>
      <c r="E51" s="295" t="s">
        <v>515</v>
      </c>
      <c r="F51" s="295" t="s">
        <v>515</v>
      </c>
      <c r="G51" s="295"/>
      <c r="I51"/>
      <c r="J51"/>
      <c r="K51"/>
      <c r="N51"/>
    </row>
    <row r="52" spans="2:14" ht="57.95" customHeight="1">
      <c r="B52" s="293" t="s">
        <v>528</v>
      </c>
      <c r="C52" s="294" t="s">
        <v>551</v>
      </c>
      <c r="D52" s="295">
        <v>22</v>
      </c>
      <c r="E52" s="295" t="s">
        <v>515</v>
      </c>
      <c r="F52" s="295" t="s">
        <v>515</v>
      </c>
      <c r="G52" s="295"/>
      <c r="I52"/>
      <c r="J52"/>
      <c r="K52"/>
      <c r="N52"/>
    </row>
    <row r="53" spans="2:14">
      <c r="B53" s="293" t="s">
        <v>257</v>
      </c>
      <c r="C53" s="294" t="s">
        <v>536</v>
      </c>
      <c r="D53" s="295">
        <v>23</v>
      </c>
      <c r="E53" s="295" t="s">
        <v>515</v>
      </c>
      <c r="F53" s="295" t="s">
        <v>515</v>
      </c>
      <c r="G53" s="295" t="s">
        <v>515</v>
      </c>
      <c r="I53"/>
      <c r="J53"/>
      <c r="K53"/>
      <c r="N53"/>
    </row>
    <row r="54" spans="2:14">
      <c r="B54" s="293" t="s">
        <v>253</v>
      </c>
      <c r="C54" s="294" t="s">
        <v>532</v>
      </c>
      <c r="D54" s="295">
        <v>24</v>
      </c>
      <c r="E54" s="295" t="s">
        <v>515</v>
      </c>
      <c r="F54" s="295" t="s">
        <v>515</v>
      </c>
      <c r="G54" s="295"/>
      <c r="I54"/>
      <c r="J54"/>
      <c r="K54"/>
      <c r="N54"/>
    </row>
    <row r="55" spans="2:14" ht="30">
      <c r="B55" s="293" t="s">
        <v>272</v>
      </c>
      <c r="C55" s="294" t="s">
        <v>552</v>
      </c>
      <c r="D55" s="295">
        <v>25</v>
      </c>
      <c r="E55" s="295" t="s">
        <v>515</v>
      </c>
      <c r="F55" s="295" t="s">
        <v>515</v>
      </c>
      <c r="G55" s="295"/>
      <c r="I55"/>
      <c r="J55"/>
      <c r="K55"/>
      <c r="N55"/>
    </row>
    <row r="56" spans="2:14">
      <c r="B56" s="293" t="s">
        <v>274</v>
      </c>
      <c r="C56" s="294" t="s">
        <v>554</v>
      </c>
      <c r="D56" s="295">
        <v>26</v>
      </c>
      <c r="E56" s="295" t="s">
        <v>515</v>
      </c>
      <c r="F56" s="295" t="s">
        <v>515</v>
      </c>
      <c r="G56" s="295"/>
      <c r="I56"/>
      <c r="J56"/>
      <c r="K56"/>
      <c r="N56"/>
    </row>
    <row r="57" spans="2:14">
      <c r="B57" s="293" t="s">
        <v>259</v>
      </c>
      <c r="C57" s="294" t="s">
        <v>538</v>
      </c>
      <c r="D57" s="295">
        <v>27</v>
      </c>
      <c r="E57" s="295" t="s">
        <v>515</v>
      </c>
      <c r="F57" s="295" t="s">
        <v>515</v>
      </c>
      <c r="G57" s="295" t="s">
        <v>515</v>
      </c>
      <c r="I57"/>
      <c r="J57"/>
      <c r="K57"/>
      <c r="N57"/>
    </row>
    <row r="58" spans="2:14">
      <c r="B58" s="293"/>
      <c r="C58" s="294"/>
      <c r="D58" s="295"/>
      <c r="E58" s="297"/>
      <c r="F58" s="297"/>
      <c r="G58" s="295"/>
      <c r="H58" s="17"/>
      <c r="I58" s="278"/>
      <c r="J58"/>
      <c r="K58"/>
      <c r="L58"/>
    </row>
    <row r="59" spans="2:14">
      <c r="B59" s="293"/>
      <c r="C59" s="294"/>
      <c r="D59" s="295"/>
      <c r="E59" s="297"/>
      <c r="F59" s="297"/>
      <c r="G59" s="295"/>
      <c r="H59" s="17"/>
      <c r="I59" s="278"/>
      <c r="J59"/>
      <c r="K59"/>
      <c r="L59"/>
    </row>
    <row r="60" spans="2:14">
      <c r="B60" s="293"/>
      <c r="C60" s="294"/>
      <c r="D60" s="295"/>
      <c r="E60" s="297"/>
      <c r="F60" s="297"/>
      <c r="G60" s="295"/>
      <c r="H60" s="17"/>
      <c r="I60" s="278"/>
      <c r="J60"/>
      <c r="K60"/>
      <c r="L60"/>
    </row>
    <row r="61" spans="2:14">
      <c r="B61" s="293"/>
      <c r="C61" s="294"/>
      <c r="D61" s="295"/>
      <c r="E61" s="297"/>
      <c r="F61" s="297"/>
      <c r="G61" s="295"/>
      <c r="H61" s="17"/>
      <c r="I61" s="278"/>
      <c r="J61"/>
      <c r="K61"/>
      <c r="L61"/>
    </row>
    <row r="62" spans="2:14">
      <c r="B62" s="293"/>
      <c r="C62" s="294"/>
      <c r="D62" s="295"/>
      <c r="E62" s="297"/>
      <c r="F62" s="297"/>
      <c r="G62" s="295"/>
      <c r="H62" s="17"/>
      <c r="I62" s="278"/>
      <c r="J62"/>
      <c r="K62"/>
      <c r="L62"/>
    </row>
    <row r="63" spans="2:14">
      <c r="B63" s="293"/>
      <c r="C63" s="294"/>
      <c r="D63" s="295"/>
      <c r="E63" s="297"/>
      <c r="F63" s="297"/>
      <c r="G63" s="295"/>
      <c r="H63" s="17"/>
      <c r="I63" s="278"/>
      <c r="J63"/>
      <c r="K63"/>
      <c r="L63"/>
    </row>
    <row r="64" spans="2:14">
      <c r="B64" s="293"/>
      <c r="C64" s="294"/>
      <c r="D64" s="295"/>
      <c r="E64" s="297"/>
      <c r="F64" s="297"/>
      <c r="G64" s="295"/>
      <c r="H64" s="17"/>
      <c r="I64" s="278"/>
      <c r="J64"/>
      <c r="K64"/>
      <c r="L64"/>
    </row>
    <row r="65" spans="2:12">
      <c r="B65" s="293"/>
      <c r="C65" s="294"/>
      <c r="D65" s="295"/>
      <c r="E65" s="297"/>
      <c r="F65" s="297"/>
      <c r="G65" s="295"/>
      <c r="H65" s="17"/>
      <c r="I65" s="278"/>
      <c r="J65"/>
      <c r="K65"/>
      <c r="L65"/>
    </row>
    <row r="66" spans="2:12">
      <c r="B66" s="293"/>
      <c r="C66" s="294"/>
      <c r="D66" s="295"/>
      <c r="E66" s="297"/>
      <c r="F66" s="297"/>
      <c r="G66" s="295"/>
      <c r="H66" s="17"/>
      <c r="I66" s="278"/>
      <c r="J66"/>
      <c r="K66"/>
      <c r="L66"/>
    </row>
    <row r="67" spans="2:12">
      <c r="B67" s="293"/>
      <c r="C67" s="294"/>
      <c r="D67" s="295"/>
      <c r="E67" s="297"/>
      <c r="F67" s="297"/>
      <c r="G67" s="295"/>
      <c r="H67" s="17"/>
      <c r="I67" s="278"/>
      <c r="J67"/>
      <c r="K67"/>
      <c r="L67"/>
    </row>
    <row r="68" spans="2:12">
      <c r="B68" s="293"/>
      <c r="C68" s="294"/>
      <c r="D68" s="295"/>
      <c r="E68" s="297"/>
      <c r="F68" s="297"/>
      <c r="G68" s="295"/>
      <c r="H68" s="17"/>
      <c r="I68" s="278"/>
      <c r="J68"/>
      <c r="K68"/>
      <c r="L68"/>
    </row>
    <row r="69" spans="2:12">
      <c r="B69" s="293"/>
      <c r="C69" s="294"/>
      <c r="D69" s="295"/>
      <c r="E69" s="297"/>
      <c r="F69" s="297"/>
      <c r="G69" s="295"/>
      <c r="H69" s="17"/>
      <c r="I69" s="278"/>
      <c r="J69"/>
      <c r="K69"/>
      <c r="L69"/>
    </row>
    <row r="70" spans="2:12">
      <c r="B70" s="293"/>
      <c r="C70" s="294"/>
      <c r="D70" s="295"/>
      <c r="E70" s="297"/>
      <c r="F70" s="297"/>
      <c r="G70" s="295"/>
      <c r="H70" s="17"/>
      <c r="I70" s="278"/>
      <c r="J70"/>
      <c r="K70"/>
      <c r="L70"/>
    </row>
    <row r="71" spans="2:12">
      <c r="B71" s="293"/>
      <c r="C71" s="294"/>
      <c r="D71" s="295"/>
      <c r="E71" s="297"/>
      <c r="F71" s="297"/>
      <c r="G71" s="295"/>
      <c r="H71" s="17"/>
      <c r="I71" s="278"/>
      <c r="J71"/>
      <c r="K71"/>
      <c r="L71"/>
    </row>
    <row r="72" spans="2:12">
      <c r="B72" s="293"/>
      <c r="C72" s="294"/>
      <c r="D72" s="295"/>
      <c r="E72" s="297"/>
      <c r="F72" s="297"/>
      <c r="G72" s="295"/>
      <c r="H72" s="17"/>
      <c r="I72" s="278"/>
      <c r="J72"/>
      <c r="K72"/>
      <c r="L72"/>
    </row>
    <row r="73" spans="2:12">
      <c r="B73" s="293"/>
      <c r="C73" s="294"/>
      <c r="D73" s="295"/>
      <c r="E73" s="297"/>
      <c r="F73" s="297"/>
      <c r="G73" s="295"/>
      <c r="H73" s="17"/>
      <c r="I73" s="278"/>
      <c r="J73"/>
      <c r="K73"/>
      <c r="L73"/>
    </row>
    <row r="74" spans="2:12">
      <c r="B74" s="274"/>
      <c r="C74" s="274"/>
      <c r="D74" s="264"/>
      <c r="E74" s="264"/>
      <c r="F74" s="264"/>
      <c r="G74" s="276"/>
      <c r="H74" s="17"/>
      <c r="J74"/>
      <c r="K74"/>
      <c r="L74"/>
    </row>
    <row r="75" spans="2:12">
      <c r="B75" s="274"/>
      <c r="C75" s="274"/>
      <c r="D75" s="264"/>
      <c r="E75" s="264"/>
      <c r="F75" s="264"/>
      <c r="G75" s="276"/>
      <c r="H75" s="17"/>
      <c r="J75"/>
      <c r="K75"/>
      <c r="L75"/>
    </row>
    <row r="76" spans="2:12">
      <c r="B76" s="274"/>
      <c r="C76" s="274"/>
      <c r="D76" s="264"/>
      <c r="E76" s="264"/>
      <c r="F76" s="264"/>
      <c r="G76" s="276"/>
      <c r="H76" s="17"/>
      <c r="J76"/>
      <c r="K76"/>
      <c r="L76"/>
    </row>
    <row r="77" spans="2:12">
      <c r="B77" s="274"/>
      <c r="C77" s="274"/>
      <c r="D77" s="264"/>
      <c r="E77" s="264"/>
      <c r="F77" s="264"/>
      <c r="G77" s="276"/>
      <c r="H77" s="17"/>
      <c r="J77"/>
      <c r="K77"/>
      <c r="L77"/>
    </row>
    <row r="78" spans="2:12">
      <c r="B78" s="274"/>
      <c r="C78" s="274"/>
      <c r="D78" s="264"/>
      <c r="E78" s="264"/>
      <c r="F78" s="264"/>
      <c r="G78" s="276"/>
      <c r="H78" s="17"/>
      <c r="J78"/>
      <c r="K78"/>
      <c r="L78"/>
    </row>
    <row r="79" spans="2:12">
      <c r="B79" s="274"/>
      <c r="C79" s="274"/>
      <c r="D79" s="264"/>
      <c r="E79" s="264"/>
      <c r="F79" s="264"/>
      <c r="G79" s="276"/>
      <c r="H79" s="17"/>
      <c r="J79"/>
      <c r="K79"/>
      <c r="L79"/>
    </row>
    <row r="80" spans="2:12">
      <c r="B80" s="274"/>
      <c r="C80" s="274"/>
      <c r="D80" s="264"/>
      <c r="E80" s="264"/>
      <c r="F80" s="264"/>
      <c r="G80" s="276"/>
      <c r="H80" s="17"/>
      <c r="J80"/>
      <c r="K80"/>
      <c r="L80"/>
    </row>
    <row r="81" spans="2:15">
      <c r="B81" s="274"/>
      <c r="C81" s="274"/>
      <c r="D81" s="264"/>
      <c r="E81" s="264"/>
      <c r="F81" s="264"/>
      <c r="G81" s="276"/>
      <c r="H81" s="17"/>
      <c r="J81"/>
      <c r="K81"/>
      <c r="L81"/>
    </row>
    <row r="82" spans="2:15">
      <c r="B82" s="274"/>
      <c r="C82" s="274"/>
      <c r="D82" s="264"/>
      <c r="E82" s="264"/>
      <c r="F82" s="264"/>
      <c r="G82" s="276"/>
      <c r="H82" s="17"/>
      <c r="J82"/>
      <c r="K82"/>
      <c r="L82"/>
    </row>
    <row r="83" spans="2:15">
      <c r="J83"/>
      <c r="K83"/>
      <c r="L83"/>
      <c r="O83"/>
    </row>
    <row r="84" spans="2:15">
      <c r="B84" s="164" t="s">
        <v>3</v>
      </c>
      <c r="C84" s="165" t="s">
        <v>619</v>
      </c>
      <c r="D84" s="165" t="s">
        <v>623</v>
      </c>
      <c r="E84" s="165" t="s">
        <v>501</v>
      </c>
      <c r="F84" s="165" t="s">
        <v>513</v>
      </c>
      <c r="G84" s="165" t="s">
        <v>514</v>
      </c>
      <c r="H84"/>
      <c r="J84"/>
      <c r="K84"/>
      <c r="L84"/>
    </row>
    <row r="85" spans="2:15" ht="50.1" customHeight="1">
      <c r="B85" s="306" t="s">
        <v>618</v>
      </c>
      <c r="C85" s="299" t="s">
        <v>620</v>
      </c>
      <c r="D85" s="299">
        <v>1</v>
      </c>
      <c r="E85" s="300">
        <v>36087</v>
      </c>
      <c r="F85" s="300">
        <v>36087</v>
      </c>
      <c r="G85" s="300">
        <v>29792</v>
      </c>
      <c r="H85"/>
      <c r="J85"/>
      <c r="K85"/>
      <c r="L85"/>
      <c r="O85"/>
    </row>
    <row r="86" spans="2:15" ht="41.1" customHeight="1">
      <c r="B86" s="306" t="s">
        <v>618</v>
      </c>
      <c r="C86" s="299" t="s">
        <v>621</v>
      </c>
      <c r="D86" s="299">
        <v>2</v>
      </c>
      <c r="E86" s="300">
        <v>26339</v>
      </c>
      <c r="F86" s="300">
        <v>26339</v>
      </c>
      <c r="G86" s="300">
        <v>22825</v>
      </c>
      <c r="H86"/>
      <c r="J86"/>
      <c r="K86"/>
      <c r="L86"/>
    </row>
    <row r="87" spans="2:15" ht="51.95" customHeight="1">
      <c r="B87" s="306" t="s">
        <v>618</v>
      </c>
      <c r="C87" s="299" t="s">
        <v>622</v>
      </c>
      <c r="D87" s="299">
        <v>3</v>
      </c>
      <c r="E87" s="300">
        <v>47029</v>
      </c>
      <c r="F87" s="300">
        <v>47029</v>
      </c>
      <c r="G87" s="300">
        <v>37671</v>
      </c>
      <c r="H87"/>
      <c r="J87"/>
      <c r="K87"/>
      <c r="L87"/>
    </row>
    <row r="88" spans="2:15">
      <c r="B88" s="305"/>
      <c r="C88" s="303"/>
      <c r="D88" s="303"/>
      <c r="E88" s="304"/>
      <c r="F88" s="304"/>
      <c r="G88" s="304"/>
      <c r="H88"/>
      <c r="J88"/>
      <c r="K88"/>
      <c r="L88"/>
    </row>
    <row r="89" spans="2:15">
      <c r="B89" s="305"/>
      <c r="C89" s="303"/>
      <c r="D89" s="303"/>
      <c r="E89" s="304"/>
      <c r="F89" s="304"/>
      <c r="G89" s="304"/>
      <c r="H89"/>
      <c r="J89"/>
      <c r="K89"/>
      <c r="L89"/>
    </row>
    <row r="90" spans="2:15">
      <c r="B90" s="305"/>
      <c r="C90" s="303"/>
      <c r="D90" s="303"/>
      <c r="E90" s="304"/>
      <c r="F90" s="304"/>
      <c r="G90" s="304"/>
      <c r="H90"/>
      <c r="J90"/>
      <c r="K90"/>
      <c r="L90"/>
    </row>
    <row r="91" spans="2:15">
      <c r="B91" s="305"/>
      <c r="C91" s="303"/>
      <c r="D91" s="303"/>
      <c r="E91" s="304"/>
      <c r="F91" s="304"/>
      <c r="G91" s="304"/>
      <c r="H91"/>
      <c r="J91"/>
      <c r="K91"/>
      <c r="L91"/>
    </row>
    <row r="92" spans="2:15">
      <c r="B92" s="305"/>
      <c r="C92" s="303"/>
      <c r="D92" s="303"/>
      <c r="E92" s="304"/>
      <c r="F92" s="304"/>
      <c r="G92" s="304"/>
      <c r="H92"/>
      <c r="J92"/>
      <c r="K92"/>
      <c r="L92"/>
    </row>
    <row r="93" spans="2:15">
      <c r="B93" s="305"/>
      <c r="C93" s="303"/>
      <c r="D93" s="303"/>
      <c r="E93" s="304"/>
      <c r="F93" s="304"/>
      <c r="G93" s="304"/>
      <c r="H93"/>
      <c r="J93"/>
      <c r="K93"/>
      <c r="L93"/>
    </row>
    <row r="94" spans="2:15">
      <c r="B94" s="305"/>
      <c r="C94" s="303"/>
      <c r="D94" s="303"/>
      <c r="E94" s="304"/>
      <c r="F94" s="304"/>
      <c r="G94" s="304"/>
      <c r="H94"/>
      <c r="J94"/>
      <c r="K94"/>
      <c r="L94"/>
    </row>
    <row r="95" spans="2:15">
      <c r="B95" s="305"/>
      <c r="C95" s="303"/>
      <c r="D95" s="303"/>
      <c r="E95" s="304"/>
      <c r="F95" s="304"/>
      <c r="G95" s="304"/>
      <c r="H95"/>
      <c r="J95"/>
      <c r="K95"/>
      <c r="L95"/>
    </row>
    <row r="96" spans="2:15">
      <c r="B96" s="305"/>
      <c r="C96" s="303"/>
      <c r="D96" s="303"/>
      <c r="E96" s="304"/>
      <c r="F96" s="304"/>
      <c r="G96" s="304"/>
      <c r="H96"/>
      <c r="J96"/>
      <c r="K96"/>
      <c r="L96"/>
    </row>
    <row r="97" spans="2:19">
      <c r="B97" s="305"/>
      <c r="C97" s="303"/>
      <c r="D97" s="303"/>
      <c r="E97" s="304"/>
      <c r="F97" s="304"/>
      <c r="G97" s="304"/>
      <c r="H97"/>
      <c r="J97"/>
      <c r="K97"/>
      <c r="L97"/>
    </row>
    <row r="98" spans="2:19">
      <c r="B98" s="305"/>
      <c r="C98" s="303"/>
      <c r="D98" s="303"/>
      <c r="E98" s="304"/>
      <c r="F98" s="304"/>
      <c r="G98" s="304"/>
      <c r="H98"/>
      <c r="J98"/>
      <c r="K98"/>
      <c r="L98"/>
    </row>
    <row r="99" spans="2:19">
      <c r="B99" s="305"/>
      <c r="C99" s="303"/>
      <c r="D99" s="303"/>
      <c r="E99" s="304"/>
      <c r="F99" s="304"/>
      <c r="G99" s="304"/>
      <c r="H99"/>
      <c r="J99"/>
      <c r="K99"/>
      <c r="L99"/>
    </row>
    <row r="100" spans="2:19">
      <c r="B100" s="305"/>
      <c r="C100" s="303"/>
      <c r="D100" s="303"/>
      <c r="E100" s="304"/>
      <c r="F100" s="304"/>
      <c r="G100" s="304"/>
      <c r="H100"/>
      <c r="J100"/>
      <c r="K100"/>
      <c r="L100"/>
    </row>
    <row r="101" spans="2:19">
      <c r="B101" s="305"/>
      <c r="C101" s="303"/>
      <c r="D101" s="303"/>
      <c r="E101" s="304"/>
      <c r="F101" s="304"/>
      <c r="G101" s="304"/>
      <c r="H101"/>
      <c r="J101"/>
      <c r="K101"/>
      <c r="L101"/>
    </row>
    <row r="102" spans="2:19">
      <c r="B102" s="305"/>
      <c r="C102" s="303"/>
      <c r="D102" s="303"/>
      <c r="E102" s="304"/>
      <c r="F102" s="304"/>
      <c r="G102" s="304"/>
      <c r="H102"/>
      <c r="J102"/>
      <c r="K102"/>
      <c r="L102"/>
    </row>
    <row r="103" spans="2:19" customFormat="1"/>
    <row r="104" spans="2:19" customFormat="1" ht="15.75" thickBot="1">
      <c r="B104" s="164" t="s">
        <v>3</v>
      </c>
      <c r="C104" s="165" t="s">
        <v>619</v>
      </c>
      <c r="D104" s="165" t="s">
        <v>623</v>
      </c>
      <c r="E104" s="165" t="s">
        <v>501</v>
      </c>
      <c r="F104" s="165" t="s">
        <v>513</v>
      </c>
      <c r="G104" s="165" t="s">
        <v>514</v>
      </c>
    </row>
    <row r="105" spans="2:19" ht="65.099999999999994" customHeight="1">
      <c r="B105" s="307" t="s">
        <v>624</v>
      </c>
      <c r="C105" s="301" t="s">
        <v>620</v>
      </c>
      <c r="D105" s="301">
        <v>1</v>
      </c>
      <c r="E105" s="302">
        <v>6926</v>
      </c>
      <c r="F105" s="302">
        <v>5828</v>
      </c>
      <c r="G105" s="302">
        <v>1098</v>
      </c>
      <c r="H105"/>
      <c r="J105"/>
      <c r="K105"/>
      <c r="L105"/>
    </row>
    <row r="106" spans="2:19" ht="66.95" customHeight="1">
      <c r="B106" s="306" t="s">
        <v>624</v>
      </c>
      <c r="C106" s="299" t="s">
        <v>621</v>
      </c>
      <c r="D106" s="299">
        <v>2</v>
      </c>
      <c r="E106" s="300">
        <v>3738</v>
      </c>
      <c r="F106" s="300">
        <v>3324</v>
      </c>
      <c r="G106" s="300">
        <v>414</v>
      </c>
      <c r="H106"/>
      <c r="J106"/>
      <c r="K106"/>
      <c r="L106"/>
    </row>
    <row r="107" spans="2:19" ht="50.1" customHeight="1">
      <c r="B107" s="306" t="s">
        <v>624</v>
      </c>
      <c r="C107" s="299" t="s">
        <v>622</v>
      </c>
      <c r="D107" s="299">
        <v>3</v>
      </c>
      <c r="E107" s="300">
        <v>11418</v>
      </c>
      <c r="F107" s="300">
        <v>9325</v>
      </c>
      <c r="G107" s="300">
        <v>2093</v>
      </c>
      <c r="H107"/>
      <c r="J107"/>
      <c r="K107"/>
      <c r="L107"/>
    </row>
    <row r="108" spans="2:19">
      <c r="J108"/>
      <c r="K108"/>
      <c r="L108"/>
      <c r="M108"/>
      <c r="N108"/>
      <c r="O108"/>
      <c r="P108"/>
      <c r="Q108"/>
      <c r="R108"/>
      <c r="S108"/>
    </row>
    <row r="109" spans="2:19" ht="18.75">
      <c r="B109" s="83"/>
      <c r="J109"/>
      <c r="K109"/>
      <c r="L109"/>
      <c r="M109"/>
      <c r="N109"/>
      <c r="O109"/>
      <c r="P109"/>
      <c r="Q109"/>
      <c r="R109"/>
      <c r="S109"/>
    </row>
    <row r="110" spans="2:19" ht="19.5">
      <c r="B110" s="273" t="s">
        <v>626</v>
      </c>
      <c r="J110"/>
      <c r="K110"/>
      <c r="L110"/>
      <c r="M110"/>
      <c r="N110"/>
      <c r="O110"/>
      <c r="P110"/>
      <c r="Q110"/>
      <c r="R110"/>
      <c r="S110"/>
    </row>
    <row r="111" spans="2:19" ht="18.75">
      <c r="B111" s="83"/>
      <c r="J111"/>
      <c r="K111"/>
      <c r="L111"/>
      <c r="M111"/>
      <c r="N111"/>
      <c r="O111"/>
      <c r="P111"/>
      <c r="Q111"/>
      <c r="R111"/>
      <c r="S111"/>
    </row>
    <row r="112" spans="2:19" ht="18.75">
      <c r="B112" s="83"/>
      <c r="J112"/>
      <c r="K112"/>
      <c r="L112"/>
      <c r="M112"/>
      <c r="N112"/>
      <c r="O112"/>
      <c r="P112"/>
      <c r="Q112"/>
      <c r="R112"/>
      <c r="S112"/>
    </row>
    <row r="113" spans="2:19" ht="18.75">
      <c r="B113" s="83"/>
      <c r="J113"/>
      <c r="K113"/>
      <c r="L113"/>
      <c r="M113"/>
      <c r="N113"/>
      <c r="O113"/>
      <c r="P113"/>
      <c r="Q113"/>
      <c r="R113"/>
      <c r="S113"/>
    </row>
    <row r="114" spans="2:19" ht="18.75">
      <c r="B114" s="83"/>
      <c r="J114"/>
      <c r="K114"/>
      <c r="L114"/>
      <c r="M114"/>
      <c r="N114"/>
      <c r="O114"/>
      <c r="P114"/>
      <c r="Q114"/>
      <c r="R114"/>
      <c r="S114"/>
    </row>
    <row r="115" spans="2:19" ht="18.75">
      <c r="B115" s="83"/>
      <c r="J115"/>
      <c r="K115"/>
      <c r="L115"/>
      <c r="M115"/>
      <c r="N115"/>
      <c r="O115"/>
      <c r="P115"/>
      <c r="Q115"/>
      <c r="R115"/>
      <c r="S115"/>
    </row>
    <row r="116" spans="2:19" ht="18.75">
      <c r="B116" s="83"/>
      <c r="J116"/>
      <c r="K116"/>
      <c r="L116"/>
      <c r="M116"/>
      <c r="N116"/>
      <c r="O116"/>
      <c r="P116"/>
      <c r="Q116"/>
      <c r="R116"/>
      <c r="S116"/>
    </row>
    <row r="117" spans="2:19" ht="18.75">
      <c r="B117" s="83"/>
      <c r="J117"/>
      <c r="K117"/>
      <c r="L117"/>
      <c r="M117"/>
      <c r="N117"/>
      <c r="O117"/>
      <c r="P117"/>
      <c r="Q117"/>
      <c r="R117"/>
      <c r="S117"/>
    </row>
    <row r="118" spans="2:19" ht="18.75">
      <c r="B118" s="83"/>
      <c r="J118"/>
      <c r="K118"/>
      <c r="L118"/>
      <c r="M118"/>
      <c r="N118"/>
      <c r="O118"/>
      <c r="P118"/>
      <c r="Q118"/>
      <c r="R118"/>
      <c r="S118"/>
    </row>
    <row r="119" spans="2:19" ht="18.75">
      <c r="B119" s="83"/>
      <c r="J119"/>
      <c r="K119"/>
      <c r="L119"/>
      <c r="M119"/>
      <c r="N119"/>
      <c r="O119"/>
      <c r="P119"/>
      <c r="Q119"/>
      <c r="R119"/>
      <c r="S119"/>
    </row>
    <row r="120" spans="2:19" ht="18.75">
      <c r="B120" s="83"/>
      <c r="J120"/>
      <c r="K120"/>
      <c r="L120"/>
      <c r="M120"/>
      <c r="N120"/>
      <c r="O120"/>
      <c r="P120"/>
      <c r="Q120"/>
      <c r="R120"/>
      <c r="S120"/>
    </row>
    <row r="121" spans="2:19" ht="18.75">
      <c r="B121" s="83"/>
      <c r="J121"/>
      <c r="K121"/>
      <c r="L121"/>
      <c r="M121"/>
      <c r="N121"/>
      <c r="O121"/>
      <c r="P121"/>
      <c r="Q121"/>
      <c r="R121"/>
      <c r="S121"/>
    </row>
    <row r="122" spans="2:19" ht="18.75">
      <c r="B122" s="83"/>
      <c r="J122"/>
      <c r="K122"/>
      <c r="L122"/>
      <c r="M122"/>
      <c r="N122"/>
      <c r="O122"/>
      <c r="P122"/>
      <c r="Q122"/>
      <c r="R122"/>
      <c r="S122"/>
    </row>
    <row r="123" spans="2:19" ht="18.75">
      <c r="B123" s="83"/>
      <c r="J123"/>
      <c r="K123"/>
      <c r="L123"/>
      <c r="M123"/>
      <c r="N123"/>
      <c r="O123"/>
      <c r="P123"/>
      <c r="Q123"/>
      <c r="R123"/>
      <c r="S123"/>
    </row>
    <row r="124" spans="2:19" ht="18.75">
      <c r="B124" s="83"/>
      <c r="J124"/>
      <c r="K124"/>
      <c r="L124"/>
      <c r="M124"/>
      <c r="N124"/>
      <c r="O124"/>
      <c r="P124"/>
      <c r="Q124"/>
      <c r="R124"/>
      <c r="S124"/>
    </row>
    <row r="125" spans="2:19" ht="18.75">
      <c r="B125" s="83"/>
      <c r="J125"/>
      <c r="K125"/>
      <c r="L125"/>
      <c r="M125"/>
      <c r="N125"/>
      <c r="O125"/>
      <c r="P125"/>
      <c r="Q125"/>
      <c r="R125"/>
      <c r="S125"/>
    </row>
    <row r="126" spans="2:19" ht="18.75">
      <c r="B126" s="83"/>
      <c r="J126"/>
      <c r="K126"/>
      <c r="L126"/>
      <c r="M126"/>
      <c r="N126"/>
      <c r="O126"/>
      <c r="P126"/>
      <c r="Q126"/>
      <c r="R126"/>
      <c r="S126"/>
    </row>
    <row r="127" spans="2:19" ht="18.75">
      <c r="B127" s="83"/>
      <c r="J127"/>
      <c r="K127"/>
      <c r="L127"/>
      <c r="M127"/>
      <c r="N127"/>
      <c r="O127"/>
      <c r="P127"/>
      <c r="Q127"/>
      <c r="R127"/>
      <c r="S127"/>
    </row>
    <row r="128" spans="2:19" ht="18.75">
      <c r="B128" s="83"/>
      <c r="J128"/>
      <c r="K128"/>
      <c r="L128"/>
      <c r="M128"/>
      <c r="N128"/>
      <c r="O128"/>
      <c r="P128"/>
      <c r="Q128"/>
      <c r="R128"/>
      <c r="S128"/>
    </row>
    <row r="129" spans="2:27" ht="18.75">
      <c r="B129" s="83"/>
      <c r="J129"/>
      <c r="K129"/>
      <c r="L129"/>
      <c r="M129"/>
      <c r="N129"/>
      <c r="O129"/>
      <c r="P129"/>
      <c r="Q129"/>
      <c r="R129"/>
      <c r="S129"/>
    </row>
    <row r="130" spans="2:27" ht="18.75">
      <c r="B130" s="83"/>
      <c r="J130"/>
      <c r="K130"/>
      <c r="L130"/>
      <c r="M130"/>
      <c r="N130"/>
      <c r="O130"/>
      <c r="P130"/>
      <c r="Q130"/>
      <c r="R130"/>
      <c r="S130"/>
    </row>
    <row r="131" spans="2:27" ht="18.75">
      <c r="B131" s="83"/>
      <c r="J131"/>
      <c r="K131"/>
      <c r="L131"/>
      <c r="M131"/>
      <c r="N131"/>
      <c r="O131"/>
      <c r="P131"/>
      <c r="Q131"/>
      <c r="R131"/>
      <c r="S131"/>
    </row>
    <row r="132" spans="2:27" ht="18.75">
      <c r="B132" s="83"/>
      <c r="J132"/>
      <c r="K132"/>
      <c r="L132"/>
      <c r="M132"/>
      <c r="N132"/>
      <c r="O132"/>
      <c r="P132"/>
      <c r="Q132"/>
      <c r="R132"/>
      <c r="S132"/>
    </row>
    <row r="133" spans="2:27" ht="19.5">
      <c r="B133" s="273" t="s">
        <v>521</v>
      </c>
      <c r="J133"/>
      <c r="K133"/>
      <c r="L133"/>
      <c r="M133"/>
      <c r="N133"/>
      <c r="O133"/>
      <c r="P133"/>
      <c r="Q133"/>
      <c r="R133"/>
      <c r="S133"/>
    </row>
    <row r="134" spans="2:27" ht="18.75">
      <c r="B134" s="83"/>
      <c r="J134"/>
      <c r="K134"/>
      <c r="L134"/>
      <c r="M134"/>
      <c r="N134"/>
      <c r="O134"/>
      <c r="P134"/>
      <c r="Q134"/>
      <c r="R134"/>
      <c r="S134"/>
    </row>
    <row r="135" spans="2:27" ht="18.75">
      <c r="B135" s="83"/>
      <c r="J135"/>
      <c r="K135"/>
      <c r="L135"/>
      <c r="M135"/>
      <c r="N135"/>
      <c r="O135"/>
      <c r="P135"/>
      <c r="Q135"/>
      <c r="R135"/>
      <c r="S135"/>
    </row>
    <row r="136" spans="2:27" ht="18.75">
      <c r="B136" s="83"/>
      <c r="J136"/>
      <c r="K136"/>
      <c r="L136"/>
      <c r="M136"/>
      <c r="N136"/>
      <c r="O136"/>
      <c r="P136"/>
      <c r="Q136"/>
      <c r="R136"/>
      <c r="S136"/>
    </row>
    <row r="137" spans="2:27" ht="18.75">
      <c r="B137" s="83"/>
      <c r="J137"/>
      <c r="K137"/>
      <c r="L137"/>
      <c r="M137"/>
      <c r="N137"/>
      <c r="O137"/>
      <c r="P137"/>
      <c r="Q137"/>
      <c r="R137"/>
      <c r="S137"/>
    </row>
    <row r="138" spans="2:27" ht="18.75">
      <c r="B138" s="83"/>
      <c r="J138"/>
      <c r="K138"/>
      <c r="L138"/>
      <c r="M138"/>
      <c r="N138"/>
      <c r="O138"/>
      <c r="P138"/>
      <c r="Q138"/>
      <c r="R138"/>
      <c r="S138"/>
    </row>
    <row r="139" spans="2:27" ht="18.75">
      <c r="B139" s="83"/>
      <c r="J139"/>
      <c r="K139"/>
      <c r="L139"/>
      <c r="M139"/>
      <c r="N139"/>
      <c r="O139"/>
      <c r="P139"/>
      <c r="Q139"/>
      <c r="R139"/>
      <c r="S139"/>
    </row>
    <row r="141" spans="2:27" ht="69.95" customHeight="1">
      <c r="B141" s="245" t="s">
        <v>499</v>
      </c>
      <c r="C141" s="245" t="s">
        <v>120</v>
      </c>
      <c r="D141" s="245" t="s">
        <v>500</v>
      </c>
      <c r="E141" s="245" t="s">
        <v>198</v>
      </c>
      <c r="F141" s="245" t="s">
        <v>280</v>
      </c>
      <c r="G141" s="246" t="s">
        <v>503</v>
      </c>
      <c r="H141" s="246" t="s">
        <v>504</v>
      </c>
      <c r="I141" s="246" t="s">
        <v>505</v>
      </c>
      <c r="J141" s="246" t="s">
        <v>506</v>
      </c>
      <c r="K141" s="246" t="s">
        <v>507</v>
      </c>
      <c r="L141" s="246" t="s">
        <v>508</v>
      </c>
      <c r="M141" s="246" t="s">
        <v>509</v>
      </c>
      <c r="N141" s="246" t="s">
        <v>510</v>
      </c>
      <c r="O141" s="247" t="s">
        <v>511</v>
      </c>
      <c r="P141" s="247" t="s">
        <v>512</v>
      </c>
      <c r="Q141" s="246" t="s">
        <v>364</v>
      </c>
      <c r="R141" s="246" t="s">
        <v>365</v>
      </c>
      <c r="S141" s="246" t="s">
        <v>517</v>
      </c>
      <c r="T141" s="248" t="s">
        <v>518</v>
      </c>
      <c r="U141"/>
      <c r="V141"/>
      <c r="W141"/>
      <c r="X141"/>
      <c r="Z141"/>
      <c r="AA141"/>
    </row>
    <row r="142" spans="2:27">
      <c r="B142" s="249" t="s">
        <v>501</v>
      </c>
      <c r="C142" s="250" t="s">
        <v>242</v>
      </c>
      <c r="D142" s="250" t="s">
        <v>502</v>
      </c>
      <c r="E142" s="251">
        <v>1</v>
      </c>
      <c r="F142" s="251" t="s">
        <v>281</v>
      </c>
      <c r="G142" s="250">
        <v>6926</v>
      </c>
      <c r="H142" s="250">
        <v>3738</v>
      </c>
      <c r="I142" s="250">
        <v>11418</v>
      </c>
      <c r="J142" s="252">
        <v>-6.6000000000000003E-2</v>
      </c>
      <c r="K142" s="250">
        <v>6181</v>
      </c>
      <c r="L142" s="250">
        <v>3275</v>
      </c>
      <c r="M142" s="250">
        <v>10304</v>
      </c>
      <c r="N142" s="250">
        <v>745</v>
      </c>
      <c r="O142" s="250">
        <v>463</v>
      </c>
      <c r="P142" s="250">
        <v>1114</v>
      </c>
      <c r="Q142" s="253">
        <v>977845</v>
      </c>
      <c r="R142" s="254">
        <v>0.76187944412231445</v>
      </c>
      <c r="S142" s="254">
        <v>0.47349017858505249</v>
      </c>
      <c r="T142" s="255">
        <v>1.1392399072647095</v>
      </c>
      <c r="U142"/>
      <c r="V142"/>
      <c r="W142"/>
      <c r="X142"/>
      <c r="Z142"/>
      <c r="AA142"/>
    </row>
    <row r="143" spans="2:27">
      <c r="B143" s="249" t="s">
        <v>501</v>
      </c>
      <c r="C143" s="250" t="s">
        <v>242</v>
      </c>
      <c r="D143" s="250" t="s">
        <v>502</v>
      </c>
      <c r="E143" s="251">
        <v>2</v>
      </c>
      <c r="F143" s="251" t="s">
        <v>281</v>
      </c>
      <c r="G143" s="250">
        <v>6926</v>
      </c>
      <c r="H143" s="250">
        <v>3738</v>
      </c>
      <c r="I143" s="250">
        <v>11418</v>
      </c>
      <c r="J143" s="252">
        <v>-6.6000000000000003E-2</v>
      </c>
      <c r="K143" s="250">
        <v>5773</v>
      </c>
      <c r="L143" s="250">
        <v>3071</v>
      </c>
      <c r="M143" s="250">
        <v>9629</v>
      </c>
      <c r="N143" s="250">
        <v>1153</v>
      </c>
      <c r="O143" s="250">
        <v>667</v>
      </c>
      <c r="P143" s="250">
        <v>1789</v>
      </c>
      <c r="Q143" s="253">
        <v>1239352</v>
      </c>
      <c r="R143" s="254">
        <v>0.93032491207122803</v>
      </c>
      <c r="S143" s="254">
        <v>0.53818446397781372</v>
      </c>
      <c r="T143" s="255">
        <v>1.4434963464736938</v>
      </c>
      <c r="U143"/>
      <c r="V143"/>
      <c r="W143"/>
      <c r="X143"/>
      <c r="Z143"/>
      <c r="AA143"/>
    </row>
    <row r="144" spans="2:27">
      <c r="B144" s="249" t="s">
        <v>501</v>
      </c>
      <c r="C144" s="250" t="s">
        <v>242</v>
      </c>
      <c r="D144" s="250" t="s">
        <v>502</v>
      </c>
      <c r="E144" s="251">
        <v>3</v>
      </c>
      <c r="F144" s="251" t="s">
        <v>281</v>
      </c>
      <c r="G144" s="250">
        <v>6926</v>
      </c>
      <c r="H144" s="250">
        <v>3738</v>
      </c>
      <c r="I144" s="250">
        <v>11418</v>
      </c>
      <c r="J144" s="252">
        <v>-6.6000000000000003E-2</v>
      </c>
      <c r="K144" s="250">
        <v>5398</v>
      </c>
      <c r="L144" s="250">
        <v>2870</v>
      </c>
      <c r="M144" s="250">
        <v>8998</v>
      </c>
      <c r="N144" s="250">
        <v>1528</v>
      </c>
      <c r="O144" s="250">
        <v>868</v>
      </c>
      <c r="P144" s="250">
        <v>2420</v>
      </c>
      <c r="Q144" s="253">
        <v>837959</v>
      </c>
      <c r="R144" s="254">
        <v>1.8234782218933105</v>
      </c>
      <c r="S144" s="254">
        <v>1.0358501672744751</v>
      </c>
      <c r="T144" s="255">
        <v>2.8879692554473877</v>
      </c>
      <c r="U144"/>
      <c r="V144"/>
      <c r="W144"/>
      <c r="X144"/>
      <c r="Z144"/>
      <c r="AA144"/>
    </row>
    <row r="145" spans="2:27">
      <c r="B145" s="249" t="s">
        <v>501</v>
      </c>
      <c r="C145" s="250" t="s">
        <v>242</v>
      </c>
      <c r="D145" s="250" t="s">
        <v>502</v>
      </c>
      <c r="E145" s="251">
        <v>4</v>
      </c>
      <c r="F145" s="251" t="s">
        <v>281</v>
      </c>
      <c r="G145" s="250">
        <v>6926</v>
      </c>
      <c r="H145" s="250">
        <v>3738</v>
      </c>
      <c r="I145" s="250">
        <v>11418</v>
      </c>
      <c r="J145" s="252">
        <v>-6.6000000000000003E-2</v>
      </c>
      <c r="K145" s="250">
        <v>5039</v>
      </c>
      <c r="L145" s="250">
        <v>2677</v>
      </c>
      <c r="M145" s="250">
        <v>8398</v>
      </c>
      <c r="N145" s="250">
        <v>1887</v>
      </c>
      <c r="O145" s="250">
        <v>1061</v>
      </c>
      <c r="P145" s="250">
        <v>3020</v>
      </c>
      <c r="Q145" s="253">
        <v>855330</v>
      </c>
      <c r="R145" s="254">
        <v>2.2061660289764404</v>
      </c>
      <c r="S145" s="254">
        <v>1.2404569387435913</v>
      </c>
      <c r="T145" s="255">
        <v>3.5308010578155518</v>
      </c>
      <c r="U145"/>
      <c r="V145"/>
      <c r="W145"/>
      <c r="X145"/>
      <c r="Z145"/>
      <c r="AA145"/>
    </row>
    <row r="146" spans="2:27">
      <c r="B146" s="249" t="s">
        <v>501</v>
      </c>
      <c r="C146" s="250" t="s">
        <v>242</v>
      </c>
      <c r="D146" s="250" t="s">
        <v>502</v>
      </c>
      <c r="E146" s="251">
        <v>5</v>
      </c>
      <c r="F146" s="251" t="s">
        <v>281</v>
      </c>
      <c r="G146" s="250">
        <v>6926</v>
      </c>
      <c r="H146" s="250">
        <v>3738</v>
      </c>
      <c r="I146" s="250">
        <v>11418</v>
      </c>
      <c r="J146" s="252">
        <v>-6.6000000000000003E-2</v>
      </c>
      <c r="K146" s="250">
        <v>4698</v>
      </c>
      <c r="L146" s="250">
        <v>2498</v>
      </c>
      <c r="M146" s="250">
        <v>7811</v>
      </c>
      <c r="N146" s="250">
        <v>2228</v>
      </c>
      <c r="O146" s="250">
        <v>1240</v>
      </c>
      <c r="P146" s="250">
        <v>3607</v>
      </c>
      <c r="Q146" s="253">
        <v>837959</v>
      </c>
      <c r="R146" s="254">
        <v>2.6588411331176758</v>
      </c>
      <c r="S146" s="254">
        <v>1.4797860383987427</v>
      </c>
      <c r="T146" s="255">
        <v>4.3045063018798828</v>
      </c>
      <c r="U146"/>
      <c r="V146"/>
      <c r="W146"/>
      <c r="X146"/>
      <c r="Z146"/>
      <c r="AA146"/>
    </row>
    <row r="147" spans="2:27">
      <c r="B147" s="249" t="s">
        <v>501</v>
      </c>
      <c r="C147" s="250" t="s">
        <v>242</v>
      </c>
      <c r="D147" s="250" t="s">
        <v>201</v>
      </c>
      <c r="E147" s="251">
        <v>6</v>
      </c>
      <c r="F147" s="251" t="s">
        <v>281</v>
      </c>
      <c r="G147" s="250">
        <v>6926</v>
      </c>
      <c r="H147" s="250">
        <v>3738</v>
      </c>
      <c r="I147" s="250">
        <v>11418</v>
      </c>
      <c r="J147" s="252">
        <v>-1.24E-2</v>
      </c>
      <c r="K147" s="250">
        <v>4646</v>
      </c>
      <c r="L147" s="250">
        <v>2469</v>
      </c>
      <c r="M147" s="250">
        <v>7735</v>
      </c>
      <c r="N147" s="250">
        <v>2280</v>
      </c>
      <c r="O147" s="250">
        <v>1269</v>
      </c>
      <c r="P147" s="250">
        <v>3683</v>
      </c>
      <c r="Q147" s="253">
        <v>661371</v>
      </c>
      <c r="R147" s="254">
        <v>3.4473843574523926</v>
      </c>
      <c r="S147" s="254">
        <v>1.9187414646148682</v>
      </c>
      <c r="T147" s="255">
        <v>5.5687351226806641</v>
      </c>
      <c r="U147"/>
      <c r="V147"/>
      <c r="W147"/>
      <c r="X147"/>
      <c r="Z147"/>
      <c r="AA147"/>
    </row>
    <row r="148" spans="2:27">
      <c r="B148" s="249" t="s">
        <v>501</v>
      </c>
      <c r="C148" s="250" t="s">
        <v>242</v>
      </c>
      <c r="D148" s="250" t="s">
        <v>201</v>
      </c>
      <c r="E148" s="251">
        <v>7</v>
      </c>
      <c r="F148" s="251" t="s">
        <v>281</v>
      </c>
      <c r="G148" s="250">
        <v>6926</v>
      </c>
      <c r="H148" s="250">
        <v>3738</v>
      </c>
      <c r="I148" s="250">
        <v>11418</v>
      </c>
      <c r="J148" s="252">
        <v>-1.24E-2</v>
      </c>
      <c r="K148" s="250">
        <v>4591</v>
      </c>
      <c r="L148" s="250">
        <v>2435</v>
      </c>
      <c r="M148" s="250">
        <v>7638</v>
      </c>
      <c r="N148" s="250">
        <v>2335</v>
      </c>
      <c r="O148" s="250">
        <v>1303</v>
      </c>
      <c r="P148" s="250">
        <v>3780</v>
      </c>
      <c r="Q148" s="253">
        <v>504727</v>
      </c>
      <c r="R148" s="254">
        <v>4.6262636184692383</v>
      </c>
      <c r="S148" s="254">
        <v>2.5815935134887695</v>
      </c>
      <c r="T148" s="255">
        <v>7.48919677734375</v>
      </c>
      <c r="U148"/>
      <c r="V148"/>
      <c r="W148"/>
      <c r="X148"/>
      <c r="Z148"/>
      <c r="AA148"/>
    </row>
    <row r="149" spans="2:27">
      <c r="B149" s="249" t="s">
        <v>501</v>
      </c>
      <c r="C149" s="250" t="s">
        <v>242</v>
      </c>
      <c r="D149" s="250" t="s">
        <v>201</v>
      </c>
      <c r="E149" s="251">
        <v>8</v>
      </c>
      <c r="F149" s="251" t="s">
        <v>281</v>
      </c>
      <c r="G149" s="250">
        <v>6926</v>
      </c>
      <c r="H149" s="250">
        <v>3738</v>
      </c>
      <c r="I149" s="250">
        <v>11418</v>
      </c>
      <c r="J149" s="252">
        <v>-1.24E-2</v>
      </c>
      <c r="K149" s="250">
        <v>4535</v>
      </c>
      <c r="L149" s="250">
        <v>2411</v>
      </c>
      <c r="M149" s="250">
        <v>7543</v>
      </c>
      <c r="N149" s="250">
        <v>2391</v>
      </c>
      <c r="O149" s="250">
        <v>1327</v>
      </c>
      <c r="P149" s="250">
        <v>3875</v>
      </c>
      <c r="Q149" s="253">
        <v>487356</v>
      </c>
      <c r="R149" s="254">
        <v>4.906064510345459</v>
      </c>
      <c r="S149" s="254">
        <v>2.7228555679321289</v>
      </c>
      <c r="T149" s="255">
        <v>7.9510669708251953</v>
      </c>
      <c r="U149"/>
      <c r="V149"/>
      <c r="W149"/>
      <c r="X149"/>
      <c r="Z149"/>
      <c r="AA149"/>
    </row>
    <row r="150" spans="2:27">
      <c r="B150" s="249" t="s">
        <v>501</v>
      </c>
      <c r="C150" s="250" t="s">
        <v>242</v>
      </c>
      <c r="D150" s="250" t="s">
        <v>201</v>
      </c>
      <c r="E150" s="251">
        <v>9</v>
      </c>
      <c r="F150" s="251" t="s">
        <v>281</v>
      </c>
      <c r="G150" s="250">
        <v>6926</v>
      </c>
      <c r="H150" s="250">
        <v>3738</v>
      </c>
      <c r="I150" s="250">
        <v>11418</v>
      </c>
      <c r="J150" s="252">
        <v>-1.24E-2</v>
      </c>
      <c r="K150" s="250">
        <v>4490</v>
      </c>
      <c r="L150" s="250">
        <v>2388</v>
      </c>
      <c r="M150" s="250">
        <v>7460</v>
      </c>
      <c r="N150" s="250">
        <v>2436</v>
      </c>
      <c r="O150" s="250">
        <v>1350</v>
      </c>
      <c r="P150" s="250">
        <v>3958</v>
      </c>
      <c r="Q150" s="253">
        <v>487356</v>
      </c>
      <c r="R150" s="254">
        <v>4.9983992576599121</v>
      </c>
      <c r="S150" s="254">
        <v>2.7700490951538086</v>
      </c>
      <c r="T150" s="255">
        <v>8.121373176574707</v>
      </c>
      <c r="U150"/>
      <c r="V150"/>
      <c r="W150"/>
      <c r="X150"/>
      <c r="Z150"/>
      <c r="AA150"/>
    </row>
    <row r="151" spans="2:27">
      <c r="B151" s="249" t="s">
        <v>501</v>
      </c>
      <c r="C151" s="250" t="s">
        <v>242</v>
      </c>
      <c r="D151" s="250" t="s">
        <v>201</v>
      </c>
      <c r="E151" s="251">
        <v>10</v>
      </c>
      <c r="F151" s="251" t="s">
        <v>281</v>
      </c>
      <c r="G151" s="250">
        <v>6926</v>
      </c>
      <c r="H151" s="250">
        <v>3738</v>
      </c>
      <c r="I151" s="250">
        <v>11418</v>
      </c>
      <c r="J151" s="252">
        <v>-1.24E-2</v>
      </c>
      <c r="K151" s="250">
        <v>4450</v>
      </c>
      <c r="L151" s="250">
        <v>2363</v>
      </c>
      <c r="M151" s="250">
        <v>7397</v>
      </c>
      <c r="N151" s="250">
        <v>2476</v>
      </c>
      <c r="O151" s="250">
        <v>1375</v>
      </c>
      <c r="P151" s="250">
        <v>4021</v>
      </c>
      <c r="Q151" s="253">
        <v>504727</v>
      </c>
      <c r="R151" s="254">
        <v>4.9056224822998047</v>
      </c>
      <c r="S151" s="254">
        <v>2.7242450714111328</v>
      </c>
      <c r="T151" s="255">
        <v>7.9666833877563477</v>
      </c>
      <c r="U151"/>
      <c r="V151"/>
      <c r="W151"/>
      <c r="X151"/>
      <c r="Z151"/>
      <c r="AA151"/>
    </row>
    <row r="152" spans="2:27">
      <c r="B152" s="249" t="s">
        <v>501</v>
      </c>
      <c r="C152" s="250" t="s">
        <v>242</v>
      </c>
      <c r="D152" s="250" t="s">
        <v>201</v>
      </c>
      <c r="E152" s="251">
        <v>11</v>
      </c>
      <c r="F152" s="251" t="s">
        <v>281</v>
      </c>
      <c r="G152" s="250">
        <v>6926</v>
      </c>
      <c r="H152" s="250">
        <v>3738</v>
      </c>
      <c r="I152" s="250">
        <v>11418</v>
      </c>
      <c r="J152" s="252">
        <v>-1.24E-2</v>
      </c>
      <c r="K152" s="250">
        <v>4307</v>
      </c>
      <c r="L152" s="250">
        <v>2290</v>
      </c>
      <c r="M152" s="250">
        <v>7205</v>
      </c>
      <c r="N152" s="250">
        <v>2619</v>
      </c>
      <c r="O152" s="250">
        <v>1448</v>
      </c>
      <c r="P152" s="250">
        <v>4213</v>
      </c>
      <c r="Q152" s="253">
        <v>661371</v>
      </c>
      <c r="R152" s="254">
        <v>3.959956169128418</v>
      </c>
      <c r="S152" s="254">
        <v>2.1893916130065918</v>
      </c>
      <c r="T152" s="255">
        <v>6.3701009750366211</v>
      </c>
      <c r="U152"/>
      <c r="V152"/>
      <c r="W152"/>
      <c r="X152"/>
      <c r="Z152"/>
      <c r="AA152"/>
    </row>
    <row r="153" spans="2:27">
      <c r="B153" s="249" t="s">
        <v>501</v>
      </c>
      <c r="C153" s="250" t="s">
        <v>242</v>
      </c>
      <c r="D153" s="250" t="s">
        <v>201</v>
      </c>
      <c r="E153" s="251">
        <v>12</v>
      </c>
      <c r="F153" s="251" t="s">
        <v>281</v>
      </c>
      <c r="G153" s="250">
        <v>6926</v>
      </c>
      <c r="H153" s="250">
        <v>3738</v>
      </c>
      <c r="I153" s="250">
        <v>11418</v>
      </c>
      <c r="J153" s="252">
        <v>-1.24E-2</v>
      </c>
      <c r="K153" s="250">
        <v>4268</v>
      </c>
      <c r="L153" s="250">
        <v>2264</v>
      </c>
      <c r="M153" s="250">
        <v>7137</v>
      </c>
      <c r="N153" s="250">
        <v>2658</v>
      </c>
      <c r="O153" s="250">
        <v>1474</v>
      </c>
      <c r="P153" s="250">
        <v>4281</v>
      </c>
      <c r="Q153" s="253">
        <v>487356</v>
      </c>
      <c r="R153" s="254">
        <v>5.45391845703125</v>
      </c>
      <c r="S153" s="254">
        <v>3.0244832038879395</v>
      </c>
      <c r="T153" s="255">
        <v>8.7841329574584961</v>
      </c>
      <c r="U153"/>
      <c r="V153"/>
      <c r="W153"/>
      <c r="X153"/>
      <c r="Z153"/>
      <c r="AA153"/>
    </row>
    <row r="154" spans="2:27">
      <c r="B154" s="249" t="s">
        <v>501</v>
      </c>
      <c r="C154" s="250" t="s">
        <v>242</v>
      </c>
      <c r="D154" s="250" t="s">
        <v>201</v>
      </c>
      <c r="E154" s="251">
        <v>13</v>
      </c>
      <c r="F154" s="251" t="s">
        <v>281</v>
      </c>
      <c r="G154" s="250">
        <v>6926</v>
      </c>
      <c r="H154" s="250">
        <v>3738</v>
      </c>
      <c r="I154" s="250">
        <v>11418</v>
      </c>
      <c r="J154" s="252">
        <v>-1.24E-2</v>
      </c>
      <c r="K154" s="250">
        <v>4228</v>
      </c>
      <c r="L154" s="250">
        <v>2237</v>
      </c>
      <c r="M154" s="250">
        <v>7062</v>
      </c>
      <c r="N154" s="250">
        <v>2698</v>
      </c>
      <c r="O154" s="250">
        <v>1501</v>
      </c>
      <c r="P154" s="250">
        <v>4356</v>
      </c>
      <c r="Q154" s="253">
        <v>504727</v>
      </c>
      <c r="R154" s="254">
        <v>5.345463752746582</v>
      </c>
      <c r="S154" s="254">
        <v>2.9738848209381104</v>
      </c>
      <c r="T154" s="255">
        <v>8.6304082870483398</v>
      </c>
      <c r="U154"/>
      <c r="V154"/>
      <c r="W154"/>
      <c r="X154"/>
      <c r="Z154"/>
      <c r="AA154"/>
    </row>
    <row r="155" spans="2:27">
      <c r="B155" s="249" t="s">
        <v>501</v>
      </c>
      <c r="C155" s="250" t="s">
        <v>242</v>
      </c>
      <c r="D155" s="250" t="s">
        <v>201</v>
      </c>
      <c r="E155" s="251">
        <v>14</v>
      </c>
      <c r="F155" s="251" t="s">
        <v>281</v>
      </c>
      <c r="G155" s="250">
        <v>6926</v>
      </c>
      <c r="H155" s="250">
        <v>3738</v>
      </c>
      <c r="I155" s="250">
        <v>11418</v>
      </c>
      <c r="J155" s="252">
        <v>-1.24E-2</v>
      </c>
      <c r="K155" s="250">
        <v>4163</v>
      </c>
      <c r="L155" s="250">
        <v>2215</v>
      </c>
      <c r="M155" s="250">
        <v>6956</v>
      </c>
      <c r="N155" s="250">
        <v>2763</v>
      </c>
      <c r="O155" s="250">
        <v>1523</v>
      </c>
      <c r="P155" s="250">
        <v>4462</v>
      </c>
      <c r="Q155" s="253">
        <v>487356</v>
      </c>
      <c r="R155" s="254">
        <v>5.6693668365478516</v>
      </c>
      <c r="S155" s="254">
        <v>3.125025749206543</v>
      </c>
      <c r="T155" s="255">
        <v>9.1555252075195313</v>
      </c>
      <c r="U155"/>
      <c r="V155"/>
      <c r="W155"/>
      <c r="X155"/>
      <c r="Z155"/>
      <c r="AA155"/>
    </row>
    <row r="156" spans="2:27">
      <c r="B156" s="256" t="s">
        <v>501</v>
      </c>
      <c r="C156" s="257" t="s">
        <v>242</v>
      </c>
      <c r="D156" s="257" t="s">
        <v>201</v>
      </c>
      <c r="E156" s="258">
        <v>15</v>
      </c>
      <c r="F156" s="258" t="s">
        <v>281</v>
      </c>
      <c r="G156" s="257">
        <v>6926</v>
      </c>
      <c r="H156" s="257">
        <v>3738</v>
      </c>
      <c r="I156" s="257">
        <v>11418</v>
      </c>
      <c r="J156" s="259">
        <v>-1.24E-2</v>
      </c>
      <c r="K156" s="257">
        <v>4121</v>
      </c>
      <c r="L156" s="257">
        <v>2192</v>
      </c>
      <c r="M156" s="257">
        <v>6888</v>
      </c>
      <c r="N156" s="257">
        <v>2805</v>
      </c>
      <c r="O156" s="257">
        <v>1546</v>
      </c>
      <c r="P156" s="257">
        <v>4530</v>
      </c>
      <c r="Q156" s="260">
        <v>487356</v>
      </c>
      <c r="R156" s="261">
        <v>5.7555460929870605</v>
      </c>
      <c r="S156" s="261">
        <v>3.1722190380096436</v>
      </c>
      <c r="T156" s="262">
        <v>9.2950525283813477</v>
      </c>
      <c r="U156"/>
      <c r="V156"/>
      <c r="W156"/>
      <c r="X156"/>
      <c r="Z156"/>
      <c r="AA156"/>
    </row>
    <row r="157" spans="2:27">
      <c r="B157" s="249" t="s">
        <v>501</v>
      </c>
      <c r="C157" s="250" t="s">
        <v>282</v>
      </c>
      <c r="D157" s="250" t="s">
        <v>502</v>
      </c>
      <c r="E157" s="251">
        <v>1</v>
      </c>
      <c r="F157" s="251" t="s">
        <v>281</v>
      </c>
      <c r="G157" s="250">
        <v>6926</v>
      </c>
      <c r="H157" s="250">
        <v>3738</v>
      </c>
      <c r="I157" s="250">
        <v>11418</v>
      </c>
      <c r="J157" s="252">
        <v>-3.6400000000000002E-2</v>
      </c>
      <c r="K157" s="250">
        <v>6348</v>
      </c>
      <c r="L157" s="250">
        <v>3359</v>
      </c>
      <c r="M157" s="250">
        <v>10599</v>
      </c>
      <c r="N157" s="250">
        <v>578</v>
      </c>
      <c r="O157" s="250">
        <v>379</v>
      </c>
      <c r="P157" s="250">
        <v>819</v>
      </c>
      <c r="Q157" s="253">
        <v>420165</v>
      </c>
      <c r="R157" s="254">
        <v>1.3756500482559204</v>
      </c>
      <c r="S157" s="254">
        <v>0.90202659368515015</v>
      </c>
      <c r="T157" s="255">
        <v>1.9492342472076416</v>
      </c>
    </row>
    <row r="158" spans="2:27">
      <c r="B158" s="249" t="s">
        <v>501</v>
      </c>
      <c r="C158" s="250" t="s">
        <v>282</v>
      </c>
      <c r="D158" s="250" t="s">
        <v>502</v>
      </c>
      <c r="E158" s="251">
        <v>2</v>
      </c>
      <c r="F158" s="251" t="s">
        <v>281</v>
      </c>
      <c r="G158" s="250">
        <v>6926</v>
      </c>
      <c r="H158" s="250">
        <v>3738</v>
      </c>
      <c r="I158" s="250">
        <v>11418</v>
      </c>
      <c r="J158" s="252">
        <v>-3.6400000000000002E-2</v>
      </c>
      <c r="K158" s="250">
        <v>6146</v>
      </c>
      <c r="L158" s="250">
        <v>3251</v>
      </c>
      <c r="M158" s="250">
        <v>10222</v>
      </c>
      <c r="N158" s="250">
        <v>780</v>
      </c>
      <c r="O158" s="250">
        <v>487</v>
      </c>
      <c r="P158" s="250">
        <v>1196</v>
      </c>
      <c r="Q158" s="253">
        <v>188719</v>
      </c>
      <c r="R158" s="254">
        <v>4.1331291198730469</v>
      </c>
      <c r="S158" s="254">
        <v>2.5805563926696777</v>
      </c>
      <c r="T158" s="255">
        <v>6.3374648094177246</v>
      </c>
    </row>
    <row r="159" spans="2:27">
      <c r="B159" s="249" t="s">
        <v>501</v>
      </c>
      <c r="C159" s="250" t="s">
        <v>282</v>
      </c>
      <c r="D159" s="250" t="s">
        <v>502</v>
      </c>
      <c r="E159" s="251">
        <v>3</v>
      </c>
      <c r="F159" s="251" t="s">
        <v>281</v>
      </c>
      <c r="G159" s="250">
        <v>6926</v>
      </c>
      <c r="H159" s="250">
        <v>3738</v>
      </c>
      <c r="I159" s="250">
        <v>11418</v>
      </c>
      <c r="J159" s="252">
        <v>-3.6400000000000002E-2</v>
      </c>
      <c r="K159" s="250">
        <v>5925</v>
      </c>
      <c r="L159" s="250">
        <v>3147</v>
      </c>
      <c r="M159" s="250">
        <v>9873</v>
      </c>
      <c r="N159" s="250">
        <v>1001</v>
      </c>
      <c r="O159" s="250">
        <v>591</v>
      </c>
      <c r="P159" s="250">
        <v>1545</v>
      </c>
      <c r="Q159" s="253">
        <v>155920</v>
      </c>
      <c r="R159" s="254">
        <v>6.4199590682983398</v>
      </c>
      <c r="S159" s="254">
        <v>3.7904052734375</v>
      </c>
      <c r="T159" s="255">
        <v>9.9089279174804688</v>
      </c>
    </row>
    <row r="160" spans="2:27">
      <c r="B160" s="249" t="s">
        <v>501</v>
      </c>
      <c r="C160" s="250" t="s">
        <v>282</v>
      </c>
      <c r="D160" s="250" t="s">
        <v>502</v>
      </c>
      <c r="E160" s="251">
        <v>4</v>
      </c>
      <c r="F160" s="251" t="s">
        <v>281</v>
      </c>
      <c r="G160" s="250">
        <v>6926</v>
      </c>
      <c r="H160" s="250">
        <v>3738</v>
      </c>
      <c r="I160" s="250">
        <v>11418</v>
      </c>
      <c r="J160" s="252">
        <v>-3.6400000000000002E-2</v>
      </c>
      <c r="K160" s="250">
        <v>5721</v>
      </c>
      <c r="L160" s="250">
        <v>3039</v>
      </c>
      <c r="M160" s="250">
        <v>9521</v>
      </c>
      <c r="N160" s="250">
        <v>1205</v>
      </c>
      <c r="O160" s="250">
        <v>699</v>
      </c>
      <c r="P160" s="250">
        <v>1897</v>
      </c>
      <c r="Q160" s="253">
        <v>155920</v>
      </c>
      <c r="R160" s="254">
        <v>7.7283225059509277</v>
      </c>
      <c r="S160" s="254">
        <v>4.4830684661865234</v>
      </c>
      <c r="T160" s="255">
        <v>12.166495323181152</v>
      </c>
    </row>
    <row r="161" spans="2:20">
      <c r="B161" s="249" t="s">
        <v>501</v>
      </c>
      <c r="C161" s="250" t="s">
        <v>282</v>
      </c>
      <c r="D161" s="250" t="s">
        <v>502</v>
      </c>
      <c r="E161" s="251">
        <v>5</v>
      </c>
      <c r="F161" s="251" t="s">
        <v>281</v>
      </c>
      <c r="G161" s="250">
        <v>6926</v>
      </c>
      <c r="H161" s="250">
        <v>3738</v>
      </c>
      <c r="I161" s="250">
        <v>11418</v>
      </c>
      <c r="J161" s="252">
        <v>-3.6400000000000002E-2</v>
      </c>
      <c r="K161" s="250">
        <v>5498</v>
      </c>
      <c r="L161" s="250">
        <v>2919</v>
      </c>
      <c r="M161" s="250">
        <v>9157</v>
      </c>
      <c r="N161" s="250">
        <v>1428</v>
      </c>
      <c r="O161" s="250">
        <v>819</v>
      </c>
      <c r="P161" s="250">
        <v>2261</v>
      </c>
      <c r="Q161" s="253">
        <v>155920</v>
      </c>
      <c r="R161" s="254">
        <v>9.1585426330566406</v>
      </c>
      <c r="S161" s="254">
        <v>5.2526936531066895</v>
      </c>
      <c r="T161" s="255">
        <v>14.501026153564453</v>
      </c>
    </row>
    <row r="162" spans="2:20">
      <c r="B162" s="249" t="s">
        <v>501</v>
      </c>
      <c r="C162" s="250" t="s">
        <v>282</v>
      </c>
      <c r="D162" s="250" t="s">
        <v>201</v>
      </c>
      <c r="E162" s="251">
        <v>6</v>
      </c>
      <c r="F162" s="251" t="s">
        <v>281</v>
      </c>
      <c r="G162" s="250">
        <v>6926</v>
      </c>
      <c r="H162" s="250">
        <v>3738</v>
      </c>
      <c r="I162" s="250">
        <v>11418</v>
      </c>
      <c r="J162" s="252">
        <v>-9.1000000000000004E-3</v>
      </c>
      <c r="K162" s="250">
        <v>5458</v>
      </c>
      <c r="L162" s="250">
        <v>2892</v>
      </c>
      <c r="M162" s="250">
        <v>9089</v>
      </c>
      <c r="N162" s="250">
        <v>1468</v>
      </c>
      <c r="O162" s="250">
        <v>846</v>
      </c>
      <c r="P162" s="250">
        <v>2329</v>
      </c>
      <c r="Q162" s="253">
        <v>188016</v>
      </c>
      <c r="R162" s="254">
        <v>7.8078460693359375</v>
      </c>
      <c r="S162" s="254">
        <v>4.4996170997619629</v>
      </c>
      <c r="T162" s="255">
        <v>12.38724422454834</v>
      </c>
    </row>
    <row r="163" spans="2:20">
      <c r="B163" s="249" t="s">
        <v>501</v>
      </c>
      <c r="C163" s="250" t="s">
        <v>282</v>
      </c>
      <c r="D163" s="250" t="s">
        <v>201</v>
      </c>
      <c r="E163" s="251">
        <v>7</v>
      </c>
      <c r="F163" s="251" t="s">
        <v>281</v>
      </c>
      <c r="G163" s="250">
        <v>6926</v>
      </c>
      <c r="H163" s="250">
        <v>3738</v>
      </c>
      <c r="I163" s="250">
        <v>11418</v>
      </c>
      <c r="J163" s="252">
        <v>-9.1000000000000004E-3</v>
      </c>
      <c r="K163" s="250">
        <v>5405</v>
      </c>
      <c r="L163" s="250">
        <v>2872</v>
      </c>
      <c r="M163" s="250">
        <v>9011</v>
      </c>
      <c r="N163" s="250">
        <v>1521</v>
      </c>
      <c r="O163" s="250">
        <v>866</v>
      </c>
      <c r="P163" s="250">
        <v>2407</v>
      </c>
      <c r="Q163" s="253">
        <v>143207</v>
      </c>
      <c r="R163" s="254">
        <v>10.620988845825195</v>
      </c>
      <c r="S163" s="254">
        <v>6.0471906661987305</v>
      </c>
      <c r="T163" s="255">
        <v>16.807836532592773</v>
      </c>
    </row>
    <row r="164" spans="2:20">
      <c r="B164" s="249" t="s">
        <v>501</v>
      </c>
      <c r="C164" s="250" t="s">
        <v>282</v>
      </c>
      <c r="D164" s="250" t="s">
        <v>201</v>
      </c>
      <c r="E164" s="251">
        <v>8</v>
      </c>
      <c r="F164" s="251" t="s">
        <v>281</v>
      </c>
      <c r="G164" s="250">
        <v>6926</v>
      </c>
      <c r="H164" s="250">
        <v>3738</v>
      </c>
      <c r="I164" s="250">
        <v>11418</v>
      </c>
      <c r="J164" s="252">
        <v>-9.1000000000000004E-3</v>
      </c>
      <c r="K164" s="250">
        <v>5369</v>
      </c>
      <c r="L164" s="250">
        <v>2854</v>
      </c>
      <c r="M164" s="250">
        <v>8927</v>
      </c>
      <c r="N164" s="250">
        <v>1557</v>
      </c>
      <c r="O164" s="250">
        <v>884</v>
      </c>
      <c r="P164" s="250">
        <v>2491</v>
      </c>
      <c r="Q164" s="253">
        <v>143207</v>
      </c>
      <c r="R164" s="254">
        <v>10.872373580932617</v>
      </c>
      <c r="S164" s="254">
        <v>6.1728825569152832</v>
      </c>
      <c r="T164" s="255">
        <v>17.394401550292969</v>
      </c>
    </row>
    <row r="165" spans="2:20">
      <c r="B165" s="249" t="s">
        <v>501</v>
      </c>
      <c r="C165" s="250" t="s">
        <v>282</v>
      </c>
      <c r="D165" s="250" t="s">
        <v>201</v>
      </c>
      <c r="E165" s="251">
        <v>9</v>
      </c>
      <c r="F165" s="251" t="s">
        <v>281</v>
      </c>
      <c r="G165" s="250">
        <v>6926</v>
      </c>
      <c r="H165" s="250">
        <v>3738</v>
      </c>
      <c r="I165" s="250">
        <v>11418</v>
      </c>
      <c r="J165" s="252">
        <v>-9.1000000000000004E-3</v>
      </c>
      <c r="K165" s="250">
        <v>5334</v>
      </c>
      <c r="L165" s="250">
        <v>2833</v>
      </c>
      <c r="M165" s="250">
        <v>8872</v>
      </c>
      <c r="N165" s="250">
        <v>1592</v>
      </c>
      <c r="O165" s="250">
        <v>905</v>
      </c>
      <c r="P165" s="250">
        <v>2546</v>
      </c>
      <c r="Q165" s="253">
        <v>143207</v>
      </c>
      <c r="R165" s="254">
        <v>11.116774559020996</v>
      </c>
      <c r="S165" s="254">
        <v>6.3195233345031738</v>
      </c>
      <c r="T165" s="255">
        <v>17.778459548950195</v>
      </c>
    </row>
    <row r="166" spans="2:20">
      <c r="B166" s="249" t="s">
        <v>501</v>
      </c>
      <c r="C166" s="250" t="s">
        <v>282</v>
      </c>
      <c r="D166" s="250" t="s">
        <v>201</v>
      </c>
      <c r="E166" s="251">
        <v>10</v>
      </c>
      <c r="F166" s="251" t="s">
        <v>281</v>
      </c>
      <c r="G166" s="250">
        <v>6926</v>
      </c>
      <c r="H166" s="250">
        <v>3738</v>
      </c>
      <c r="I166" s="250">
        <v>11418</v>
      </c>
      <c r="J166" s="252">
        <v>-9.1000000000000004E-3</v>
      </c>
      <c r="K166" s="250">
        <v>5253</v>
      </c>
      <c r="L166" s="250">
        <v>2781</v>
      </c>
      <c r="M166" s="250">
        <v>8751</v>
      </c>
      <c r="N166" s="250">
        <v>1673</v>
      </c>
      <c r="O166" s="250">
        <v>957</v>
      </c>
      <c r="P166" s="250">
        <v>2667</v>
      </c>
      <c r="Q166" s="253">
        <v>143207</v>
      </c>
      <c r="R166" s="254">
        <v>11.682390213012695</v>
      </c>
      <c r="S166" s="254">
        <v>6.6826343536376953</v>
      </c>
      <c r="T166" s="255">
        <v>18.623392105102539</v>
      </c>
    </row>
    <row r="167" spans="2:20">
      <c r="B167" s="249" t="s">
        <v>501</v>
      </c>
      <c r="C167" s="250" t="s">
        <v>282</v>
      </c>
      <c r="D167" s="250" t="s">
        <v>201</v>
      </c>
      <c r="E167" s="251">
        <v>11</v>
      </c>
      <c r="F167" s="251" t="s">
        <v>281</v>
      </c>
      <c r="G167" s="250">
        <v>6926</v>
      </c>
      <c r="H167" s="250">
        <v>3738</v>
      </c>
      <c r="I167" s="250">
        <v>11418</v>
      </c>
      <c r="J167" s="252">
        <v>-9.1000000000000004E-3</v>
      </c>
      <c r="K167" s="250">
        <v>5210</v>
      </c>
      <c r="L167" s="250">
        <v>2759</v>
      </c>
      <c r="M167" s="250">
        <v>8682</v>
      </c>
      <c r="N167" s="250">
        <v>1716</v>
      </c>
      <c r="O167" s="250">
        <v>979</v>
      </c>
      <c r="P167" s="250">
        <v>2736</v>
      </c>
      <c r="Q167" s="253">
        <v>188016</v>
      </c>
      <c r="R167" s="254">
        <v>9.1268825531005859</v>
      </c>
      <c r="S167" s="254">
        <v>5.2070035934448242</v>
      </c>
      <c r="T167" s="255">
        <v>14.551953315734863</v>
      </c>
    </row>
    <row r="168" spans="2:20">
      <c r="B168" s="249" t="s">
        <v>501</v>
      </c>
      <c r="C168" s="250" t="s">
        <v>282</v>
      </c>
      <c r="D168" s="250" t="s">
        <v>201</v>
      </c>
      <c r="E168" s="251">
        <v>12</v>
      </c>
      <c r="F168" s="251" t="s">
        <v>281</v>
      </c>
      <c r="G168" s="250">
        <v>6926</v>
      </c>
      <c r="H168" s="250">
        <v>3738</v>
      </c>
      <c r="I168" s="250">
        <v>11418</v>
      </c>
      <c r="J168" s="252">
        <v>-9.1000000000000004E-3</v>
      </c>
      <c r="K168" s="250">
        <v>5171</v>
      </c>
      <c r="L168" s="250">
        <v>2742</v>
      </c>
      <c r="M168" s="250">
        <v>8598</v>
      </c>
      <c r="N168" s="250">
        <v>1755</v>
      </c>
      <c r="O168" s="250">
        <v>996</v>
      </c>
      <c r="P168" s="250">
        <v>2820</v>
      </c>
      <c r="Q168" s="253">
        <v>143207</v>
      </c>
      <c r="R168" s="254">
        <v>12.254987716674805</v>
      </c>
      <c r="S168" s="254">
        <v>6.9549674987792969</v>
      </c>
      <c r="T168" s="255">
        <v>19.691774368286133</v>
      </c>
    </row>
    <row r="169" spans="2:20">
      <c r="B169" s="249" t="s">
        <v>501</v>
      </c>
      <c r="C169" s="250" t="s">
        <v>282</v>
      </c>
      <c r="D169" s="250" t="s">
        <v>201</v>
      </c>
      <c r="E169" s="251">
        <v>13</v>
      </c>
      <c r="F169" s="251" t="s">
        <v>281</v>
      </c>
      <c r="G169" s="250">
        <v>6926</v>
      </c>
      <c r="H169" s="250">
        <v>3738</v>
      </c>
      <c r="I169" s="250">
        <v>11418</v>
      </c>
      <c r="J169" s="252">
        <v>-9.1000000000000004E-3</v>
      </c>
      <c r="K169" s="250">
        <v>5108</v>
      </c>
      <c r="L169" s="250">
        <v>2715</v>
      </c>
      <c r="M169" s="250">
        <v>8503</v>
      </c>
      <c r="N169" s="250">
        <v>1818</v>
      </c>
      <c r="O169" s="250">
        <v>1023</v>
      </c>
      <c r="P169" s="250">
        <v>2915</v>
      </c>
      <c r="Q169" s="253">
        <v>143207</v>
      </c>
      <c r="R169" s="254">
        <v>12.694910049438477</v>
      </c>
      <c r="S169" s="254">
        <v>7.1435055732727051</v>
      </c>
      <c r="T169" s="255">
        <v>20.35515022277832</v>
      </c>
    </row>
    <row r="170" spans="2:20">
      <c r="B170" s="249" t="s">
        <v>501</v>
      </c>
      <c r="C170" s="250" t="s">
        <v>282</v>
      </c>
      <c r="D170" s="250" t="s">
        <v>201</v>
      </c>
      <c r="E170" s="251">
        <v>14</v>
      </c>
      <c r="F170" s="251" t="s">
        <v>281</v>
      </c>
      <c r="G170" s="250">
        <v>6926</v>
      </c>
      <c r="H170" s="250">
        <v>3738</v>
      </c>
      <c r="I170" s="250">
        <v>11418</v>
      </c>
      <c r="J170" s="252">
        <v>-9.1000000000000004E-3</v>
      </c>
      <c r="K170" s="250">
        <v>5064</v>
      </c>
      <c r="L170" s="250">
        <v>2689</v>
      </c>
      <c r="M170" s="250">
        <v>8441</v>
      </c>
      <c r="N170" s="250">
        <v>1862</v>
      </c>
      <c r="O170" s="250">
        <v>1049</v>
      </c>
      <c r="P170" s="250">
        <v>2977</v>
      </c>
      <c r="Q170" s="253">
        <v>143207</v>
      </c>
      <c r="R170" s="254">
        <v>13.002158164978027</v>
      </c>
      <c r="S170" s="254">
        <v>7.3250613212585449</v>
      </c>
      <c r="T170" s="255">
        <v>20.788089752197266</v>
      </c>
    </row>
    <row r="171" spans="2:20">
      <c r="B171" s="256" t="s">
        <v>501</v>
      </c>
      <c r="C171" s="257" t="s">
        <v>282</v>
      </c>
      <c r="D171" s="257" t="s">
        <v>201</v>
      </c>
      <c r="E171" s="258">
        <v>15</v>
      </c>
      <c r="F171" s="258" t="s">
        <v>281</v>
      </c>
      <c r="G171" s="257">
        <v>6926</v>
      </c>
      <c r="H171" s="257">
        <v>3738</v>
      </c>
      <c r="I171" s="257">
        <v>11418</v>
      </c>
      <c r="J171" s="259">
        <v>-9.1000000000000004E-3</v>
      </c>
      <c r="K171" s="257">
        <v>5025</v>
      </c>
      <c r="L171" s="257">
        <v>2670</v>
      </c>
      <c r="M171" s="257">
        <v>8368</v>
      </c>
      <c r="N171" s="257">
        <v>1901</v>
      </c>
      <c r="O171" s="257">
        <v>1068</v>
      </c>
      <c r="P171" s="257">
        <v>3050</v>
      </c>
      <c r="Q171" s="260">
        <v>143207</v>
      </c>
      <c r="R171" s="261">
        <v>13.274490356445313</v>
      </c>
      <c r="S171" s="261">
        <v>7.4577360153198242</v>
      </c>
      <c r="T171" s="262">
        <v>21.297842025756836</v>
      </c>
    </row>
    <row r="172" spans="2:20">
      <c r="B172" s="249" t="s">
        <v>501</v>
      </c>
      <c r="C172" s="250" t="s">
        <v>77</v>
      </c>
      <c r="D172" s="250" t="s">
        <v>502</v>
      </c>
      <c r="E172" s="251">
        <v>1</v>
      </c>
      <c r="F172" s="251" t="s">
        <v>281</v>
      </c>
      <c r="G172" s="250">
        <v>6926</v>
      </c>
      <c r="H172" s="250">
        <v>3738</v>
      </c>
      <c r="I172" s="250">
        <v>11418</v>
      </c>
      <c r="J172" s="252">
        <v>-1.0800000000000001E-2</v>
      </c>
      <c r="K172" s="250">
        <v>6472</v>
      </c>
      <c r="L172" s="250">
        <v>3427</v>
      </c>
      <c r="M172" s="250">
        <v>10817</v>
      </c>
      <c r="N172" s="250">
        <v>454</v>
      </c>
      <c r="O172" s="250">
        <v>311</v>
      </c>
      <c r="P172" s="250">
        <v>601</v>
      </c>
      <c r="Q172" s="253">
        <v>291952</v>
      </c>
      <c r="R172" s="254">
        <v>1.5550501346588135</v>
      </c>
      <c r="S172" s="254">
        <v>1.0652436017990112</v>
      </c>
      <c r="T172" s="255">
        <v>2.0585575103759766</v>
      </c>
    </row>
    <row r="173" spans="2:20">
      <c r="B173" s="249" t="s">
        <v>501</v>
      </c>
      <c r="C173" s="250" t="s">
        <v>77</v>
      </c>
      <c r="D173" s="250" t="s">
        <v>502</v>
      </c>
      <c r="E173" s="251">
        <v>2</v>
      </c>
      <c r="F173" s="251" t="s">
        <v>281</v>
      </c>
      <c r="G173" s="250">
        <v>6926</v>
      </c>
      <c r="H173" s="250">
        <v>3738</v>
      </c>
      <c r="I173" s="250">
        <v>11418</v>
      </c>
      <c r="J173" s="252">
        <v>-1.0800000000000001E-2</v>
      </c>
      <c r="K173" s="250">
        <v>6421</v>
      </c>
      <c r="L173" s="250">
        <v>3404</v>
      </c>
      <c r="M173" s="250">
        <v>10734</v>
      </c>
      <c r="N173" s="250">
        <v>505</v>
      </c>
      <c r="O173" s="250">
        <v>334</v>
      </c>
      <c r="P173" s="250">
        <v>684</v>
      </c>
      <c r="Q173" s="253">
        <v>503800</v>
      </c>
      <c r="R173" s="254">
        <v>1.0023819208145142</v>
      </c>
      <c r="S173" s="254">
        <v>0.66296148300170898</v>
      </c>
      <c r="T173" s="255">
        <v>1.3576816320419312</v>
      </c>
    </row>
    <row r="174" spans="2:20">
      <c r="B174" s="249" t="s">
        <v>501</v>
      </c>
      <c r="C174" s="250" t="s">
        <v>77</v>
      </c>
      <c r="D174" s="250" t="s">
        <v>502</v>
      </c>
      <c r="E174" s="251">
        <v>3</v>
      </c>
      <c r="F174" s="251" t="s">
        <v>281</v>
      </c>
      <c r="G174" s="250">
        <v>6926</v>
      </c>
      <c r="H174" s="250">
        <v>3738</v>
      </c>
      <c r="I174" s="250">
        <v>11418</v>
      </c>
      <c r="J174" s="252">
        <v>-1.0800000000000001E-2</v>
      </c>
      <c r="K174" s="250">
        <v>6371</v>
      </c>
      <c r="L174" s="250">
        <v>3371</v>
      </c>
      <c r="M174" s="250">
        <v>10645</v>
      </c>
      <c r="N174" s="250">
        <v>555</v>
      </c>
      <c r="O174" s="250">
        <v>367</v>
      </c>
      <c r="P174" s="250">
        <v>773</v>
      </c>
      <c r="Q174" s="253">
        <v>336131</v>
      </c>
      <c r="R174" s="254">
        <v>1.651141881942749</v>
      </c>
      <c r="S174" s="254">
        <v>1.0918362140655518</v>
      </c>
      <c r="T174" s="255">
        <v>2.2996985912322998</v>
      </c>
    </row>
    <row r="175" spans="2:20">
      <c r="B175" s="249" t="s">
        <v>501</v>
      </c>
      <c r="C175" s="250" t="s">
        <v>77</v>
      </c>
      <c r="D175" s="250" t="s">
        <v>502</v>
      </c>
      <c r="E175" s="251">
        <v>4</v>
      </c>
      <c r="F175" s="251" t="s">
        <v>281</v>
      </c>
      <c r="G175" s="250">
        <v>6926</v>
      </c>
      <c r="H175" s="250">
        <v>3738</v>
      </c>
      <c r="I175" s="250">
        <v>11418</v>
      </c>
      <c r="J175" s="252">
        <v>-1.0800000000000001E-2</v>
      </c>
      <c r="K175" s="250">
        <v>6312</v>
      </c>
      <c r="L175" s="250">
        <v>3344</v>
      </c>
      <c r="M175" s="250">
        <v>10547</v>
      </c>
      <c r="N175" s="250">
        <v>614</v>
      </c>
      <c r="O175" s="250">
        <v>394</v>
      </c>
      <c r="P175" s="250">
        <v>871</v>
      </c>
      <c r="Q175" s="253">
        <v>353502</v>
      </c>
      <c r="R175" s="254">
        <v>1.7369066476821899</v>
      </c>
      <c r="S175" s="254">
        <v>1.1145622730255127</v>
      </c>
      <c r="T175" s="255">
        <v>2.4639182090759277</v>
      </c>
    </row>
    <row r="176" spans="2:20">
      <c r="B176" s="249" t="s">
        <v>501</v>
      </c>
      <c r="C176" s="250" t="s">
        <v>77</v>
      </c>
      <c r="D176" s="250" t="s">
        <v>502</v>
      </c>
      <c r="E176" s="251">
        <v>5</v>
      </c>
      <c r="F176" s="251" t="s">
        <v>281</v>
      </c>
      <c r="G176" s="250">
        <v>6926</v>
      </c>
      <c r="H176" s="250">
        <v>3738</v>
      </c>
      <c r="I176" s="250">
        <v>11418</v>
      </c>
      <c r="J176" s="252">
        <v>-1.0800000000000001E-2</v>
      </c>
      <c r="K176" s="250">
        <v>6251</v>
      </c>
      <c r="L176" s="250">
        <v>3312</v>
      </c>
      <c r="M176" s="250">
        <v>10433</v>
      </c>
      <c r="N176" s="250">
        <v>675</v>
      </c>
      <c r="O176" s="250">
        <v>426</v>
      </c>
      <c r="P176" s="250">
        <v>985</v>
      </c>
      <c r="Q176" s="253">
        <v>336131</v>
      </c>
      <c r="R176" s="254">
        <v>2.0081455707550049</v>
      </c>
      <c r="S176" s="254">
        <v>1.2673629522323608</v>
      </c>
      <c r="T176" s="255">
        <v>2.9304051399230957</v>
      </c>
    </row>
    <row r="177" spans="2:20">
      <c r="B177" s="249" t="s">
        <v>501</v>
      </c>
      <c r="C177" s="250" t="s">
        <v>77</v>
      </c>
      <c r="D177" s="250" t="s">
        <v>201</v>
      </c>
      <c r="E177" s="251">
        <v>6</v>
      </c>
      <c r="F177" s="251" t="s">
        <v>281</v>
      </c>
      <c r="G177" s="250">
        <v>6926</v>
      </c>
      <c r="H177" s="250">
        <v>3738</v>
      </c>
      <c r="I177" s="250">
        <v>11418</v>
      </c>
      <c r="J177" s="252">
        <v>-8.0000000000000004E-4</v>
      </c>
      <c r="K177" s="250">
        <v>6250</v>
      </c>
      <c r="L177" s="250">
        <v>3310</v>
      </c>
      <c r="M177" s="250">
        <v>10430</v>
      </c>
      <c r="N177" s="250">
        <v>676</v>
      </c>
      <c r="O177" s="250">
        <v>428</v>
      </c>
      <c r="P177" s="250">
        <v>988</v>
      </c>
      <c r="Q177" s="253">
        <v>231478</v>
      </c>
      <c r="R177" s="254">
        <v>2.9203641414642334</v>
      </c>
      <c r="S177" s="254">
        <v>1.8489878177642822</v>
      </c>
      <c r="T177" s="255">
        <v>4.2682242393493652</v>
      </c>
    </row>
    <row r="178" spans="2:20">
      <c r="B178" s="249" t="s">
        <v>501</v>
      </c>
      <c r="C178" s="250" t="s">
        <v>77</v>
      </c>
      <c r="D178" s="250" t="s">
        <v>201</v>
      </c>
      <c r="E178" s="251">
        <v>7</v>
      </c>
      <c r="F178" s="251" t="s">
        <v>281</v>
      </c>
      <c r="G178" s="250">
        <v>6926</v>
      </c>
      <c r="H178" s="250">
        <v>3738</v>
      </c>
      <c r="I178" s="250">
        <v>11418</v>
      </c>
      <c r="J178" s="252">
        <v>-8.0000000000000004E-4</v>
      </c>
      <c r="K178" s="250">
        <v>6246</v>
      </c>
      <c r="L178" s="250">
        <v>3308</v>
      </c>
      <c r="M178" s="250">
        <v>10421</v>
      </c>
      <c r="N178" s="250">
        <v>680</v>
      </c>
      <c r="O178" s="250">
        <v>430</v>
      </c>
      <c r="P178" s="250">
        <v>997</v>
      </c>
      <c r="Q178" s="253">
        <v>177294</v>
      </c>
      <c r="R178" s="254">
        <v>3.8354370594024658</v>
      </c>
      <c r="S178" s="254">
        <v>2.4253499507904053</v>
      </c>
      <c r="T178" s="255">
        <v>5.6234278678894043</v>
      </c>
    </row>
    <row r="179" spans="2:20">
      <c r="B179" s="249" t="s">
        <v>501</v>
      </c>
      <c r="C179" s="250" t="s">
        <v>77</v>
      </c>
      <c r="D179" s="250" t="s">
        <v>201</v>
      </c>
      <c r="E179" s="251">
        <v>8</v>
      </c>
      <c r="F179" s="251" t="s">
        <v>281</v>
      </c>
      <c r="G179" s="250">
        <v>6926</v>
      </c>
      <c r="H179" s="250">
        <v>3738</v>
      </c>
      <c r="I179" s="250">
        <v>11418</v>
      </c>
      <c r="J179" s="252">
        <v>-8.0000000000000004E-4</v>
      </c>
      <c r="K179" s="250">
        <v>6242</v>
      </c>
      <c r="L179" s="250">
        <v>3306</v>
      </c>
      <c r="M179" s="250">
        <v>10416</v>
      </c>
      <c r="N179" s="250">
        <v>684</v>
      </c>
      <c r="O179" s="250">
        <v>432</v>
      </c>
      <c r="P179" s="250">
        <v>1002</v>
      </c>
      <c r="Q179" s="253">
        <v>159923</v>
      </c>
      <c r="R179" s="254">
        <v>4.2770586013793945</v>
      </c>
      <c r="S179" s="254">
        <v>2.7012999057769775</v>
      </c>
      <c r="T179" s="255">
        <v>6.2655153274536133</v>
      </c>
    </row>
    <row r="180" spans="2:20">
      <c r="B180" s="249" t="s">
        <v>501</v>
      </c>
      <c r="C180" s="250" t="s">
        <v>77</v>
      </c>
      <c r="D180" s="250" t="s">
        <v>201</v>
      </c>
      <c r="E180" s="251">
        <v>9</v>
      </c>
      <c r="F180" s="251" t="s">
        <v>281</v>
      </c>
      <c r="G180" s="250">
        <v>6926</v>
      </c>
      <c r="H180" s="250">
        <v>3738</v>
      </c>
      <c r="I180" s="250">
        <v>11418</v>
      </c>
      <c r="J180" s="252">
        <v>-8.0000000000000004E-4</v>
      </c>
      <c r="K180" s="250">
        <v>6231</v>
      </c>
      <c r="L180" s="250">
        <v>3300</v>
      </c>
      <c r="M180" s="250">
        <v>10403</v>
      </c>
      <c r="N180" s="250">
        <v>695</v>
      </c>
      <c r="O180" s="250">
        <v>438</v>
      </c>
      <c r="P180" s="250">
        <v>1015</v>
      </c>
      <c r="Q180" s="253">
        <v>159923</v>
      </c>
      <c r="R180" s="254">
        <v>4.3458414077758789</v>
      </c>
      <c r="S180" s="254">
        <v>2.7388181686401367</v>
      </c>
      <c r="T180" s="255">
        <v>6.3468046188354492</v>
      </c>
    </row>
    <row r="181" spans="2:20">
      <c r="B181" s="249" t="s">
        <v>501</v>
      </c>
      <c r="C181" s="250" t="s">
        <v>77</v>
      </c>
      <c r="D181" s="250" t="s">
        <v>201</v>
      </c>
      <c r="E181" s="251">
        <v>10</v>
      </c>
      <c r="F181" s="251" t="s">
        <v>281</v>
      </c>
      <c r="G181" s="250">
        <v>6926</v>
      </c>
      <c r="H181" s="250">
        <v>3738</v>
      </c>
      <c r="I181" s="250">
        <v>11418</v>
      </c>
      <c r="J181" s="252">
        <v>-8.0000000000000004E-4</v>
      </c>
      <c r="K181" s="250">
        <v>6227</v>
      </c>
      <c r="L181" s="250">
        <v>3299</v>
      </c>
      <c r="M181" s="250">
        <v>10395</v>
      </c>
      <c r="N181" s="250">
        <v>699</v>
      </c>
      <c r="O181" s="250">
        <v>439</v>
      </c>
      <c r="P181" s="250">
        <v>1023</v>
      </c>
      <c r="Q181" s="253">
        <v>177294</v>
      </c>
      <c r="R181" s="254">
        <v>3.9426038265228271</v>
      </c>
      <c r="S181" s="254">
        <v>2.4761130809783936</v>
      </c>
      <c r="T181" s="255">
        <v>5.7700772285461426</v>
      </c>
    </row>
    <row r="182" spans="2:20">
      <c r="B182" s="249" t="s">
        <v>501</v>
      </c>
      <c r="C182" s="250" t="s">
        <v>77</v>
      </c>
      <c r="D182" s="250" t="s">
        <v>201</v>
      </c>
      <c r="E182" s="251">
        <v>11</v>
      </c>
      <c r="F182" s="251" t="s">
        <v>281</v>
      </c>
      <c r="G182" s="250">
        <v>6926</v>
      </c>
      <c r="H182" s="250">
        <v>3738</v>
      </c>
      <c r="I182" s="250">
        <v>11418</v>
      </c>
      <c r="J182" s="252">
        <v>-8.0000000000000004E-4</v>
      </c>
      <c r="K182" s="250">
        <v>6224</v>
      </c>
      <c r="L182" s="250">
        <v>3297</v>
      </c>
      <c r="M182" s="250">
        <v>10390</v>
      </c>
      <c r="N182" s="250">
        <v>702</v>
      </c>
      <c r="O182" s="250">
        <v>441</v>
      </c>
      <c r="P182" s="250">
        <v>1028</v>
      </c>
      <c r="Q182" s="253">
        <v>231478</v>
      </c>
      <c r="R182" s="254">
        <v>3.0326857566833496</v>
      </c>
      <c r="S182" s="254">
        <v>1.9051486253738403</v>
      </c>
      <c r="T182" s="255">
        <v>4.4410266876220703</v>
      </c>
    </row>
    <row r="183" spans="2:20">
      <c r="B183" s="249" t="s">
        <v>501</v>
      </c>
      <c r="C183" s="250" t="s">
        <v>77</v>
      </c>
      <c r="D183" s="250" t="s">
        <v>201</v>
      </c>
      <c r="E183" s="251">
        <v>12</v>
      </c>
      <c r="F183" s="251" t="s">
        <v>281</v>
      </c>
      <c r="G183" s="250">
        <v>6926</v>
      </c>
      <c r="H183" s="250">
        <v>3738</v>
      </c>
      <c r="I183" s="250">
        <v>11418</v>
      </c>
      <c r="J183" s="252">
        <v>-8.0000000000000004E-4</v>
      </c>
      <c r="K183" s="250">
        <v>6221</v>
      </c>
      <c r="L183" s="250">
        <v>3295</v>
      </c>
      <c r="M183" s="250">
        <v>10386</v>
      </c>
      <c r="N183" s="250">
        <v>705</v>
      </c>
      <c r="O183" s="250">
        <v>443</v>
      </c>
      <c r="P183" s="250">
        <v>1032</v>
      </c>
      <c r="Q183" s="253">
        <v>159923</v>
      </c>
      <c r="R183" s="254">
        <v>4.4083714485168457</v>
      </c>
      <c r="S183" s="254">
        <v>2.770082950592041</v>
      </c>
      <c r="T183" s="255">
        <v>6.4531059265136719</v>
      </c>
    </row>
    <row r="184" spans="2:20">
      <c r="B184" s="249" t="s">
        <v>501</v>
      </c>
      <c r="C184" s="250" t="s">
        <v>77</v>
      </c>
      <c r="D184" s="250" t="s">
        <v>201</v>
      </c>
      <c r="E184" s="251">
        <v>13</v>
      </c>
      <c r="F184" s="251" t="s">
        <v>281</v>
      </c>
      <c r="G184" s="250">
        <v>6926</v>
      </c>
      <c r="H184" s="250">
        <v>3738</v>
      </c>
      <c r="I184" s="250">
        <v>11418</v>
      </c>
      <c r="J184" s="252">
        <v>-8.0000000000000004E-4</v>
      </c>
      <c r="K184" s="250">
        <v>6216</v>
      </c>
      <c r="L184" s="250">
        <v>3290</v>
      </c>
      <c r="M184" s="250">
        <v>10372</v>
      </c>
      <c r="N184" s="250">
        <v>710</v>
      </c>
      <c r="O184" s="250">
        <v>448</v>
      </c>
      <c r="P184" s="250">
        <v>1046</v>
      </c>
      <c r="Q184" s="253">
        <v>177294</v>
      </c>
      <c r="R184" s="254">
        <v>4.0046472549438477</v>
      </c>
      <c r="S184" s="254">
        <v>2.5268762111663818</v>
      </c>
      <c r="T184" s="255">
        <v>5.8998045921325684</v>
      </c>
    </row>
    <row r="185" spans="2:20">
      <c r="B185" s="249" t="s">
        <v>501</v>
      </c>
      <c r="C185" s="250" t="s">
        <v>77</v>
      </c>
      <c r="D185" s="250" t="s">
        <v>201</v>
      </c>
      <c r="E185" s="251">
        <v>14</v>
      </c>
      <c r="F185" s="251" t="s">
        <v>281</v>
      </c>
      <c r="G185" s="250">
        <v>6926</v>
      </c>
      <c r="H185" s="250">
        <v>3738</v>
      </c>
      <c r="I185" s="250">
        <v>11418</v>
      </c>
      <c r="J185" s="252">
        <v>-8.0000000000000004E-4</v>
      </c>
      <c r="K185" s="250">
        <v>6213</v>
      </c>
      <c r="L185" s="250">
        <v>3289</v>
      </c>
      <c r="M185" s="250">
        <v>10367</v>
      </c>
      <c r="N185" s="250">
        <v>713</v>
      </c>
      <c r="O185" s="250">
        <v>449</v>
      </c>
      <c r="P185" s="250">
        <v>1051</v>
      </c>
      <c r="Q185" s="253">
        <v>159923</v>
      </c>
      <c r="R185" s="254">
        <v>4.4583959579467773</v>
      </c>
      <c r="S185" s="254">
        <v>2.8076012134552002</v>
      </c>
      <c r="T185" s="255">
        <v>6.5719127655029297</v>
      </c>
    </row>
    <row r="186" spans="2:20">
      <c r="B186" s="256" t="s">
        <v>501</v>
      </c>
      <c r="C186" s="257" t="s">
        <v>77</v>
      </c>
      <c r="D186" s="257" t="s">
        <v>201</v>
      </c>
      <c r="E186" s="258">
        <v>15</v>
      </c>
      <c r="F186" s="258" t="s">
        <v>281</v>
      </c>
      <c r="G186" s="257">
        <v>6926</v>
      </c>
      <c r="H186" s="257">
        <v>3738</v>
      </c>
      <c r="I186" s="257">
        <v>11418</v>
      </c>
      <c r="J186" s="259">
        <v>-8.0000000000000004E-4</v>
      </c>
      <c r="K186" s="257">
        <v>6209</v>
      </c>
      <c r="L186" s="257">
        <v>3288</v>
      </c>
      <c r="M186" s="257">
        <v>10364</v>
      </c>
      <c r="N186" s="257">
        <v>717</v>
      </c>
      <c r="O186" s="257">
        <v>450</v>
      </c>
      <c r="P186" s="257">
        <v>1054</v>
      </c>
      <c r="Q186" s="260">
        <v>159923</v>
      </c>
      <c r="R186" s="261">
        <v>4.4834079742431641</v>
      </c>
      <c r="S186" s="261">
        <v>2.8138542175292969</v>
      </c>
      <c r="T186" s="262">
        <v>6.5906720161437988</v>
      </c>
    </row>
    <row r="187" spans="2:20">
      <c r="B187" s="249" t="s">
        <v>501</v>
      </c>
      <c r="C187" s="250" t="s">
        <v>121</v>
      </c>
      <c r="D187" s="250" t="s">
        <v>502</v>
      </c>
      <c r="E187" s="251">
        <v>1</v>
      </c>
      <c r="F187" s="251" t="s">
        <v>281</v>
      </c>
      <c r="G187" s="250">
        <v>6926</v>
      </c>
      <c r="H187" s="250">
        <v>3738</v>
      </c>
      <c r="I187" s="250">
        <v>11418</v>
      </c>
      <c r="J187" s="252">
        <v>-0.02</v>
      </c>
      <c r="K187" s="250">
        <v>6430</v>
      </c>
      <c r="L187" s="250">
        <v>3409</v>
      </c>
      <c r="M187" s="250">
        <v>10749</v>
      </c>
      <c r="N187" s="250">
        <v>496</v>
      </c>
      <c r="O187" s="250">
        <v>329</v>
      </c>
      <c r="P187" s="250">
        <v>669</v>
      </c>
      <c r="Q187" s="253">
        <v>133969</v>
      </c>
      <c r="R187" s="254">
        <v>3.7023489475250244</v>
      </c>
      <c r="S187" s="254">
        <v>2.4557919502258301</v>
      </c>
      <c r="T187" s="255">
        <v>4.9936923980712891</v>
      </c>
    </row>
    <row r="188" spans="2:20">
      <c r="B188" s="249" t="s">
        <v>501</v>
      </c>
      <c r="C188" s="250" t="s">
        <v>121</v>
      </c>
      <c r="D188" s="250" t="s">
        <v>502</v>
      </c>
      <c r="E188" s="251">
        <v>2</v>
      </c>
      <c r="F188" s="251" t="s">
        <v>281</v>
      </c>
      <c r="G188" s="250">
        <v>6926</v>
      </c>
      <c r="H188" s="250">
        <v>3738</v>
      </c>
      <c r="I188" s="250">
        <v>11418</v>
      </c>
      <c r="J188" s="252">
        <v>-0.02</v>
      </c>
      <c r="K188" s="250">
        <v>6332</v>
      </c>
      <c r="L188" s="250">
        <v>3353</v>
      </c>
      <c r="M188" s="250">
        <v>10575</v>
      </c>
      <c r="N188" s="250">
        <v>594</v>
      </c>
      <c r="O188" s="250">
        <v>385</v>
      </c>
      <c r="P188" s="250">
        <v>843</v>
      </c>
      <c r="Q188" s="253">
        <v>273304</v>
      </c>
      <c r="R188" s="254">
        <v>2.1734039783477783</v>
      </c>
      <c r="S188" s="254">
        <v>1.4086878299713135</v>
      </c>
      <c r="T188" s="255">
        <v>3.0844771862030029</v>
      </c>
    </row>
    <row r="189" spans="2:20">
      <c r="B189" s="249" t="s">
        <v>501</v>
      </c>
      <c r="C189" s="250" t="s">
        <v>121</v>
      </c>
      <c r="D189" s="250" t="s">
        <v>502</v>
      </c>
      <c r="E189" s="251">
        <v>3</v>
      </c>
      <c r="F189" s="251" t="s">
        <v>281</v>
      </c>
      <c r="G189" s="250">
        <v>6926</v>
      </c>
      <c r="H189" s="250">
        <v>3738</v>
      </c>
      <c r="I189" s="250">
        <v>11418</v>
      </c>
      <c r="J189" s="252">
        <v>-0.02</v>
      </c>
      <c r="K189" s="250">
        <v>6219</v>
      </c>
      <c r="L189" s="250">
        <v>3294</v>
      </c>
      <c r="M189" s="250">
        <v>10380</v>
      </c>
      <c r="N189" s="250">
        <v>707</v>
      </c>
      <c r="O189" s="250">
        <v>444</v>
      </c>
      <c r="P189" s="250">
        <v>1038</v>
      </c>
      <c r="Q189" s="253">
        <v>170998</v>
      </c>
      <c r="R189" s="254">
        <v>4.1345510482788086</v>
      </c>
      <c r="S189" s="254">
        <v>2.5965216159820557</v>
      </c>
      <c r="T189" s="255">
        <v>6.0702462196350098</v>
      </c>
    </row>
    <row r="190" spans="2:20">
      <c r="B190" s="249" t="s">
        <v>501</v>
      </c>
      <c r="C190" s="250" t="s">
        <v>121</v>
      </c>
      <c r="D190" s="250" t="s">
        <v>502</v>
      </c>
      <c r="E190" s="251">
        <v>4</v>
      </c>
      <c r="F190" s="251" t="s">
        <v>281</v>
      </c>
      <c r="G190" s="250">
        <v>6926</v>
      </c>
      <c r="H190" s="250">
        <v>3738</v>
      </c>
      <c r="I190" s="250">
        <v>11418</v>
      </c>
      <c r="J190" s="252">
        <v>-0.02</v>
      </c>
      <c r="K190" s="250">
        <v>6104</v>
      </c>
      <c r="L190" s="250">
        <v>3233</v>
      </c>
      <c r="M190" s="250">
        <v>10166</v>
      </c>
      <c r="N190" s="250">
        <v>822</v>
      </c>
      <c r="O190" s="250">
        <v>505</v>
      </c>
      <c r="P190" s="250">
        <v>1252</v>
      </c>
      <c r="Q190" s="253">
        <v>170998</v>
      </c>
      <c r="R190" s="254">
        <v>4.8070735931396484</v>
      </c>
      <c r="S190" s="254">
        <v>2.9532508850097656</v>
      </c>
      <c r="T190" s="255">
        <v>7.321723461151123</v>
      </c>
    </row>
    <row r="191" spans="2:20">
      <c r="B191" s="249" t="s">
        <v>501</v>
      </c>
      <c r="C191" s="250" t="s">
        <v>121</v>
      </c>
      <c r="D191" s="250" t="s">
        <v>502</v>
      </c>
      <c r="E191" s="251">
        <v>5</v>
      </c>
      <c r="F191" s="251" t="s">
        <v>281</v>
      </c>
      <c r="G191" s="250">
        <v>6926</v>
      </c>
      <c r="H191" s="250">
        <v>3738</v>
      </c>
      <c r="I191" s="250">
        <v>11418</v>
      </c>
      <c r="J191" s="252">
        <v>-0.02</v>
      </c>
      <c r="K191" s="250">
        <v>5995</v>
      </c>
      <c r="L191" s="250">
        <v>3184</v>
      </c>
      <c r="M191" s="250">
        <v>9978</v>
      </c>
      <c r="N191" s="250">
        <v>931</v>
      </c>
      <c r="O191" s="250">
        <v>554</v>
      </c>
      <c r="P191" s="250">
        <v>1440</v>
      </c>
      <c r="Q191" s="253">
        <v>170998</v>
      </c>
      <c r="R191" s="254">
        <v>5.4445080757141113</v>
      </c>
      <c r="S191" s="254">
        <v>3.2398040294647217</v>
      </c>
      <c r="T191" s="255">
        <v>8.4211511611938477</v>
      </c>
    </row>
    <row r="192" spans="2:20">
      <c r="B192" s="249" t="s">
        <v>501</v>
      </c>
      <c r="C192" s="250" t="s">
        <v>121</v>
      </c>
      <c r="D192" s="250" t="s">
        <v>201</v>
      </c>
      <c r="E192" s="251">
        <v>6</v>
      </c>
      <c r="F192" s="251" t="s">
        <v>281</v>
      </c>
      <c r="G192" s="250">
        <v>6926</v>
      </c>
      <c r="H192" s="250">
        <v>3738</v>
      </c>
      <c r="I192" s="250">
        <v>11418</v>
      </c>
      <c r="J192" s="252">
        <v>-2E-3</v>
      </c>
      <c r="K192" s="250">
        <v>5984</v>
      </c>
      <c r="L192" s="250">
        <v>3179</v>
      </c>
      <c r="M192" s="250">
        <v>9963</v>
      </c>
      <c r="N192" s="250">
        <v>942</v>
      </c>
      <c r="O192" s="250">
        <v>559</v>
      </c>
      <c r="P192" s="250">
        <v>1455</v>
      </c>
      <c r="Q192" s="253">
        <v>123966</v>
      </c>
      <c r="R192" s="254">
        <v>7.5988578796386719</v>
      </c>
      <c r="S192" s="254">
        <v>4.509300708770752</v>
      </c>
      <c r="T192" s="255">
        <v>11.737089157104492</v>
      </c>
    </row>
    <row r="193" spans="2:20">
      <c r="B193" s="249" t="s">
        <v>501</v>
      </c>
      <c r="C193" s="250" t="s">
        <v>121</v>
      </c>
      <c r="D193" s="250" t="s">
        <v>201</v>
      </c>
      <c r="E193" s="251">
        <v>7</v>
      </c>
      <c r="F193" s="251" t="s">
        <v>281</v>
      </c>
      <c r="G193" s="250">
        <v>6926</v>
      </c>
      <c r="H193" s="250">
        <v>3738</v>
      </c>
      <c r="I193" s="250">
        <v>11418</v>
      </c>
      <c r="J193" s="252">
        <v>-2E-3</v>
      </c>
      <c r="K193" s="250">
        <v>5978</v>
      </c>
      <c r="L193" s="250">
        <v>3174</v>
      </c>
      <c r="M193" s="250">
        <v>9949</v>
      </c>
      <c r="N193" s="250">
        <v>948</v>
      </c>
      <c r="O193" s="250">
        <v>564</v>
      </c>
      <c r="P193" s="250">
        <v>1469</v>
      </c>
      <c r="Q193" s="253">
        <v>93727</v>
      </c>
      <c r="R193" s="254">
        <v>10.114481925964355</v>
      </c>
      <c r="S193" s="254">
        <v>6.0174760818481445</v>
      </c>
      <c r="T193" s="255">
        <v>15.673179626464844</v>
      </c>
    </row>
    <row r="194" spans="2:20">
      <c r="B194" s="249" t="s">
        <v>501</v>
      </c>
      <c r="C194" s="250" t="s">
        <v>121</v>
      </c>
      <c r="D194" s="250" t="s">
        <v>201</v>
      </c>
      <c r="E194" s="251">
        <v>8</v>
      </c>
      <c r="F194" s="251" t="s">
        <v>281</v>
      </c>
      <c r="G194" s="250">
        <v>6926</v>
      </c>
      <c r="H194" s="250">
        <v>3738</v>
      </c>
      <c r="I194" s="250">
        <v>11418</v>
      </c>
      <c r="J194" s="252">
        <v>-2E-3</v>
      </c>
      <c r="K194" s="250">
        <v>5952</v>
      </c>
      <c r="L194" s="250">
        <v>3160</v>
      </c>
      <c r="M194" s="250">
        <v>9911</v>
      </c>
      <c r="N194" s="250">
        <v>974</v>
      </c>
      <c r="O194" s="250">
        <v>578</v>
      </c>
      <c r="P194" s="250">
        <v>1507</v>
      </c>
      <c r="Q194" s="253">
        <v>93727</v>
      </c>
      <c r="R194" s="254">
        <v>10.39188289642334</v>
      </c>
      <c r="S194" s="254">
        <v>6.1668462753295898</v>
      </c>
      <c r="T194" s="255">
        <v>16.078611373901367</v>
      </c>
    </row>
    <row r="195" spans="2:20">
      <c r="B195" s="249" t="s">
        <v>501</v>
      </c>
      <c r="C195" s="250" t="s">
        <v>121</v>
      </c>
      <c r="D195" s="250" t="s">
        <v>201</v>
      </c>
      <c r="E195" s="251">
        <v>9</v>
      </c>
      <c r="F195" s="251" t="s">
        <v>281</v>
      </c>
      <c r="G195" s="250">
        <v>6926</v>
      </c>
      <c r="H195" s="250">
        <v>3738</v>
      </c>
      <c r="I195" s="250">
        <v>11418</v>
      </c>
      <c r="J195" s="252">
        <v>-2E-3</v>
      </c>
      <c r="K195" s="250">
        <v>5943</v>
      </c>
      <c r="L195" s="250">
        <v>3156</v>
      </c>
      <c r="M195" s="250">
        <v>9898</v>
      </c>
      <c r="N195" s="250">
        <v>983</v>
      </c>
      <c r="O195" s="250">
        <v>582</v>
      </c>
      <c r="P195" s="250">
        <v>1520</v>
      </c>
      <c r="Q195" s="253">
        <v>93727</v>
      </c>
      <c r="R195" s="254">
        <v>10.487906455993652</v>
      </c>
      <c r="S195" s="254">
        <v>6.2095232009887695</v>
      </c>
      <c r="T195" s="255">
        <v>16.217311859130859</v>
      </c>
    </row>
    <row r="196" spans="2:20">
      <c r="B196" s="249" t="s">
        <v>501</v>
      </c>
      <c r="C196" s="250" t="s">
        <v>121</v>
      </c>
      <c r="D196" s="250" t="s">
        <v>201</v>
      </c>
      <c r="E196" s="251">
        <v>10</v>
      </c>
      <c r="F196" s="251" t="s">
        <v>281</v>
      </c>
      <c r="G196" s="250">
        <v>6926</v>
      </c>
      <c r="H196" s="250">
        <v>3738</v>
      </c>
      <c r="I196" s="250">
        <v>11418</v>
      </c>
      <c r="J196" s="252">
        <v>-2E-3</v>
      </c>
      <c r="K196" s="250">
        <v>5932</v>
      </c>
      <c r="L196" s="250">
        <v>3151</v>
      </c>
      <c r="M196" s="250">
        <v>9882</v>
      </c>
      <c r="N196" s="250">
        <v>994</v>
      </c>
      <c r="O196" s="250">
        <v>587</v>
      </c>
      <c r="P196" s="250">
        <v>1536</v>
      </c>
      <c r="Q196" s="253">
        <v>93727</v>
      </c>
      <c r="R196" s="254">
        <v>10.605268478393555</v>
      </c>
      <c r="S196" s="254">
        <v>6.2628698348999023</v>
      </c>
      <c r="T196" s="255">
        <v>16.388021469116211</v>
      </c>
    </row>
    <row r="197" spans="2:20">
      <c r="B197" s="249" t="s">
        <v>501</v>
      </c>
      <c r="C197" s="250" t="s">
        <v>121</v>
      </c>
      <c r="D197" s="250" t="s">
        <v>201</v>
      </c>
      <c r="E197" s="251">
        <v>11</v>
      </c>
      <c r="F197" s="251" t="s">
        <v>281</v>
      </c>
      <c r="G197" s="250">
        <v>6926</v>
      </c>
      <c r="H197" s="250">
        <v>3738</v>
      </c>
      <c r="I197" s="250">
        <v>11418</v>
      </c>
      <c r="J197" s="252">
        <v>-2E-3</v>
      </c>
      <c r="K197" s="250">
        <v>5924</v>
      </c>
      <c r="L197" s="250">
        <v>3143</v>
      </c>
      <c r="M197" s="250">
        <v>9863</v>
      </c>
      <c r="N197" s="250">
        <v>1002</v>
      </c>
      <c r="O197" s="250">
        <v>595</v>
      </c>
      <c r="P197" s="250">
        <v>1555</v>
      </c>
      <c r="Q197" s="253">
        <v>123966</v>
      </c>
      <c r="R197" s="254">
        <v>8.0828609466552734</v>
      </c>
      <c r="S197" s="254">
        <v>4.7997031211853027</v>
      </c>
      <c r="T197" s="255">
        <v>12.54376220703125</v>
      </c>
    </row>
    <row r="198" spans="2:20">
      <c r="B198" s="249" t="s">
        <v>501</v>
      </c>
      <c r="C198" s="250" t="s">
        <v>121</v>
      </c>
      <c r="D198" s="250" t="s">
        <v>201</v>
      </c>
      <c r="E198" s="251">
        <v>12</v>
      </c>
      <c r="F198" s="251" t="s">
        <v>281</v>
      </c>
      <c r="G198" s="250">
        <v>6926</v>
      </c>
      <c r="H198" s="250">
        <v>3738</v>
      </c>
      <c r="I198" s="250">
        <v>11418</v>
      </c>
      <c r="J198" s="252">
        <v>-2E-3</v>
      </c>
      <c r="K198" s="250">
        <v>5911</v>
      </c>
      <c r="L198" s="250">
        <v>3139</v>
      </c>
      <c r="M198" s="250">
        <v>9842</v>
      </c>
      <c r="N198" s="250">
        <v>1015</v>
      </c>
      <c r="O198" s="250">
        <v>599</v>
      </c>
      <c r="P198" s="250">
        <v>1576</v>
      </c>
      <c r="Q198" s="253">
        <v>93727</v>
      </c>
      <c r="R198" s="254">
        <v>10.829323768615723</v>
      </c>
      <c r="S198" s="254">
        <v>6.3909010887145996</v>
      </c>
      <c r="T198" s="255">
        <v>16.814792633056641</v>
      </c>
    </row>
    <row r="199" spans="2:20">
      <c r="B199" s="249" t="s">
        <v>501</v>
      </c>
      <c r="C199" s="250" t="s">
        <v>121</v>
      </c>
      <c r="D199" s="250" t="s">
        <v>201</v>
      </c>
      <c r="E199" s="251">
        <v>13</v>
      </c>
      <c r="F199" s="251" t="s">
        <v>281</v>
      </c>
      <c r="G199" s="250">
        <v>6926</v>
      </c>
      <c r="H199" s="250">
        <v>3738</v>
      </c>
      <c r="I199" s="250">
        <v>11418</v>
      </c>
      <c r="J199" s="252">
        <v>-2E-3</v>
      </c>
      <c r="K199" s="250">
        <v>5901</v>
      </c>
      <c r="L199" s="250">
        <v>3135</v>
      </c>
      <c r="M199" s="250">
        <v>9831</v>
      </c>
      <c r="N199" s="250">
        <v>1025</v>
      </c>
      <c r="O199" s="250">
        <v>603</v>
      </c>
      <c r="P199" s="250">
        <v>1587</v>
      </c>
      <c r="Q199" s="253">
        <v>93727</v>
      </c>
      <c r="R199" s="254">
        <v>10.936016082763672</v>
      </c>
      <c r="S199" s="254">
        <v>6.4335780143737793</v>
      </c>
      <c r="T199" s="255">
        <v>16.932153701782227</v>
      </c>
    </row>
    <row r="200" spans="2:20">
      <c r="B200" s="249" t="s">
        <v>501</v>
      </c>
      <c r="C200" s="250" t="s">
        <v>121</v>
      </c>
      <c r="D200" s="250" t="s">
        <v>201</v>
      </c>
      <c r="E200" s="251">
        <v>14</v>
      </c>
      <c r="F200" s="251" t="s">
        <v>281</v>
      </c>
      <c r="G200" s="250">
        <v>6926</v>
      </c>
      <c r="H200" s="250">
        <v>3738</v>
      </c>
      <c r="I200" s="250">
        <v>11418</v>
      </c>
      <c r="J200" s="252">
        <v>-2E-3</v>
      </c>
      <c r="K200" s="250">
        <v>5862</v>
      </c>
      <c r="L200" s="250">
        <v>3125</v>
      </c>
      <c r="M200" s="250">
        <v>9796</v>
      </c>
      <c r="N200" s="250">
        <v>1064</v>
      </c>
      <c r="O200" s="250">
        <v>613</v>
      </c>
      <c r="P200" s="250">
        <v>1622</v>
      </c>
      <c r="Q200" s="253">
        <v>93727</v>
      </c>
      <c r="R200" s="254">
        <v>11.352118492126465</v>
      </c>
      <c r="S200" s="254">
        <v>6.5402708053588867</v>
      </c>
      <c r="T200" s="255">
        <v>17.305578231811523</v>
      </c>
    </row>
    <row r="201" spans="2:20">
      <c r="B201" s="256" t="s">
        <v>501</v>
      </c>
      <c r="C201" s="257" t="s">
        <v>121</v>
      </c>
      <c r="D201" s="257" t="s">
        <v>201</v>
      </c>
      <c r="E201" s="258">
        <v>15</v>
      </c>
      <c r="F201" s="258" t="s">
        <v>281</v>
      </c>
      <c r="G201" s="257">
        <v>6926</v>
      </c>
      <c r="H201" s="257">
        <v>3738</v>
      </c>
      <c r="I201" s="257">
        <v>11418</v>
      </c>
      <c r="J201" s="259">
        <v>-2E-3</v>
      </c>
      <c r="K201" s="257">
        <v>5854</v>
      </c>
      <c r="L201" s="257">
        <v>3120</v>
      </c>
      <c r="M201" s="257">
        <v>9777</v>
      </c>
      <c r="N201" s="257">
        <v>1072</v>
      </c>
      <c r="O201" s="257">
        <v>618</v>
      </c>
      <c r="P201" s="257">
        <v>1641</v>
      </c>
      <c r="Q201" s="260">
        <v>93727</v>
      </c>
      <c r="R201" s="261">
        <v>11.437473297119141</v>
      </c>
      <c r="S201" s="261">
        <v>6.5936174392700195</v>
      </c>
      <c r="T201" s="262">
        <v>17.508296966552734</v>
      </c>
    </row>
    <row r="202" spans="2:20">
      <c r="B202" s="249" t="s">
        <v>501</v>
      </c>
      <c r="C202" s="250" t="s">
        <v>122</v>
      </c>
      <c r="D202" s="250" t="s">
        <v>502</v>
      </c>
      <c r="E202" s="251">
        <v>1</v>
      </c>
      <c r="F202" s="251" t="s">
        <v>281</v>
      </c>
      <c r="G202" s="250">
        <v>6926</v>
      </c>
      <c r="H202" s="250">
        <v>3738</v>
      </c>
      <c r="I202" s="250">
        <v>11418</v>
      </c>
      <c r="J202" s="252">
        <v>-1.2E-2</v>
      </c>
      <c r="K202" s="250">
        <v>6468</v>
      </c>
      <c r="L202" s="250">
        <v>3426</v>
      </c>
      <c r="M202" s="250">
        <v>10811</v>
      </c>
      <c r="N202" s="250">
        <v>458</v>
      </c>
      <c r="O202" s="250">
        <v>312</v>
      </c>
      <c r="P202" s="250">
        <v>607</v>
      </c>
      <c r="Q202" s="253">
        <v>131759</v>
      </c>
      <c r="R202" s="254">
        <v>3.4760434627532959</v>
      </c>
      <c r="S202" s="254">
        <v>2.3679594993591309</v>
      </c>
      <c r="T202" s="255">
        <v>4.606895923614502</v>
      </c>
    </row>
    <row r="203" spans="2:20">
      <c r="B203" s="249" t="s">
        <v>501</v>
      </c>
      <c r="C203" s="250" t="s">
        <v>122</v>
      </c>
      <c r="D203" s="250" t="s">
        <v>502</v>
      </c>
      <c r="E203" s="251">
        <v>2</v>
      </c>
      <c r="F203" s="251" t="s">
        <v>281</v>
      </c>
      <c r="G203" s="250">
        <v>6926</v>
      </c>
      <c r="H203" s="250">
        <v>3738</v>
      </c>
      <c r="I203" s="250">
        <v>11418</v>
      </c>
      <c r="J203" s="252">
        <v>-1.2E-2</v>
      </c>
      <c r="K203" s="250">
        <v>6413</v>
      </c>
      <c r="L203" s="250">
        <v>3396</v>
      </c>
      <c r="M203" s="250">
        <v>10715</v>
      </c>
      <c r="N203" s="250">
        <v>513</v>
      </c>
      <c r="O203" s="250">
        <v>342</v>
      </c>
      <c r="P203" s="250">
        <v>703</v>
      </c>
      <c r="Q203" s="253">
        <v>273529</v>
      </c>
      <c r="R203" s="254">
        <v>1.8754867315292358</v>
      </c>
      <c r="S203" s="254">
        <v>1.2503243684768677</v>
      </c>
      <c r="T203" s="255">
        <v>2.5701112747192383</v>
      </c>
    </row>
    <row r="204" spans="2:20">
      <c r="B204" s="249" t="s">
        <v>501</v>
      </c>
      <c r="C204" s="250" t="s">
        <v>122</v>
      </c>
      <c r="D204" s="250" t="s">
        <v>502</v>
      </c>
      <c r="E204" s="251">
        <v>3</v>
      </c>
      <c r="F204" s="251" t="s">
        <v>281</v>
      </c>
      <c r="G204" s="250">
        <v>6926</v>
      </c>
      <c r="H204" s="250">
        <v>3738</v>
      </c>
      <c r="I204" s="250">
        <v>11418</v>
      </c>
      <c r="J204" s="252">
        <v>-1.2E-2</v>
      </c>
      <c r="K204" s="250">
        <v>6355</v>
      </c>
      <c r="L204" s="250">
        <v>3361</v>
      </c>
      <c r="M204" s="250">
        <v>10609</v>
      </c>
      <c r="N204" s="250">
        <v>571</v>
      </c>
      <c r="O204" s="250">
        <v>377</v>
      </c>
      <c r="P204" s="250">
        <v>809</v>
      </c>
      <c r="Q204" s="253">
        <v>174910</v>
      </c>
      <c r="R204" s="254">
        <v>3.2645361423492432</v>
      </c>
      <c r="S204" s="254">
        <v>2.1553943157196045</v>
      </c>
      <c r="T204" s="255">
        <v>4.6252355575561523</v>
      </c>
    </row>
    <row r="205" spans="2:20">
      <c r="B205" s="249" t="s">
        <v>501</v>
      </c>
      <c r="C205" s="250" t="s">
        <v>122</v>
      </c>
      <c r="D205" s="250" t="s">
        <v>502</v>
      </c>
      <c r="E205" s="251">
        <v>4</v>
      </c>
      <c r="F205" s="251" t="s">
        <v>281</v>
      </c>
      <c r="G205" s="250">
        <v>6926</v>
      </c>
      <c r="H205" s="250">
        <v>3738</v>
      </c>
      <c r="I205" s="250">
        <v>11418</v>
      </c>
      <c r="J205" s="252">
        <v>-1.2E-2</v>
      </c>
      <c r="K205" s="250">
        <v>6290</v>
      </c>
      <c r="L205" s="250">
        <v>3329</v>
      </c>
      <c r="M205" s="250">
        <v>10503</v>
      </c>
      <c r="N205" s="250">
        <v>636</v>
      </c>
      <c r="O205" s="250">
        <v>409</v>
      </c>
      <c r="P205" s="250">
        <v>915</v>
      </c>
      <c r="Q205" s="253">
        <v>174910</v>
      </c>
      <c r="R205" s="254">
        <v>3.6361558437347412</v>
      </c>
      <c r="S205" s="254">
        <v>2.3383452892303467</v>
      </c>
      <c r="T205" s="255">
        <v>5.2312617301940918</v>
      </c>
    </row>
    <row r="206" spans="2:20">
      <c r="B206" s="249" t="s">
        <v>501</v>
      </c>
      <c r="C206" s="250" t="s">
        <v>122</v>
      </c>
      <c r="D206" s="250" t="s">
        <v>502</v>
      </c>
      <c r="E206" s="251">
        <v>5</v>
      </c>
      <c r="F206" s="251" t="s">
        <v>281</v>
      </c>
      <c r="G206" s="250">
        <v>6926</v>
      </c>
      <c r="H206" s="250">
        <v>3738</v>
      </c>
      <c r="I206" s="250">
        <v>11418</v>
      </c>
      <c r="J206" s="252">
        <v>-1.2E-2</v>
      </c>
      <c r="K206" s="250">
        <v>6219</v>
      </c>
      <c r="L206" s="250">
        <v>3294</v>
      </c>
      <c r="M206" s="250">
        <v>10380</v>
      </c>
      <c r="N206" s="250">
        <v>707</v>
      </c>
      <c r="O206" s="250">
        <v>444</v>
      </c>
      <c r="P206" s="250">
        <v>1038</v>
      </c>
      <c r="Q206" s="253">
        <v>174910</v>
      </c>
      <c r="R206" s="254">
        <v>4.042078971862793</v>
      </c>
      <c r="S206" s="254">
        <v>2.5384483337402344</v>
      </c>
      <c r="T206" s="255">
        <v>5.9344806671142578</v>
      </c>
    </row>
    <row r="207" spans="2:20">
      <c r="B207" s="249" t="s">
        <v>501</v>
      </c>
      <c r="C207" s="250" t="s">
        <v>122</v>
      </c>
      <c r="D207" s="250" t="s">
        <v>201</v>
      </c>
      <c r="E207" s="251">
        <v>6</v>
      </c>
      <c r="F207" s="251" t="s">
        <v>281</v>
      </c>
      <c r="G207" s="250">
        <v>6926</v>
      </c>
      <c r="H207" s="250">
        <v>3738</v>
      </c>
      <c r="I207" s="250">
        <v>11418</v>
      </c>
      <c r="J207" s="252">
        <v>-3.0000000000000001E-3</v>
      </c>
      <c r="K207" s="250">
        <v>6203</v>
      </c>
      <c r="L207" s="250">
        <v>3285</v>
      </c>
      <c r="M207" s="250">
        <v>10350</v>
      </c>
      <c r="N207" s="250">
        <v>723</v>
      </c>
      <c r="O207" s="250">
        <v>453</v>
      </c>
      <c r="P207" s="250">
        <v>1068</v>
      </c>
      <c r="Q207" s="253">
        <v>117911</v>
      </c>
      <c r="R207" s="254">
        <v>6.1317434310913086</v>
      </c>
      <c r="S207" s="254">
        <v>3.8418807983398438</v>
      </c>
      <c r="T207" s="255">
        <v>9.0576791763305664</v>
      </c>
    </row>
    <row r="208" spans="2:20">
      <c r="B208" s="249" t="s">
        <v>501</v>
      </c>
      <c r="C208" s="250" t="s">
        <v>122</v>
      </c>
      <c r="D208" s="250" t="s">
        <v>201</v>
      </c>
      <c r="E208" s="251">
        <v>7</v>
      </c>
      <c r="F208" s="251" t="s">
        <v>281</v>
      </c>
      <c r="G208" s="250">
        <v>6926</v>
      </c>
      <c r="H208" s="250">
        <v>3738</v>
      </c>
      <c r="I208" s="250">
        <v>11418</v>
      </c>
      <c r="J208" s="252">
        <v>-3.0000000000000001E-3</v>
      </c>
      <c r="K208" s="250">
        <v>6189</v>
      </c>
      <c r="L208" s="250">
        <v>3278</v>
      </c>
      <c r="M208" s="250">
        <v>10319</v>
      </c>
      <c r="N208" s="250">
        <v>737</v>
      </c>
      <c r="O208" s="250">
        <v>460</v>
      </c>
      <c r="P208" s="250">
        <v>1099</v>
      </c>
      <c r="Q208" s="253">
        <v>90500</v>
      </c>
      <c r="R208" s="254">
        <v>8.143646240234375</v>
      </c>
      <c r="S208" s="254">
        <v>5.0828728675842285</v>
      </c>
      <c r="T208" s="255">
        <v>12.143646240234375</v>
      </c>
    </row>
    <row r="209" spans="2:27">
      <c r="B209" s="249" t="s">
        <v>501</v>
      </c>
      <c r="C209" s="250" t="s">
        <v>122</v>
      </c>
      <c r="D209" s="250" t="s">
        <v>201</v>
      </c>
      <c r="E209" s="251">
        <v>8</v>
      </c>
      <c r="F209" s="251" t="s">
        <v>281</v>
      </c>
      <c r="G209" s="250">
        <v>6926</v>
      </c>
      <c r="H209" s="250">
        <v>3738</v>
      </c>
      <c r="I209" s="250">
        <v>11418</v>
      </c>
      <c r="J209" s="252">
        <v>-3.0000000000000001E-3</v>
      </c>
      <c r="K209" s="250">
        <v>6174</v>
      </c>
      <c r="L209" s="250">
        <v>3268</v>
      </c>
      <c r="M209" s="250">
        <v>10285</v>
      </c>
      <c r="N209" s="250">
        <v>752</v>
      </c>
      <c r="O209" s="250">
        <v>470</v>
      </c>
      <c r="P209" s="250">
        <v>1133</v>
      </c>
      <c r="Q209" s="253">
        <v>90500</v>
      </c>
      <c r="R209" s="254">
        <v>8.309391975402832</v>
      </c>
      <c r="S209" s="254">
        <v>5.1933703422546387</v>
      </c>
      <c r="T209" s="255">
        <v>12.51933765411377</v>
      </c>
    </row>
    <row r="210" spans="2:27">
      <c r="B210" s="249" t="s">
        <v>501</v>
      </c>
      <c r="C210" s="250" t="s">
        <v>122</v>
      </c>
      <c r="D210" s="250" t="s">
        <v>201</v>
      </c>
      <c r="E210" s="251">
        <v>9</v>
      </c>
      <c r="F210" s="251" t="s">
        <v>281</v>
      </c>
      <c r="G210" s="250">
        <v>6926</v>
      </c>
      <c r="H210" s="250">
        <v>3738</v>
      </c>
      <c r="I210" s="250">
        <v>11418</v>
      </c>
      <c r="J210" s="252">
        <v>-3.0000000000000001E-3</v>
      </c>
      <c r="K210" s="250">
        <v>6157</v>
      </c>
      <c r="L210" s="250">
        <v>3257</v>
      </c>
      <c r="M210" s="250">
        <v>10257</v>
      </c>
      <c r="N210" s="250">
        <v>769</v>
      </c>
      <c r="O210" s="250">
        <v>481</v>
      </c>
      <c r="P210" s="250">
        <v>1161</v>
      </c>
      <c r="Q210" s="253">
        <v>90500</v>
      </c>
      <c r="R210" s="254">
        <v>8.4972372055053711</v>
      </c>
      <c r="S210" s="254">
        <v>5.3149170875549316</v>
      </c>
      <c r="T210" s="255">
        <v>12.828728675842285</v>
      </c>
    </row>
    <row r="211" spans="2:27">
      <c r="B211" s="249" t="s">
        <v>501</v>
      </c>
      <c r="C211" s="250" t="s">
        <v>122</v>
      </c>
      <c r="D211" s="250" t="s">
        <v>201</v>
      </c>
      <c r="E211" s="251">
        <v>10</v>
      </c>
      <c r="F211" s="251" t="s">
        <v>281</v>
      </c>
      <c r="G211" s="250">
        <v>6926</v>
      </c>
      <c r="H211" s="250">
        <v>3738</v>
      </c>
      <c r="I211" s="250">
        <v>11418</v>
      </c>
      <c r="J211" s="252">
        <v>-3.0000000000000001E-3</v>
      </c>
      <c r="K211" s="250">
        <v>6143</v>
      </c>
      <c r="L211" s="250">
        <v>3251</v>
      </c>
      <c r="M211" s="250">
        <v>10216</v>
      </c>
      <c r="N211" s="250">
        <v>783</v>
      </c>
      <c r="O211" s="250">
        <v>487</v>
      </c>
      <c r="P211" s="250">
        <v>1202</v>
      </c>
      <c r="Q211" s="253">
        <v>90500</v>
      </c>
      <c r="R211" s="254">
        <v>8.6519336700439453</v>
      </c>
      <c r="S211" s="254">
        <v>5.3812155723571777</v>
      </c>
      <c r="T211" s="255">
        <v>13.281767845153809</v>
      </c>
    </row>
    <row r="212" spans="2:27">
      <c r="B212" s="249" t="s">
        <v>501</v>
      </c>
      <c r="C212" s="250" t="s">
        <v>122</v>
      </c>
      <c r="D212" s="250" t="s">
        <v>201</v>
      </c>
      <c r="E212" s="251">
        <v>11</v>
      </c>
      <c r="F212" s="251" t="s">
        <v>281</v>
      </c>
      <c r="G212" s="250">
        <v>6926</v>
      </c>
      <c r="H212" s="250">
        <v>3738</v>
      </c>
      <c r="I212" s="250">
        <v>11418</v>
      </c>
      <c r="J212" s="252">
        <v>-3.0000000000000001E-3</v>
      </c>
      <c r="K212" s="250">
        <v>6124</v>
      </c>
      <c r="L212" s="250">
        <v>3243</v>
      </c>
      <c r="M212" s="250">
        <v>10190</v>
      </c>
      <c r="N212" s="250">
        <v>802</v>
      </c>
      <c r="O212" s="250">
        <v>495</v>
      </c>
      <c r="P212" s="250">
        <v>1228</v>
      </c>
      <c r="Q212" s="253">
        <v>117911</v>
      </c>
      <c r="R212" s="254">
        <v>6.8017401695251465</v>
      </c>
      <c r="S212" s="254">
        <v>4.1980819702148438</v>
      </c>
      <c r="T212" s="255">
        <v>10.414634704589844</v>
      </c>
    </row>
    <row r="213" spans="2:27">
      <c r="B213" s="249" t="s">
        <v>501</v>
      </c>
      <c r="C213" s="250" t="s">
        <v>122</v>
      </c>
      <c r="D213" s="250" t="s">
        <v>201</v>
      </c>
      <c r="E213" s="251">
        <v>12</v>
      </c>
      <c r="F213" s="251" t="s">
        <v>281</v>
      </c>
      <c r="G213" s="250">
        <v>6926</v>
      </c>
      <c r="H213" s="250">
        <v>3738</v>
      </c>
      <c r="I213" s="250">
        <v>11418</v>
      </c>
      <c r="J213" s="252">
        <v>-3.0000000000000001E-3</v>
      </c>
      <c r="K213" s="250">
        <v>6102</v>
      </c>
      <c r="L213" s="250">
        <v>3233</v>
      </c>
      <c r="M213" s="250">
        <v>10162</v>
      </c>
      <c r="N213" s="250">
        <v>824</v>
      </c>
      <c r="O213" s="250">
        <v>505</v>
      </c>
      <c r="P213" s="250">
        <v>1256</v>
      </c>
      <c r="Q213" s="253">
        <v>90500</v>
      </c>
      <c r="R213" s="254">
        <v>9.1049728393554688</v>
      </c>
      <c r="S213" s="254">
        <v>5.5801105499267578</v>
      </c>
      <c r="T213" s="255">
        <v>13.878452301025391</v>
      </c>
    </row>
    <row r="214" spans="2:27">
      <c r="B214" s="249" t="s">
        <v>501</v>
      </c>
      <c r="C214" s="250" t="s">
        <v>122</v>
      </c>
      <c r="D214" s="250" t="s">
        <v>201</v>
      </c>
      <c r="E214" s="251">
        <v>13</v>
      </c>
      <c r="F214" s="251" t="s">
        <v>281</v>
      </c>
      <c r="G214" s="250">
        <v>6926</v>
      </c>
      <c r="H214" s="250">
        <v>3738</v>
      </c>
      <c r="I214" s="250">
        <v>11418</v>
      </c>
      <c r="J214" s="252">
        <v>-3.0000000000000001E-3</v>
      </c>
      <c r="K214" s="250">
        <v>6091</v>
      </c>
      <c r="L214" s="250">
        <v>3229</v>
      </c>
      <c r="M214" s="250">
        <v>10142</v>
      </c>
      <c r="N214" s="250">
        <v>835</v>
      </c>
      <c r="O214" s="250">
        <v>509</v>
      </c>
      <c r="P214" s="250">
        <v>1276</v>
      </c>
      <c r="Q214" s="253">
        <v>90500</v>
      </c>
      <c r="R214" s="254">
        <v>9.2265195846557617</v>
      </c>
      <c r="S214" s="254">
        <v>5.6243090629577637</v>
      </c>
      <c r="T214" s="255">
        <v>14.099447250366211</v>
      </c>
    </row>
    <row r="215" spans="2:27">
      <c r="B215" s="249" t="s">
        <v>501</v>
      </c>
      <c r="C215" s="250" t="s">
        <v>122</v>
      </c>
      <c r="D215" s="250" t="s">
        <v>201</v>
      </c>
      <c r="E215" s="251">
        <v>14</v>
      </c>
      <c r="F215" s="251" t="s">
        <v>281</v>
      </c>
      <c r="G215" s="250">
        <v>6926</v>
      </c>
      <c r="H215" s="250">
        <v>3738</v>
      </c>
      <c r="I215" s="250">
        <v>11418</v>
      </c>
      <c r="J215" s="252">
        <v>-3.0000000000000001E-3</v>
      </c>
      <c r="K215" s="250">
        <v>6064</v>
      </c>
      <c r="L215" s="250">
        <v>3217</v>
      </c>
      <c r="M215" s="250">
        <v>10108</v>
      </c>
      <c r="N215" s="250">
        <v>862</v>
      </c>
      <c r="O215" s="250">
        <v>521</v>
      </c>
      <c r="P215" s="250">
        <v>1310</v>
      </c>
      <c r="Q215" s="253">
        <v>90500</v>
      </c>
      <c r="R215" s="254">
        <v>9.5248622894287109</v>
      </c>
      <c r="S215" s="254">
        <v>5.7569060325622559</v>
      </c>
      <c r="T215" s="255">
        <v>14.475137710571289</v>
      </c>
    </row>
    <row r="216" spans="2:27">
      <c r="B216" s="256" t="s">
        <v>501</v>
      </c>
      <c r="C216" s="257" t="s">
        <v>122</v>
      </c>
      <c r="D216" s="257" t="s">
        <v>201</v>
      </c>
      <c r="E216" s="258">
        <v>15</v>
      </c>
      <c r="F216" s="258" t="s">
        <v>281</v>
      </c>
      <c r="G216" s="257">
        <v>6926</v>
      </c>
      <c r="H216" s="257">
        <v>3738</v>
      </c>
      <c r="I216" s="257">
        <v>11418</v>
      </c>
      <c r="J216" s="259">
        <v>-3.0000000000000001E-3</v>
      </c>
      <c r="K216" s="257">
        <v>6051</v>
      </c>
      <c r="L216" s="257">
        <v>3210</v>
      </c>
      <c r="M216" s="257">
        <v>10081</v>
      </c>
      <c r="N216" s="257">
        <v>875</v>
      </c>
      <c r="O216" s="257">
        <v>528</v>
      </c>
      <c r="P216" s="257">
        <v>1337</v>
      </c>
      <c r="Q216" s="260">
        <v>90500</v>
      </c>
      <c r="R216" s="261">
        <v>9.6685085296630859</v>
      </c>
      <c r="S216" s="261">
        <v>5.8342537879943848</v>
      </c>
      <c r="T216" s="262">
        <v>14.773480415344238</v>
      </c>
    </row>
    <row r="217" spans="2:27">
      <c r="B217" s="249" t="s">
        <v>513</v>
      </c>
      <c r="C217" s="250" t="s">
        <v>242</v>
      </c>
      <c r="D217" s="250" t="s">
        <v>502</v>
      </c>
      <c r="E217" s="251">
        <v>1</v>
      </c>
      <c r="F217" s="251" t="s">
        <v>281</v>
      </c>
      <c r="G217" s="250">
        <v>5828</v>
      </c>
      <c r="H217" s="250">
        <v>3324</v>
      </c>
      <c r="I217" s="250">
        <v>9325</v>
      </c>
      <c r="J217" s="252">
        <v>-6.6000000000000003E-2</v>
      </c>
      <c r="K217" s="250">
        <v>5228</v>
      </c>
      <c r="L217" s="250">
        <v>2943</v>
      </c>
      <c r="M217" s="250">
        <v>8433</v>
      </c>
      <c r="N217" s="250">
        <v>600</v>
      </c>
      <c r="O217" s="250">
        <v>381</v>
      </c>
      <c r="P217" s="250">
        <v>892</v>
      </c>
      <c r="Q217" s="253">
        <v>977845</v>
      </c>
      <c r="R217" s="254">
        <v>0.6135941743850708</v>
      </c>
      <c r="S217" s="254">
        <v>0.38963231444358826</v>
      </c>
      <c r="T217" s="255">
        <v>0.91221004724502563</v>
      </c>
      <c r="U217"/>
      <c r="V217"/>
      <c r="W217"/>
      <c r="X217"/>
      <c r="Y217"/>
      <c r="Z217"/>
      <c r="AA217"/>
    </row>
    <row r="218" spans="2:27">
      <c r="B218" s="249" t="s">
        <v>513</v>
      </c>
      <c r="C218" s="250" t="s">
        <v>242</v>
      </c>
      <c r="D218" s="250" t="s">
        <v>502</v>
      </c>
      <c r="E218" s="251">
        <v>2</v>
      </c>
      <c r="F218" s="251" t="s">
        <v>281</v>
      </c>
      <c r="G218" s="250">
        <v>5828</v>
      </c>
      <c r="H218" s="250">
        <v>3324</v>
      </c>
      <c r="I218" s="250">
        <v>9325</v>
      </c>
      <c r="J218" s="252">
        <v>-6.6000000000000003E-2</v>
      </c>
      <c r="K218" s="250">
        <v>4886</v>
      </c>
      <c r="L218" s="250">
        <v>2756</v>
      </c>
      <c r="M218" s="250">
        <v>7882</v>
      </c>
      <c r="N218" s="250">
        <v>942</v>
      </c>
      <c r="O218" s="250">
        <v>568</v>
      </c>
      <c r="P218" s="250">
        <v>1443</v>
      </c>
      <c r="Q218" s="253">
        <v>1239352</v>
      </c>
      <c r="R218" s="254">
        <v>0.7600746750831604</v>
      </c>
      <c r="S218" s="254">
        <v>0.4583040177822113</v>
      </c>
      <c r="T218" s="255">
        <v>1.1643182039260864</v>
      </c>
      <c r="U218"/>
      <c r="V218"/>
      <c r="W218"/>
      <c r="X218"/>
      <c r="Y218"/>
      <c r="Z218"/>
      <c r="AA218"/>
    </row>
    <row r="219" spans="2:27">
      <c r="B219" s="249" t="s">
        <v>513</v>
      </c>
      <c r="C219" s="250" t="s">
        <v>242</v>
      </c>
      <c r="D219" s="250" t="s">
        <v>502</v>
      </c>
      <c r="E219" s="251">
        <v>3</v>
      </c>
      <c r="F219" s="251" t="s">
        <v>281</v>
      </c>
      <c r="G219" s="250">
        <v>5828</v>
      </c>
      <c r="H219" s="250">
        <v>3324</v>
      </c>
      <c r="I219" s="250">
        <v>9325</v>
      </c>
      <c r="J219" s="252">
        <v>-6.6000000000000003E-2</v>
      </c>
      <c r="K219" s="250">
        <v>4567</v>
      </c>
      <c r="L219" s="250">
        <v>2575</v>
      </c>
      <c r="M219" s="250">
        <v>7365</v>
      </c>
      <c r="N219" s="250">
        <v>1261</v>
      </c>
      <c r="O219" s="250">
        <v>749</v>
      </c>
      <c r="P219" s="250">
        <v>1960</v>
      </c>
      <c r="Q219" s="253">
        <v>837959</v>
      </c>
      <c r="R219" s="254">
        <v>1.5048468112945557</v>
      </c>
      <c r="S219" s="254">
        <v>0.89383846521377563</v>
      </c>
      <c r="T219" s="255">
        <v>2.3390166759490967</v>
      </c>
      <c r="U219"/>
      <c r="V219"/>
      <c r="W219"/>
      <c r="X219"/>
      <c r="Y219"/>
      <c r="Z219"/>
      <c r="AA219"/>
    </row>
    <row r="220" spans="2:27">
      <c r="B220" s="249" t="s">
        <v>513</v>
      </c>
      <c r="C220" s="250" t="s">
        <v>242</v>
      </c>
      <c r="D220" s="250" t="s">
        <v>502</v>
      </c>
      <c r="E220" s="251">
        <v>4</v>
      </c>
      <c r="F220" s="251" t="s">
        <v>281</v>
      </c>
      <c r="G220" s="250">
        <v>5828</v>
      </c>
      <c r="H220" s="250">
        <v>3324</v>
      </c>
      <c r="I220" s="250">
        <v>9325</v>
      </c>
      <c r="J220" s="252">
        <v>-6.6000000000000003E-2</v>
      </c>
      <c r="K220" s="250">
        <v>4261</v>
      </c>
      <c r="L220" s="250">
        <v>2401</v>
      </c>
      <c r="M220" s="250">
        <v>6875</v>
      </c>
      <c r="N220" s="250">
        <v>1567</v>
      </c>
      <c r="O220" s="250">
        <v>923</v>
      </c>
      <c r="P220" s="250">
        <v>2450</v>
      </c>
      <c r="Q220" s="253">
        <v>855330</v>
      </c>
      <c r="R220" s="254">
        <v>1.8320413827896118</v>
      </c>
      <c r="S220" s="254">
        <v>1.079115629196167</v>
      </c>
      <c r="T220" s="255">
        <v>2.864391565322876</v>
      </c>
      <c r="U220"/>
      <c r="V220"/>
      <c r="W220"/>
      <c r="X220"/>
      <c r="Y220"/>
      <c r="Z220"/>
      <c r="AA220"/>
    </row>
    <row r="221" spans="2:27">
      <c r="B221" s="249" t="s">
        <v>513</v>
      </c>
      <c r="C221" s="250" t="s">
        <v>242</v>
      </c>
      <c r="D221" s="250" t="s">
        <v>502</v>
      </c>
      <c r="E221" s="251">
        <v>5</v>
      </c>
      <c r="F221" s="251" t="s">
        <v>281</v>
      </c>
      <c r="G221" s="250">
        <v>5828</v>
      </c>
      <c r="H221" s="250">
        <v>3324</v>
      </c>
      <c r="I221" s="250">
        <v>9325</v>
      </c>
      <c r="J221" s="252">
        <v>-6.6000000000000003E-2</v>
      </c>
      <c r="K221" s="250">
        <v>3980</v>
      </c>
      <c r="L221" s="250">
        <v>2241</v>
      </c>
      <c r="M221" s="250">
        <v>6400</v>
      </c>
      <c r="N221" s="250">
        <v>1848</v>
      </c>
      <c r="O221" s="250">
        <v>1083</v>
      </c>
      <c r="P221" s="250">
        <v>2925</v>
      </c>
      <c r="Q221" s="253">
        <v>837959</v>
      </c>
      <c r="R221" s="254">
        <v>2.2053585052490234</v>
      </c>
      <c r="S221" s="254">
        <v>1.2924259901046753</v>
      </c>
      <c r="T221" s="255">
        <v>3.4906241893768311</v>
      </c>
      <c r="U221"/>
      <c r="V221"/>
      <c r="W221"/>
      <c r="X221"/>
      <c r="Y221"/>
      <c r="Z221"/>
      <c r="AA221"/>
    </row>
    <row r="222" spans="2:27">
      <c r="B222" s="249" t="s">
        <v>513</v>
      </c>
      <c r="C222" s="250" t="s">
        <v>242</v>
      </c>
      <c r="D222" s="250" t="s">
        <v>201</v>
      </c>
      <c r="E222" s="251">
        <v>6</v>
      </c>
      <c r="F222" s="251" t="s">
        <v>281</v>
      </c>
      <c r="G222" s="250">
        <v>5828</v>
      </c>
      <c r="H222" s="250">
        <v>3324</v>
      </c>
      <c r="I222" s="250">
        <v>9325</v>
      </c>
      <c r="J222" s="252">
        <v>-1.24E-2</v>
      </c>
      <c r="K222" s="250">
        <v>3932</v>
      </c>
      <c r="L222" s="250">
        <v>2213</v>
      </c>
      <c r="M222" s="250">
        <v>6334</v>
      </c>
      <c r="N222" s="250">
        <v>1896</v>
      </c>
      <c r="O222" s="250">
        <v>1111</v>
      </c>
      <c r="P222" s="250">
        <v>2991</v>
      </c>
      <c r="Q222" s="253">
        <v>661371</v>
      </c>
      <c r="R222" s="254">
        <v>2.8667721748352051</v>
      </c>
      <c r="S222" s="254">
        <v>1.6798439025878906</v>
      </c>
      <c r="T222" s="255">
        <v>4.5224237442016602</v>
      </c>
      <c r="U222"/>
      <c r="V222"/>
      <c r="W222"/>
      <c r="X222"/>
      <c r="Y222"/>
      <c r="Z222"/>
      <c r="AA222"/>
    </row>
    <row r="223" spans="2:27">
      <c r="B223" s="249" t="s">
        <v>513</v>
      </c>
      <c r="C223" s="250" t="s">
        <v>242</v>
      </c>
      <c r="D223" s="250" t="s">
        <v>201</v>
      </c>
      <c r="E223" s="251">
        <v>7</v>
      </c>
      <c r="F223" s="251" t="s">
        <v>281</v>
      </c>
      <c r="G223" s="250">
        <v>5828</v>
      </c>
      <c r="H223" s="250">
        <v>3324</v>
      </c>
      <c r="I223" s="250">
        <v>9325</v>
      </c>
      <c r="J223" s="252">
        <v>-1.24E-2</v>
      </c>
      <c r="K223" s="250">
        <v>3885</v>
      </c>
      <c r="L223" s="250">
        <v>2184</v>
      </c>
      <c r="M223" s="250">
        <v>6255</v>
      </c>
      <c r="N223" s="250">
        <v>1943</v>
      </c>
      <c r="O223" s="250">
        <v>1140</v>
      </c>
      <c r="P223" s="250">
        <v>3070</v>
      </c>
      <c r="Q223" s="253">
        <v>504727</v>
      </c>
      <c r="R223" s="254">
        <v>3.8496057987213135</v>
      </c>
      <c r="S223" s="254">
        <v>2.2586467266082764</v>
      </c>
      <c r="T223" s="255">
        <v>6.082496166229248</v>
      </c>
      <c r="U223"/>
      <c r="V223"/>
      <c r="W223"/>
      <c r="X223"/>
      <c r="Y223"/>
      <c r="Z223"/>
      <c r="AA223"/>
    </row>
    <row r="224" spans="2:27">
      <c r="B224" s="249" t="s">
        <v>513</v>
      </c>
      <c r="C224" s="250" t="s">
        <v>242</v>
      </c>
      <c r="D224" s="250" t="s">
        <v>201</v>
      </c>
      <c r="E224" s="251">
        <v>8</v>
      </c>
      <c r="F224" s="251" t="s">
        <v>281</v>
      </c>
      <c r="G224" s="250">
        <v>5828</v>
      </c>
      <c r="H224" s="250">
        <v>3324</v>
      </c>
      <c r="I224" s="250">
        <v>9325</v>
      </c>
      <c r="J224" s="252">
        <v>-1.24E-2</v>
      </c>
      <c r="K224" s="250">
        <v>3837</v>
      </c>
      <c r="L224" s="250">
        <v>2163</v>
      </c>
      <c r="M224" s="250">
        <v>6175</v>
      </c>
      <c r="N224" s="250">
        <v>1991</v>
      </c>
      <c r="O224" s="250">
        <v>1161</v>
      </c>
      <c r="P224" s="250">
        <v>3150</v>
      </c>
      <c r="Q224" s="253">
        <v>487356</v>
      </c>
      <c r="R224" s="254">
        <v>4.0853095054626465</v>
      </c>
      <c r="S224" s="254">
        <v>2.3822422027587891</v>
      </c>
      <c r="T224" s="255">
        <v>6.4634475708007813</v>
      </c>
      <c r="U224"/>
      <c r="V224"/>
      <c r="W224"/>
      <c r="X224"/>
      <c r="Y224"/>
      <c r="Z224"/>
      <c r="AA224"/>
    </row>
    <row r="225" spans="2:27">
      <c r="B225" s="249" t="s">
        <v>513</v>
      </c>
      <c r="C225" s="250" t="s">
        <v>242</v>
      </c>
      <c r="D225" s="250" t="s">
        <v>201</v>
      </c>
      <c r="E225" s="251">
        <v>9</v>
      </c>
      <c r="F225" s="251" t="s">
        <v>281</v>
      </c>
      <c r="G225" s="250">
        <v>5828</v>
      </c>
      <c r="H225" s="250">
        <v>3324</v>
      </c>
      <c r="I225" s="250">
        <v>9325</v>
      </c>
      <c r="J225" s="252">
        <v>-1.24E-2</v>
      </c>
      <c r="K225" s="250">
        <v>3798</v>
      </c>
      <c r="L225" s="250">
        <v>2141</v>
      </c>
      <c r="M225" s="250">
        <v>6107</v>
      </c>
      <c r="N225" s="250">
        <v>2030</v>
      </c>
      <c r="O225" s="250">
        <v>1183</v>
      </c>
      <c r="P225" s="250">
        <v>3218</v>
      </c>
      <c r="Q225" s="253">
        <v>487356</v>
      </c>
      <c r="R225" s="254">
        <v>4.1653327941894531</v>
      </c>
      <c r="S225" s="254">
        <v>2.4273838996887207</v>
      </c>
      <c r="T225" s="255">
        <v>6.6029758453369141</v>
      </c>
      <c r="U225"/>
      <c r="V225"/>
      <c r="W225"/>
      <c r="X225"/>
      <c r="Y225"/>
      <c r="Z225"/>
      <c r="AA225"/>
    </row>
    <row r="226" spans="2:27">
      <c r="B226" s="249" t="s">
        <v>513</v>
      </c>
      <c r="C226" s="250" t="s">
        <v>242</v>
      </c>
      <c r="D226" s="250" t="s">
        <v>201</v>
      </c>
      <c r="E226" s="251">
        <v>10</v>
      </c>
      <c r="F226" s="251" t="s">
        <v>281</v>
      </c>
      <c r="G226" s="250">
        <v>5828</v>
      </c>
      <c r="H226" s="250">
        <v>3324</v>
      </c>
      <c r="I226" s="250">
        <v>9325</v>
      </c>
      <c r="J226" s="252">
        <v>-1.24E-2</v>
      </c>
      <c r="K226" s="250">
        <v>3762</v>
      </c>
      <c r="L226" s="250">
        <v>2117</v>
      </c>
      <c r="M226" s="250">
        <v>6051</v>
      </c>
      <c r="N226" s="250">
        <v>2066</v>
      </c>
      <c r="O226" s="250">
        <v>1207</v>
      </c>
      <c r="P226" s="250">
        <v>3274</v>
      </c>
      <c r="Q226" s="253">
        <v>504727</v>
      </c>
      <c r="R226" s="254">
        <v>4.0933017730712891</v>
      </c>
      <c r="S226" s="254">
        <v>2.3913917541503906</v>
      </c>
      <c r="T226" s="255">
        <v>6.4866747856140137</v>
      </c>
      <c r="U226"/>
      <c r="V226"/>
      <c r="W226"/>
      <c r="X226"/>
      <c r="Y226"/>
      <c r="Z226"/>
      <c r="AA226"/>
    </row>
    <row r="227" spans="2:27">
      <c r="B227" s="249" t="s">
        <v>513</v>
      </c>
      <c r="C227" s="250" t="s">
        <v>242</v>
      </c>
      <c r="D227" s="250" t="s">
        <v>201</v>
      </c>
      <c r="E227" s="251">
        <v>11</v>
      </c>
      <c r="F227" s="251" t="s">
        <v>281</v>
      </c>
      <c r="G227" s="250">
        <v>5828</v>
      </c>
      <c r="H227" s="250">
        <v>3324</v>
      </c>
      <c r="I227" s="250">
        <v>9325</v>
      </c>
      <c r="J227" s="252">
        <v>-1.24E-2</v>
      </c>
      <c r="K227" s="250">
        <v>3648</v>
      </c>
      <c r="L227" s="250">
        <v>2061</v>
      </c>
      <c r="M227" s="250">
        <v>5901</v>
      </c>
      <c r="N227" s="250">
        <v>2180</v>
      </c>
      <c r="O227" s="250">
        <v>1263</v>
      </c>
      <c r="P227" s="250">
        <v>3424</v>
      </c>
      <c r="Q227" s="253">
        <v>661371</v>
      </c>
      <c r="R227" s="254">
        <v>3.2961831092834473</v>
      </c>
      <c r="S227" s="254">
        <v>1.9096695184707642</v>
      </c>
      <c r="T227" s="255">
        <v>5.1771245002746582</v>
      </c>
      <c r="U227"/>
      <c r="V227"/>
      <c r="W227"/>
      <c r="X227"/>
      <c r="Y227"/>
      <c r="Z227"/>
      <c r="AA227"/>
    </row>
    <row r="228" spans="2:27">
      <c r="B228" s="249" t="s">
        <v>513</v>
      </c>
      <c r="C228" s="250" t="s">
        <v>242</v>
      </c>
      <c r="D228" s="250" t="s">
        <v>201</v>
      </c>
      <c r="E228" s="251">
        <v>12</v>
      </c>
      <c r="F228" s="251" t="s">
        <v>281</v>
      </c>
      <c r="G228" s="250">
        <v>5828</v>
      </c>
      <c r="H228" s="250">
        <v>3324</v>
      </c>
      <c r="I228" s="250">
        <v>9325</v>
      </c>
      <c r="J228" s="252">
        <v>-1.24E-2</v>
      </c>
      <c r="K228" s="250">
        <v>3612</v>
      </c>
      <c r="L228" s="250">
        <v>2039</v>
      </c>
      <c r="M228" s="250">
        <v>5843</v>
      </c>
      <c r="N228" s="250">
        <v>2216</v>
      </c>
      <c r="O228" s="250">
        <v>1285</v>
      </c>
      <c r="P228" s="250">
        <v>3482</v>
      </c>
      <c r="Q228" s="253">
        <v>487356</v>
      </c>
      <c r="R228" s="254">
        <v>4.5469841957092285</v>
      </c>
      <c r="S228" s="254">
        <v>2.6366760730743408</v>
      </c>
      <c r="T228" s="255">
        <v>7.1446747779846191</v>
      </c>
      <c r="U228"/>
      <c r="V228"/>
      <c r="W228"/>
      <c r="X228"/>
      <c r="Y228"/>
      <c r="Z228"/>
      <c r="AA228"/>
    </row>
    <row r="229" spans="2:27">
      <c r="B229" s="249" t="s">
        <v>513</v>
      </c>
      <c r="C229" s="250" t="s">
        <v>242</v>
      </c>
      <c r="D229" s="250" t="s">
        <v>201</v>
      </c>
      <c r="E229" s="251">
        <v>13</v>
      </c>
      <c r="F229" s="251" t="s">
        <v>281</v>
      </c>
      <c r="G229" s="250">
        <v>5828</v>
      </c>
      <c r="H229" s="250">
        <v>3324</v>
      </c>
      <c r="I229" s="250">
        <v>9325</v>
      </c>
      <c r="J229" s="252">
        <v>-1.24E-2</v>
      </c>
      <c r="K229" s="250">
        <v>3576</v>
      </c>
      <c r="L229" s="250">
        <v>2013</v>
      </c>
      <c r="M229" s="250">
        <v>5782</v>
      </c>
      <c r="N229" s="250">
        <v>2252</v>
      </c>
      <c r="O229" s="250">
        <v>1311</v>
      </c>
      <c r="P229" s="250">
        <v>3543</v>
      </c>
      <c r="Q229" s="253">
        <v>504727</v>
      </c>
      <c r="R229" s="254">
        <v>4.461817741394043</v>
      </c>
      <c r="S229" s="254">
        <v>2.5974438190460205</v>
      </c>
      <c r="T229" s="255">
        <v>7.0196361541748047</v>
      </c>
      <c r="U229"/>
      <c r="V229"/>
      <c r="W229"/>
      <c r="X229"/>
      <c r="Y229"/>
      <c r="Z229"/>
      <c r="AA229"/>
    </row>
    <row r="230" spans="2:27">
      <c r="B230" s="249" t="s">
        <v>513</v>
      </c>
      <c r="C230" s="250" t="s">
        <v>242</v>
      </c>
      <c r="D230" s="250" t="s">
        <v>201</v>
      </c>
      <c r="E230" s="251">
        <v>14</v>
      </c>
      <c r="F230" s="251" t="s">
        <v>281</v>
      </c>
      <c r="G230" s="250">
        <v>5828</v>
      </c>
      <c r="H230" s="250">
        <v>3324</v>
      </c>
      <c r="I230" s="250">
        <v>9325</v>
      </c>
      <c r="J230" s="252">
        <v>-1.24E-2</v>
      </c>
      <c r="K230" s="250">
        <v>3523</v>
      </c>
      <c r="L230" s="250">
        <v>1991</v>
      </c>
      <c r="M230" s="250">
        <v>5698</v>
      </c>
      <c r="N230" s="250">
        <v>2305</v>
      </c>
      <c r="O230" s="250">
        <v>1333</v>
      </c>
      <c r="P230" s="250">
        <v>3627</v>
      </c>
      <c r="Q230" s="253">
        <v>487356</v>
      </c>
      <c r="R230" s="254">
        <v>4.7296018600463867</v>
      </c>
      <c r="S230" s="254">
        <v>2.7351667881011963</v>
      </c>
      <c r="T230" s="255">
        <v>7.4421982765197754</v>
      </c>
      <c r="U230"/>
      <c r="V230"/>
      <c r="W230"/>
      <c r="X230"/>
      <c r="Y230"/>
      <c r="Z230"/>
      <c r="AA230"/>
    </row>
    <row r="231" spans="2:27">
      <c r="B231" s="256" t="s">
        <v>513</v>
      </c>
      <c r="C231" s="257" t="s">
        <v>242</v>
      </c>
      <c r="D231" s="257" t="s">
        <v>201</v>
      </c>
      <c r="E231" s="258">
        <v>15</v>
      </c>
      <c r="F231" s="258" t="s">
        <v>281</v>
      </c>
      <c r="G231" s="257">
        <v>5828</v>
      </c>
      <c r="H231" s="257">
        <v>3324</v>
      </c>
      <c r="I231" s="257">
        <v>9325</v>
      </c>
      <c r="J231" s="259">
        <v>-1.24E-2</v>
      </c>
      <c r="K231" s="257">
        <v>3487</v>
      </c>
      <c r="L231" s="257">
        <v>1971</v>
      </c>
      <c r="M231" s="257">
        <v>5638</v>
      </c>
      <c r="N231" s="257">
        <v>2341</v>
      </c>
      <c r="O231" s="257">
        <v>1353</v>
      </c>
      <c r="P231" s="257">
        <v>3687</v>
      </c>
      <c r="Q231" s="260">
        <v>487356</v>
      </c>
      <c r="R231" s="261">
        <v>4.8034701347351074</v>
      </c>
      <c r="S231" s="261">
        <v>2.7762045860290527</v>
      </c>
      <c r="T231" s="262">
        <v>7.5653114318847656</v>
      </c>
      <c r="U231"/>
      <c r="V231"/>
      <c r="W231"/>
      <c r="X231"/>
      <c r="Y231"/>
      <c r="Z231"/>
      <c r="AA231"/>
    </row>
    <row r="232" spans="2:27">
      <c r="B232" s="249" t="s">
        <v>513</v>
      </c>
      <c r="C232" s="250" t="s">
        <v>282</v>
      </c>
      <c r="D232" s="250" t="s">
        <v>502</v>
      </c>
      <c r="E232" s="251">
        <v>1</v>
      </c>
      <c r="F232" s="251" t="s">
        <v>281</v>
      </c>
      <c r="G232" s="250">
        <v>5828</v>
      </c>
      <c r="H232" s="250">
        <v>3324</v>
      </c>
      <c r="I232" s="250">
        <v>9325</v>
      </c>
      <c r="J232" s="252">
        <v>-3.6400000000000002E-2</v>
      </c>
      <c r="K232" s="250">
        <v>5372</v>
      </c>
      <c r="L232" s="250">
        <v>3020</v>
      </c>
      <c r="M232" s="250">
        <v>8679</v>
      </c>
      <c r="N232" s="250">
        <v>456</v>
      </c>
      <c r="O232" s="250">
        <v>304</v>
      </c>
      <c r="P232" s="250">
        <v>646</v>
      </c>
      <c r="Q232" s="253">
        <v>420165</v>
      </c>
      <c r="R232" s="254">
        <v>1.0852879285812378</v>
      </c>
      <c r="S232" s="254">
        <v>0.7235252857208252</v>
      </c>
      <c r="T232" s="255">
        <v>1.5374912023544312</v>
      </c>
    </row>
    <row r="233" spans="2:27">
      <c r="B233" s="249" t="s">
        <v>513</v>
      </c>
      <c r="C233" s="250" t="s">
        <v>282</v>
      </c>
      <c r="D233" s="250" t="s">
        <v>502</v>
      </c>
      <c r="E233" s="251">
        <v>2</v>
      </c>
      <c r="F233" s="251" t="s">
        <v>281</v>
      </c>
      <c r="G233" s="250">
        <v>5828</v>
      </c>
      <c r="H233" s="250">
        <v>3324</v>
      </c>
      <c r="I233" s="250">
        <v>9325</v>
      </c>
      <c r="J233" s="252">
        <v>-3.6400000000000002E-2</v>
      </c>
      <c r="K233" s="250">
        <v>5199</v>
      </c>
      <c r="L233" s="250">
        <v>2921</v>
      </c>
      <c r="M233" s="250">
        <v>8374</v>
      </c>
      <c r="N233" s="250">
        <v>629</v>
      </c>
      <c r="O233" s="250">
        <v>403</v>
      </c>
      <c r="P233" s="250">
        <v>951</v>
      </c>
      <c r="Q233" s="253">
        <v>188719</v>
      </c>
      <c r="R233" s="254">
        <v>3.3329975605010986</v>
      </c>
      <c r="S233" s="254">
        <v>2.1354501247406006</v>
      </c>
      <c r="T233" s="255">
        <v>5.039238452911377</v>
      </c>
    </row>
    <row r="234" spans="2:27">
      <c r="B234" s="249" t="s">
        <v>513</v>
      </c>
      <c r="C234" s="250" t="s">
        <v>282</v>
      </c>
      <c r="D234" s="250" t="s">
        <v>502</v>
      </c>
      <c r="E234" s="251">
        <v>3</v>
      </c>
      <c r="F234" s="251" t="s">
        <v>281</v>
      </c>
      <c r="G234" s="250">
        <v>5828</v>
      </c>
      <c r="H234" s="250">
        <v>3324</v>
      </c>
      <c r="I234" s="250">
        <v>9325</v>
      </c>
      <c r="J234" s="252">
        <v>-3.6400000000000002E-2</v>
      </c>
      <c r="K234" s="250">
        <v>5012</v>
      </c>
      <c r="L234" s="250">
        <v>2826</v>
      </c>
      <c r="M234" s="250">
        <v>8083</v>
      </c>
      <c r="N234" s="250">
        <v>816</v>
      </c>
      <c r="O234" s="250">
        <v>498</v>
      </c>
      <c r="P234" s="250">
        <v>1242</v>
      </c>
      <c r="Q234" s="253">
        <v>155920</v>
      </c>
      <c r="R234" s="254">
        <v>5.2334532737731934</v>
      </c>
      <c r="S234" s="254">
        <v>3.1939456462860107</v>
      </c>
      <c r="T234" s="255">
        <v>7.9656233787536621</v>
      </c>
    </row>
    <row r="235" spans="2:27">
      <c r="B235" s="249" t="s">
        <v>513</v>
      </c>
      <c r="C235" s="250" t="s">
        <v>282</v>
      </c>
      <c r="D235" s="250" t="s">
        <v>502</v>
      </c>
      <c r="E235" s="251">
        <v>4</v>
      </c>
      <c r="F235" s="251" t="s">
        <v>281</v>
      </c>
      <c r="G235" s="250">
        <v>5828</v>
      </c>
      <c r="H235" s="250">
        <v>3324</v>
      </c>
      <c r="I235" s="250">
        <v>9325</v>
      </c>
      <c r="J235" s="252">
        <v>-3.6400000000000002E-2</v>
      </c>
      <c r="K235" s="250">
        <v>4842</v>
      </c>
      <c r="L235" s="250">
        <v>2728</v>
      </c>
      <c r="M235" s="250">
        <v>7794</v>
      </c>
      <c r="N235" s="250">
        <v>986</v>
      </c>
      <c r="O235" s="250">
        <v>596</v>
      </c>
      <c r="P235" s="250">
        <v>1531</v>
      </c>
      <c r="Q235" s="253">
        <v>155920</v>
      </c>
      <c r="R235" s="254">
        <v>6.3237557411193848</v>
      </c>
      <c r="S235" s="254">
        <v>3.8224730491638184</v>
      </c>
      <c r="T235" s="255">
        <v>9.8191375732421875</v>
      </c>
    </row>
    <row r="236" spans="2:27">
      <c r="B236" s="249" t="s">
        <v>513</v>
      </c>
      <c r="C236" s="250" t="s">
        <v>282</v>
      </c>
      <c r="D236" s="250" t="s">
        <v>502</v>
      </c>
      <c r="E236" s="251">
        <v>5</v>
      </c>
      <c r="F236" s="251" t="s">
        <v>281</v>
      </c>
      <c r="G236" s="250">
        <v>5828</v>
      </c>
      <c r="H236" s="250">
        <v>3324</v>
      </c>
      <c r="I236" s="250">
        <v>9325</v>
      </c>
      <c r="J236" s="252">
        <v>-3.6400000000000002E-2</v>
      </c>
      <c r="K236" s="250">
        <v>4654</v>
      </c>
      <c r="L236" s="250">
        <v>2620</v>
      </c>
      <c r="M236" s="250">
        <v>7495</v>
      </c>
      <c r="N236" s="250">
        <v>1174</v>
      </c>
      <c r="O236" s="250">
        <v>704</v>
      </c>
      <c r="P236" s="250">
        <v>1830</v>
      </c>
      <c r="Q236" s="253">
        <v>155920</v>
      </c>
      <c r="R236" s="254">
        <v>7.5295023918151855</v>
      </c>
      <c r="S236" s="254">
        <v>4.5151362419128418</v>
      </c>
      <c r="T236" s="255">
        <v>11.736787796020508</v>
      </c>
    </row>
    <row r="237" spans="2:27">
      <c r="B237" s="249" t="s">
        <v>513</v>
      </c>
      <c r="C237" s="250" t="s">
        <v>282</v>
      </c>
      <c r="D237" s="250" t="s">
        <v>201</v>
      </c>
      <c r="E237" s="251">
        <v>6</v>
      </c>
      <c r="F237" s="251" t="s">
        <v>281</v>
      </c>
      <c r="G237" s="250">
        <v>5828</v>
      </c>
      <c r="H237" s="250">
        <v>3324</v>
      </c>
      <c r="I237" s="250">
        <v>9325</v>
      </c>
      <c r="J237" s="252">
        <v>-9.1000000000000004E-3</v>
      </c>
      <c r="K237" s="250">
        <v>4618</v>
      </c>
      <c r="L237" s="250">
        <v>2596</v>
      </c>
      <c r="M237" s="250">
        <v>7438</v>
      </c>
      <c r="N237" s="250">
        <v>1210</v>
      </c>
      <c r="O237" s="250">
        <v>728</v>
      </c>
      <c r="P237" s="250">
        <v>1887</v>
      </c>
      <c r="Q237" s="253">
        <v>188016</v>
      </c>
      <c r="R237" s="254">
        <v>6.4356226921081543</v>
      </c>
      <c r="S237" s="254">
        <v>3.8720109462738037</v>
      </c>
      <c r="T237" s="255">
        <v>10.036379814147949</v>
      </c>
    </row>
    <row r="238" spans="2:27">
      <c r="B238" s="249" t="s">
        <v>513</v>
      </c>
      <c r="C238" s="250" t="s">
        <v>282</v>
      </c>
      <c r="D238" s="250" t="s">
        <v>201</v>
      </c>
      <c r="E238" s="251">
        <v>7</v>
      </c>
      <c r="F238" s="251" t="s">
        <v>281</v>
      </c>
      <c r="G238" s="250">
        <v>5828</v>
      </c>
      <c r="H238" s="250">
        <v>3324</v>
      </c>
      <c r="I238" s="250">
        <v>9325</v>
      </c>
      <c r="J238" s="252">
        <v>-9.1000000000000004E-3</v>
      </c>
      <c r="K238" s="250">
        <v>4573</v>
      </c>
      <c r="L238" s="250">
        <v>2577</v>
      </c>
      <c r="M238" s="250">
        <v>7376</v>
      </c>
      <c r="N238" s="250">
        <v>1255</v>
      </c>
      <c r="O238" s="250">
        <v>747</v>
      </c>
      <c r="P238" s="250">
        <v>1949</v>
      </c>
      <c r="Q238" s="253">
        <v>143207</v>
      </c>
      <c r="R238" s="254">
        <v>8.7635374069213867</v>
      </c>
      <c r="S238" s="254">
        <v>5.2162256240844727</v>
      </c>
      <c r="T238" s="255">
        <v>13.60966968536377</v>
      </c>
    </row>
    <row r="239" spans="2:27">
      <c r="B239" s="249" t="s">
        <v>513</v>
      </c>
      <c r="C239" s="250" t="s">
        <v>282</v>
      </c>
      <c r="D239" s="250" t="s">
        <v>201</v>
      </c>
      <c r="E239" s="251">
        <v>8</v>
      </c>
      <c r="F239" s="251" t="s">
        <v>281</v>
      </c>
      <c r="G239" s="250">
        <v>5828</v>
      </c>
      <c r="H239" s="250">
        <v>3324</v>
      </c>
      <c r="I239" s="250">
        <v>9325</v>
      </c>
      <c r="J239" s="252">
        <v>-9.1000000000000004E-3</v>
      </c>
      <c r="K239" s="250">
        <v>4542</v>
      </c>
      <c r="L239" s="250">
        <v>2561</v>
      </c>
      <c r="M239" s="250">
        <v>7308</v>
      </c>
      <c r="N239" s="250">
        <v>1286</v>
      </c>
      <c r="O239" s="250">
        <v>763</v>
      </c>
      <c r="P239" s="250">
        <v>2017</v>
      </c>
      <c r="Q239" s="253">
        <v>143207</v>
      </c>
      <c r="R239" s="254">
        <v>8.9800081253051758</v>
      </c>
      <c r="S239" s="254">
        <v>5.3279514312744141</v>
      </c>
      <c r="T239" s="255">
        <v>14.084506988525391</v>
      </c>
    </row>
    <row r="240" spans="2:27">
      <c r="B240" s="249" t="s">
        <v>513</v>
      </c>
      <c r="C240" s="250" t="s">
        <v>282</v>
      </c>
      <c r="D240" s="250" t="s">
        <v>201</v>
      </c>
      <c r="E240" s="251">
        <v>9</v>
      </c>
      <c r="F240" s="251" t="s">
        <v>281</v>
      </c>
      <c r="G240" s="250">
        <v>5828</v>
      </c>
      <c r="H240" s="250">
        <v>3324</v>
      </c>
      <c r="I240" s="250">
        <v>9325</v>
      </c>
      <c r="J240" s="252">
        <v>-9.1000000000000004E-3</v>
      </c>
      <c r="K240" s="250">
        <v>4508</v>
      </c>
      <c r="L240" s="250">
        <v>2540</v>
      </c>
      <c r="M240" s="250">
        <v>7260</v>
      </c>
      <c r="N240" s="250">
        <v>1320</v>
      </c>
      <c r="O240" s="250">
        <v>784</v>
      </c>
      <c r="P240" s="250">
        <v>2065</v>
      </c>
      <c r="Q240" s="253">
        <v>143207</v>
      </c>
      <c r="R240" s="254">
        <v>9.2174263000488281</v>
      </c>
      <c r="S240" s="254">
        <v>5.4745926856994629</v>
      </c>
      <c r="T240" s="255">
        <v>14.419686317443848</v>
      </c>
    </row>
    <row r="241" spans="2:20">
      <c r="B241" s="249" t="s">
        <v>513</v>
      </c>
      <c r="C241" s="250" t="s">
        <v>282</v>
      </c>
      <c r="D241" s="250" t="s">
        <v>201</v>
      </c>
      <c r="E241" s="251">
        <v>10</v>
      </c>
      <c r="F241" s="251" t="s">
        <v>281</v>
      </c>
      <c r="G241" s="250">
        <v>5828</v>
      </c>
      <c r="H241" s="250">
        <v>3324</v>
      </c>
      <c r="I241" s="250">
        <v>9325</v>
      </c>
      <c r="J241" s="252">
        <v>-9.1000000000000004E-3</v>
      </c>
      <c r="K241" s="250">
        <v>4446</v>
      </c>
      <c r="L241" s="250">
        <v>2496</v>
      </c>
      <c r="M241" s="250">
        <v>7162</v>
      </c>
      <c r="N241" s="250">
        <v>1382</v>
      </c>
      <c r="O241" s="250">
        <v>828</v>
      </c>
      <c r="P241" s="250">
        <v>2163</v>
      </c>
      <c r="Q241" s="253">
        <v>143207</v>
      </c>
      <c r="R241" s="254">
        <v>9.6503667831420898</v>
      </c>
      <c r="S241" s="254">
        <v>5.7818398475646973</v>
      </c>
      <c r="T241" s="255">
        <v>15.104010581970215</v>
      </c>
    </row>
    <row r="242" spans="2:20">
      <c r="B242" s="249" t="s">
        <v>513</v>
      </c>
      <c r="C242" s="250" t="s">
        <v>282</v>
      </c>
      <c r="D242" s="250" t="s">
        <v>201</v>
      </c>
      <c r="E242" s="251">
        <v>11</v>
      </c>
      <c r="F242" s="251" t="s">
        <v>281</v>
      </c>
      <c r="G242" s="250">
        <v>5828</v>
      </c>
      <c r="H242" s="250">
        <v>3324</v>
      </c>
      <c r="I242" s="250">
        <v>9325</v>
      </c>
      <c r="J242" s="252">
        <v>-9.1000000000000004E-3</v>
      </c>
      <c r="K242" s="250">
        <v>4408</v>
      </c>
      <c r="L242" s="250">
        <v>2476</v>
      </c>
      <c r="M242" s="250">
        <v>7104</v>
      </c>
      <c r="N242" s="250">
        <v>1420</v>
      </c>
      <c r="O242" s="250">
        <v>848</v>
      </c>
      <c r="P242" s="250">
        <v>2221</v>
      </c>
      <c r="Q242" s="253">
        <v>188016</v>
      </c>
      <c r="R242" s="254">
        <v>7.552548885345459</v>
      </c>
      <c r="S242" s="254">
        <v>4.5102543830871582</v>
      </c>
      <c r="T242" s="255">
        <v>11.812825202941895</v>
      </c>
    </row>
    <row r="243" spans="2:20">
      <c r="B243" s="249" t="s">
        <v>513</v>
      </c>
      <c r="C243" s="250" t="s">
        <v>282</v>
      </c>
      <c r="D243" s="250" t="s">
        <v>201</v>
      </c>
      <c r="E243" s="251">
        <v>12</v>
      </c>
      <c r="F243" s="251" t="s">
        <v>281</v>
      </c>
      <c r="G243" s="250">
        <v>5828</v>
      </c>
      <c r="H243" s="250">
        <v>3324</v>
      </c>
      <c r="I243" s="250">
        <v>9325</v>
      </c>
      <c r="J243" s="252">
        <v>-9.1000000000000004E-3</v>
      </c>
      <c r="K243" s="250">
        <v>4373</v>
      </c>
      <c r="L243" s="250">
        <v>2461</v>
      </c>
      <c r="M243" s="250">
        <v>7040</v>
      </c>
      <c r="N243" s="250">
        <v>1455</v>
      </c>
      <c r="O243" s="250">
        <v>863</v>
      </c>
      <c r="P243" s="250">
        <v>2285</v>
      </c>
      <c r="Q243" s="253">
        <v>143207</v>
      </c>
      <c r="R243" s="254">
        <v>10.160117149353027</v>
      </c>
      <c r="S243" s="254">
        <v>6.0262417793273926</v>
      </c>
      <c r="T243" s="255">
        <v>15.955923080444336</v>
      </c>
    </row>
    <row r="244" spans="2:20">
      <c r="B244" s="249" t="s">
        <v>513</v>
      </c>
      <c r="C244" s="250" t="s">
        <v>282</v>
      </c>
      <c r="D244" s="250" t="s">
        <v>201</v>
      </c>
      <c r="E244" s="251">
        <v>13</v>
      </c>
      <c r="F244" s="251" t="s">
        <v>281</v>
      </c>
      <c r="G244" s="250">
        <v>5828</v>
      </c>
      <c r="H244" s="250">
        <v>3324</v>
      </c>
      <c r="I244" s="250">
        <v>9325</v>
      </c>
      <c r="J244" s="252">
        <v>-9.1000000000000004E-3</v>
      </c>
      <c r="K244" s="250">
        <v>4322</v>
      </c>
      <c r="L244" s="250">
        <v>2435</v>
      </c>
      <c r="M244" s="250">
        <v>6962</v>
      </c>
      <c r="N244" s="250">
        <v>1506</v>
      </c>
      <c r="O244" s="250">
        <v>889</v>
      </c>
      <c r="P244" s="250">
        <v>2363</v>
      </c>
      <c r="Q244" s="253">
        <v>143207</v>
      </c>
      <c r="R244" s="254">
        <v>10.51624584197998</v>
      </c>
      <c r="S244" s="254">
        <v>6.2077970504760742</v>
      </c>
      <c r="T244" s="255">
        <v>16.500591278076172</v>
      </c>
    </row>
    <row r="245" spans="2:20">
      <c r="B245" s="249" t="s">
        <v>513</v>
      </c>
      <c r="C245" s="250" t="s">
        <v>282</v>
      </c>
      <c r="D245" s="250" t="s">
        <v>201</v>
      </c>
      <c r="E245" s="251">
        <v>14</v>
      </c>
      <c r="F245" s="251" t="s">
        <v>281</v>
      </c>
      <c r="G245" s="250">
        <v>5828</v>
      </c>
      <c r="H245" s="250">
        <v>3324</v>
      </c>
      <c r="I245" s="250">
        <v>9325</v>
      </c>
      <c r="J245" s="252">
        <v>-9.1000000000000004E-3</v>
      </c>
      <c r="K245" s="250">
        <v>4283</v>
      </c>
      <c r="L245" s="250">
        <v>2412</v>
      </c>
      <c r="M245" s="250">
        <v>6909</v>
      </c>
      <c r="N245" s="250">
        <v>1545</v>
      </c>
      <c r="O245" s="250">
        <v>912</v>
      </c>
      <c r="P245" s="250">
        <v>2416</v>
      </c>
      <c r="Q245" s="253">
        <v>143207</v>
      </c>
      <c r="R245" s="254">
        <v>10.788578987121582</v>
      </c>
      <c r="S245" s="254">
        <v>6.3684039115905762</v>
      </c>
      <c r="T245" s="255">
        <v>16.870683670043945</v>
      </c>
    </row>
    <row r="246" spans="2:20">
      <c r="B246" s="256" t="s">
        <v>513</v>
      </c>
      <c r="C246" s="257" t="s">
        <v>282</v>
      </c>
      <c r="D246" s="257" t="s">
        <v>201</v>
      </c>
      <c r="E246" s="258">
        <v>15</v>
      </c>
      <c r="F246" s="258" t="s">
        <v>281</v>
      </c>
      <c r="G246" s="257">
        <v>5828</v>
      </c>
      <c r="H246" s="257">
        <v>3324</v>
      </c>
      <c r="I246" s="257">
        <v>9325</v>
      </c>
      <c r="J246" s="259">
        <v>-9.1000000000000004E-3</v>
      </c>
      <c r="K246" s="257">
        <v>4251</v>
      </c>
      <c r="L246" s="257">
        <v>2394</v>
      </c>
      <c r="M246" s="257">
        <v>6850</v>
      </c>
      <c r="N246" s="257">
        <v>1577</v>
      </c>
      <c r="O246" s="257">
        <v>930</v>
      </c>
      <c r="P246" s="257">
        <v>2475</v>
      </c>
      <c r="Q246" s="260">
        <v>143207</v>
      </c>
      <c r="R246" s="261">
        <v>11.012031555175781</v>
      </c>
      <c r="S246" s="261">
        <v>6.4940958023071289</v>
      </c>
      <c r="T246" s="262">
        <v>17.282674789428711</v>
      </c>
    </row>
    <row r="247" spans="2:20">
      <c r="B247" s="249" t="s">
        <v>513</v>
      </c>
      <c r="C247" s="250" t="s">
        <v>77</v>
      </c>
      <c r="D247" s="250" t="s">
        <v>502</v>
      </c>
      <c r="E247" s="251">
        <v>1</v>
      </c>
      <c r="F247" s="251" t="s">
        <v>281</v>
      </c>
      <c r="G247" s="250">
        <v>5828</v>
      </c>
      <c r="H247" s="250">
        <v>3324</v>
      </c>
      <c r="I247" s="250">
        <v>9325</v>
      </c>
      <c r="J247" s="252">
        <v>-1.0800000000000001E-2</v>
      </c>
      <c r="K247" s="250">
        <v>5483</v>
      </c>
      <c r="L247" s="250">
        <v>3085</v>
      </c>
      <c r="M247" s="250">
        <v>8861</v>
      </c>
      <c r="N247" s="250">
        <v>345</v>
      </c>
      <c r="O247" s="250">
        <v>239</v>
      </c>
      <c r="P247" s="250">
        <v>464</v>
      </c>
      <c r="Q247" s="253">
        <v>291952</v>
      </c>
      <c r="R247" s="254">
        <v>1.1817010641098022</v>
      </c>
      <c r="S247" s="254">
        <v>0.81862771511077881</v>
      </c>
      <c r="T247" s="255">
        <v>1.5893023014068604</v>
      </c>
    </row>
    <row r="248" spans="2:20">
      <c r="B248" s="249" t="s">
        <v>513</v>
      </c>
      <c r="C248" s="250" t="s">
        <v>77</v>
      </c>
      <c r="D248" s="250" t="s">
        <v>502</v>
      </c>
      <c r="E248" s="251">
        <v>2</v>
      </c>
      <c r="F248" s="251" t="s">
        <v>281</v>
      </c>
      <c r="G248" s="250">
        <v>5828</v>
      </c>
      <c r="H248" s="250">
        <v>3324</v>
      </c>
      <c r="I248" s="250">
        <v>9325</v>
      </c>
      <c r="J248" s="252">
        <v>-1.0800000000000001E-2</v>
      </c>
      <c r="K248" s="250">
        <v>5437</v>
      </c>
      <c r="L248" s="250">
        <v>3062</v>
      </c>
      <c r="M248" s="250">
        <v>8790</v>
      </c>
      <c r="N248" s="250">
        <v>391</v>
      </c>
      <c r="O248" s="250">
        <v>262</v>
      </c>
      <c r="P248" s="250">
        <v>535</v>
      </c>
      <c r="Q248" s="253">
        <v>503800</v>
      </c>
      <c r="R248" s="254">
        <v>0.77610158920288086</v>
      </c>
      <c r="S248" s="254">
        <v>0.52004760503768921</v>
      </c>
      <c r="T248" s="255">
        <v>1.0619293451309204</v>
      </c>
    </row>
    <row r="249" spans="2:20">
      <c r="B249" s="249" t="s">
        <v>513</v>
      </c>
      <c r="C249" s="250" t="s">
        <v>77</v>
      </c>
      <c r="D249" s="250" t="s">
        <v>502</v>
      </c>
      <c r="E249" s="251">
        <v>3</v>
      </c>
      <c r="F249" s="251" t="s">
        <v>281</v>
      </c>
      <c r="G249" s="250">
        <v>5828</v>
      </c>
      <c r="H249" s="250">
        <v>3324</v>
      </c>
      <c r="I249" s="250">
        <v>9325</v>
      </c>
      <c r="J249" s="252">
        <v>-1.0800000000000001E-2</v>
      </c>
      <c r="K249" s="250">
        <v>5393</v>
      </c>
      <c r="L249" s="250">
        <v>3032</v>
      </c>
      <c r="M249" s="250">
        <v>8716</v>
      </c>
      <c r="N249" s="250">
        <v>435</v>
      </c>
      <c r="O249" s="250">
        <v>292</v>
      </c>
      <c r="P249" s="250">
        <v>609</v>
      </c>
      <c r="Q249" s="253">
        <v>336131</v>
      </c>
      <c r="R249" s="254">
        <v>1.2941383123397827</v>
      </c>
      <c r="S249" s="254">
        <v>0.86870896816253662</v>
      </c>
      <c r="T249" s="255">
        <v>1.8117936849594116</v>
      </c>
    </row>
    <row r="250" spans="2:20">
      <c r="B250" s="249" t="s">
        <v>513</v>
      </c>
      <c r="C250" s="250" t="s">
        <v>77</v>
      </c>
      <c r="D250" s="250" t="s">
        <v>502</v>
      </c>
      <c r="E250" s="251">
        <v>4</v>
      </c>
      <c r="F250" s="251" t="s">
        <v>281</v>
      </c>
      <c r="G250" s="250">
        <v>5828</v>
      </c>
      <c r="H250" s="250">
        <v>3324</v>
      </c>
      <c r="I250" s="250">
        <v>9325</v>
      </c>
      <c r="J250" s="252">
        <v>-1.0800000000000001E-2</v>
      </c>
      <c r="K250" s="250">
        <v>5343</v>
      </c>
      <c r="L250" s="250">
        <v>3005</v>
      </c>
      <c r="M250" s="250">
        <v>8635</v>
      </c>
      <c r="N250" s="250">
        <v>485</v>
      </c>
      <c r="O250" s="250">
        <v>319</v>
      </c>
      <c r="P250" s="250">
        <v>690</v>
      </c>
      <c r="Q250" s="253">
        <v>353502</v>
      </c>
      <c r="R250" s="254">
        <v>1.3719866275787354</v>
      </c>
      <c r="S250" s="254">
        <v>0.90239942073822021</v>
      </c>
      <c r="T250" s="255">
        <v>1.951898455619812</v>
      </c>
    </row>
    <row r="251" spans="2:20">
      <c r="B251" s="249" t="s">
        <v>513</v>
      </c>
      <c r="C251" s="250" t="s">
        <v>77</v>
      </c>
      <c r="D251" s="250" t="s">
        <v>502</v>
      </c>
      <c r="E251" s="251">
        <v>5</v>
      </c>
      <c r="F251" s="251" t="s">
        <v>281</v>
      </c>
      <c r="G251" s="250">
        <v>5828</v>
      </c>
      <c r="H251" s="250">
        <v>3324</v>
      </c>
      <c r="I251" s="250">
        <v>9325</v>
      </c>
      <c r="J251" s="252">
        <v>-1.0800000000000001E-2</v>
      </c>
      <c r="K251" s="250">
        <v>5289</v>
      </c>
      <c r="L251" s="250">
        <v>2977</v>
      </c>
      <c r="M251" s="250">
        <v>8543</v>
      </c>
      <c r="N251" s="250">
        <v>539</v>
      </c>
      <c r="O251" s="250">
        <v>347</v>
      </c>
      <c r="P251" s="250">
        <v>782</v>
      </c>
      <c r="Q251" s="253">
        <v>336131</v>
      </c>
      <c r="R251" s="254">
        <v>1.603541374206543</v>
      </c>
      <c r="S251" s="254">
        <v>1.0323355197906494</v>
      </c>
      <c r="T251" s="255">
        <v>2.3264737129211426</v>
      </c>
    </row>
    <row r="252" spans="2:20">
      <c r="B252" s="249" t="s">
        <v>513</v>
      </c>
      <c r="C252" s="250" t="s">
        <v>77</v>
      </c>
      <c r="D252" s="250" t="s">
        <v>201</v>
      </c>
      <c r="E252" s="251">
        <v>6</v>
      </c>
      <c r="F252" s="251" t="s">
        <v>281</v>
      </c>
      <c r="G252" s="250">
        <v>5828</v>
      </c>
      <c r="H252" s="250">
        <v>3324</v>
      </c>
      <c r="I252" s="250">
        <v>9325</v>
      </c>
      <c r="J252" s="252">
        <v>-8.0000000000000004E-4</v>
      </c>
      <c r="K252" s="250">
        <v>5288</v>
      </c>
      <c r="L252" s="250">
        <v>2975</v>
      </c>
      <c r="M252" s="250">
        <v>8540</v>
      </c>
      <c r="N252" s="250">
        <v>540</v>
      </c>
      <c r="O252" s="250">
        <v>349</v>
      </c>
      <c r="P252" s="250">
        <v>785</v>
      </c>
      <c r="Q252" s="253">
        <v>231478</v>
      </c>
      <c r="R252" s="254">
        <v>2.3328349590301514</v>
      </c>
      <c r="S252" s="254">
        <v>1.5077025890350342</v>
      </c>
      <c r="T252" s="255">
        <v>3.3912510871887207</v>
      </c>
    </row>
    <row r="253" spans="2:20">
      <c r="B253" s="249" t="s">
        <v>513</v>
      </c>
      <c r="C253" s="250" t="s">
        <v>77</v>
      </c>
      <c r="D253" s="250" t="s">
        <v>201</v>
      </c>
      <c r="E253" s="251">
        <v>7</v>
      </c>
      <c r="F253" s="251" t="s">
        <v>281</v>
      </c>
      <c r="G253" s="250">
        <v>5828</v>
      </c>
      <c r="H253" s="250">
        <v>3324</v>
      </c>
      <c r="I253" s="250">
        <v>9325</v>
      </c>
      <c r="J253" s="252">
        <v>-8.0000000000000004E-4</v>
      </c>
      <c r="K253" s="250">
        <v>5284</v>
      </c>
      <c r="L253" s="250">
        <v>2973</v>
      </c>
      <c r="M253" s="250">
        <v>8533</v>
      </c>
      <c r="N253" s="250">
        <v>544</v>
      </c>
      <c r="O253" s="250">
        <v>351</v>
      </c>
      <c r="P253" s="250">
        <v>792</v>
      </c>
      <c r="Q253" s="253">
        <v>177294</v>
      </c>
      <c r="R253" s="254">
        <v>3.0683498382568359</v>
      </c>
      <c r="S253" s="254">
        <v>1.9797624349594116</v>
      </c>
      <c r="T253" s="255">
        <v>4.4671564102172852</v>
      </c>
    </row>
    <row r="254" spans="2:20">
      <c r="B254" s="249" t="s">
        <v>513</v>
      </c>
      <c r="C254" s="250" t="s">
        <v>77</v>
      </c>
      <c r="D254" s="250" t="s">
        <v>201</v>
      </c>
      <c r="E254" s="251">
        <v>8</v>
      </c>
      <c r="F254" s="251" t="s">
        <v>281</v>
      </c>
      <c r="G254" s="250">
        <v>5828</v>
      </c>
      <c r="H254" s="250">
        <v>3324</v>
      </c>
      <c r="I254" s="250">
        <v>9325</v>
      </c>
      <c r="J254" s="252">
        <v>-8.0000000000000004E-4</v>
      </c>
      <c r="K254" s="250">
        <v>5280</v>
      </c>
      <c r="L254" s="250">
        <v>2971</v>
      </c>
      <c r="M254" s="250">
        <v>8528</v>
      </c>
      <c r="N254" s="250">
        <v>548</v>
      </c>
      <c r="O254" s="250">
        <v>353</v>
      </c>
      <c r="P254" s="250">
        <v>797</v>
      </c>
      <c r="Q254" s="253">
        <v>159923</v>
      </c>
      <c r="R254" s="254">
        <v>3.4266490936279297</v>
      </c>
      <c r="S254" s="254">
        <v>2.2073123455047607</v>
      </c>
      <c r="T254" s="255">
        <v>4.9836483001708984</v>
      </c>
    </row>
    <row r="255" spans="2:20">
      <c r="B255" s="249" t="s">
        <v>513</v>
      </c>
      <c r="C255" s="250" t="s">
        <v>77</v>
      </c>
      <c r="D255" s="250" t="s">
        <v>201</v>
      </c>
      <c r="E255" s="251">
        <v>9</v>
      </c>
      <c r="F255" s="251" t="s">
        <v>281</v>
      </c>
      <c r="G255" s="250">
        <v>5828</v>
      </c>
      <c r="H255" s="250">
        <v>3324</v>
      </c>
      <c r="I255" s="250">
        <v>9325</v>
      </c>
      <c r="J255" s="252">
        <v>-8.0000000000000004E-4</v>
      </c>
      <c r="K255" s="250">
        <v>5272</v>
      </c>
      <c r="L255" s="250">
        <v>2966</v>
      </c>
      <c r="M255" s="250">
        <v>8518</v>
      </c>
      <c r="N255" s="250">
        <v>556</v>
      </c>
      <c r="O255" s="250">
        <v>358</v>
      </c>
      <c r="P255" s="250">
        <v>807</v>
      </c>
      <c r="Q255" s="253">
        <v>159923</v>
      </c>
      <c r="R255" s="254">
        <v>3.4766731262207031</v>
      </c>
      <c r="S255" s="254">
        <v>2.238577127456665</v>
      </c>
      <c r="T255" s="255">
        <v>5.0461788177490234</v>
      </c>
    </row>
    <row r="256" spans="2:20">
      <c r="B256" s="249" t="s">
        <v>513</v>
      </c>
      <c r="C256" s="250" t="s">
        <v>77</v>
      </c>
      <c r="D256" s="250" t="s">
        <v>201</v>
      </c>
      <c r="E256" s="251">
        <v>10</v>
      </c>
      <c r="F256" s="251" t="s">
        <v>281</v>
      </c>
      <c r="G256" s="250">
        <v>5828</v>
      </c>
      <c r="H256" s="250">
        <v>3324</v>
      </c>
      <c r="I256" s="250">
        <v>9325</v>
      </c>
      <c r="J256" s="252">
        <v>-8.0000000000000004E-4</v>
      </c>
      <c r="K256" s="250">
        <v>5269</v>
      </c>
      <c r="L256" s="250">
        <v>2965</v>
      </c>
      <c r="M256" s="250">
        <v>8512</v>
      </c>
      <c r="N256" s="250">
        <v>559</v>
      </c>
      <c r="O256" s="250">
        <v>359</v>
      </c>
      <c r="P256" s="250">
        <v>813</v>
      </c>
      <c r="Q256" s="253">
        <v>177294</v>
      </c>
      <c r="R256" s="254">
        <v>3.1529550552368164</v>
      </c>
      <c r="S256" s="254">
        <v>2.0248851776123047</v>
      </c>
      <c r="T256" s="255">
        <v>4.5856037139892578</v>
      </c>
    </row>
    <row r="257" spans="2:20">
      <c r="B257" s="249" t="s">
        <v>513</v>
      </c>
      <c r="C257" s="250" t="s">
        <v>77</v>
      </c>
      <c r="D257" s="250" t="s">
        <v>201</v>
      </c>
      <c r="E257" s="251">
        <v>11</v>
      </c>
      <c r="F257" s="251" t="s">
        <v>281</v>
      </c>
      <c r="G257" s="250">
        <v>5828</v>
      </c>
      <c r="H257" s="250">
        <v>3324</v>
      </c>
      <c r="I257" s="250">
        <v>9325</v>
      </c>
      <c r="J257" s="252">
        <v>-8.0000000000000004E-4</v>
      </c>
      <c r="K257" s="250">
        <v>5267</v>
      </c>
      <c r="L257" s="250">
        <v>2964</v>
      </c>
      <c r="M257" s="250">
        <v>8507</v>
      </c>
      <c r="N257" s="250">
        <v>561</v>
      </c>
      <c r="O257" s="250">
        <v>360</v>
      </c>
      <c r="P257" s="250">
        <v>818</v>
      </c>
      <c r="Q257" s="253">
        <v>231478</v>
      </c>
      <c r="R257" s="254">
        <v>2.4235565662384033</v>
      </c>
      <c r="S257" s="254">
        <v>1.5552233457565308</v>
      </c>
      <c r="T257" s="255">
        <v>3.5338132381439209</v>
      </c>
    </row>
    <row r="258" spans="2:20">
      <c r="B258" s="249" t="s">
        <v>513</v>
      </c>
      <c r="C258" s="250" t="s">
        <v>77</v>
      </c>
      <c r="D258" s="250" t="s">
        <v>201</v>
      </c>
      <c r="E258" s="251">
        <v>12</v>
      </c>
      <c r="F258" s="251" t="s">
        <v>281</v>
      </c>
      <c r="G258" s="250">
        <v>5828</v>
      </c>
      <c r="H258" s="250">
        <v>3324</v>
      </c>
      <c r="I258" s="250">
        <v>9325</v>
      </c>
      <c r="J258" s="252">
        <v>-8.0000000000000004E-4</v>
      </c>
      <c r="K258" s="250">
        <v>5264</v>
      </c>
      <c r="L258" s="250">
        <v>2962</v>
      </c>
      <c r="M258" s="250">
        <v>8504</v>
      </c>
      <c r="N258" s="250">
        <v>564</v>
      </c>
      <c r="O258" s="250">
        <v>362</v>
      </c>
      <c r="P258" s="250">
        <v>821</v>
      </c>
      <c r="Q258" s="253">
        <v>159923</v>
      </c>
      <c r="R258" s="254">
        <v>3.5266971588134766</v>
      </c>
      <c r="S258" s="254">
        <v>2.2635893821716309</v>
      </c>
      <c r="T258" s="255">
        <v>5.1337203979492188</v>
      </c>
    </row>
    <row r="259" spans="2:20">
      <c r="B259" s="249" t="s">
        <v>513</v>
      </c>
      <c r="C259" s="250" t="s">
        <v>77</v>
      </c>
      <c r="D259" s="250" t="s">
        <v>201</v>
      </c>
      <c r="E259" s="251">
        <v>13</v>
      </c>
      <c r="F259" s="251" t="s">
        <v>281</v>
      </c>
      <c r="G259" s="250">
        <v>5828</v>
      </c>
      <c r="H259" s="250">
        <v>3324</v>
      </c>
      <c r="I259" s="250">
        <v>9325</v>
      </c>
      <c r="J259" s="252">
        <v>-8.0000000000000004E-4</v>
      </c>
      <c r="K259" s="250">
        <v>5259</v>
      </c>
      <c r="L259" s="250">
        <v>2957</v>
      </c>
      <c r="M259" s="250">
        <v>8492</v>
      </c>
      <c r="N259" s="250">
        <v>569</v>
      </c>
      <c r="O259" s="250">
        <v>367</v>
      </c>
      <c r="P259" s="250">
        <v>833</v>
      </c>
      <c r="Q259" s="253">
        <v>177294</v>
      </c>
      <c r="R259" s="254">
        <v>3.2093584537506104</v>
      </c>
      <c r="S259" s="254">
        <v>2.0700080394744873</v>
      </c>
      <c r="T259" s="255">
        <v>4.6984105110168457</v>
      </c>
    </row>
    <row r="260" spans="2:20">
      <c r="B260" s="249" t="s">
        <v>513</v>
      </c>
      <c r="C260" s="250" t="s">
        <v>77</v>
      </c>
      <c r="D260" s="250" t="s">
        <v>201</v>
      </c>
      <c r="E260" s="251">
        <v>14</v>
      </c>
      <c r="F260" s="251" t="s">
        <v>281</v>
      </c>
      <c r="G260" s="250">
        <v>5828</v>
      </c>
      <c r="H260" s="250">
        <v>3324</v>
      </c>
      <c r="I260" s="250">
        <v>9325</v>
      </c>
      <c r="J260" s="252">
        <v>-8.0000000000000004E-4</v>
      </c>
      <c r="K260" s="250">
        <v>5256</v>
      </c>
      <c r="L260" s="250">
        <v>2956</v>
      </c>
      <c r="M260" s="250">
        <v>8488</v>
      </c>
      <c r="N260" s="250">
        <v>572</v>
      </c>
      <c r="O260" s="250">
        <v>368</v>
      </c>
      <c r="P260" s="250">
        <v>837</v>
      </c>
      <c r="Q260" s="253">
        <v>159923</v>
      </c>
      <c r="R260" s="254">
        <v>3.57672119140625</v>
      </c>
      <c r="S260" s="254">
        <v>2.3011074066162109</v>
      </c>
      <c r="T260" s="255">
        <v>5.2337689399719238</v>
      </c>
    </row>
    <row r="261" spans="2:20">
      <c r="B261" s="256" t="s">
        <v>513</v>
      </c>
      <c r="C261" s="257" t="s">
        <v>77</v>
      </c>
      <c r="D261" s="257" t="s">
        <v>201</v>
      </c>
      <c r="E261" s="258">
        <v>15</v>
      </c>
      <c r="F261" s="258" t="s">
        <v>281</v>
      </c>
      <c r="G261" s="257">
        <v>5828</v>
      </c>
      <c r="H261" s="257">
        <v>3324</v>
      </c>
      <c r="I261" s="257">
        <v>9325</v>
      </c>
      <c r="J261" s="259">
        <v>-8.0000000000000004E-4</v>
      </c>
      <c r="K261" s="257">
        <v>5253</v>
      </c>
      <c r="L261" s="257">
        <v>2955</v>
      </c>
      <c r="M261" s="257">
        <v>8485</v>
      </c>
      <c r="N261" s="257">
        <v>575</v>
      </c>
      <c r="O261" s="257">
        <v>369</v>
      </c>
      <c r="P261" s="257">
        <v>840</v>
      </c>
      <c r="Q261" s="260">
        <v>159923</v>
      </c>
      <c r="R261" s="261">
        <v>3.59548020362854</v>
      </c>
      <c r="S261" s="261">
        <v>2.3073604106903076</v>
      </c>
      <c r="T261" s="262">
        <v>5.252528190612793</v>
      </c>
    </row>
    <row r="262" spans="2:20">
      <c r="B262" s="249" t="s">
        <v>513</v>
      </c>
      <c r="C262" s="250" t="s">
        <v>121</v>
      </c>
      <c r="D262" s="250" t="s">
        <v>502</v>
      </c>
      <c r="E262" s="251">
        <v>1</v>
      </c>
      <c r="F262" s="251" t="s">
        <v>281</v>
      </c>
      <c r="G262" s="250">
        <v>5828</v>
      </c>
      <c r="H262" s="250">
        <v>3324</v>
      </c>
      <c r="I262" s="250">
        <v>9325</v>
      </c>
      <c r="J262" s="252">
        <v>-0.02</v>
      </c>
      <c r="K262" s="250">
        <v>5445</v>
      </c>
      <c r="L262" s="250">
        <v>3067</v>
      </c>
      <c r="M262" s="250">
        <v>8803</v>
      </c>
      <c r="N262" s="250">
        <v>383</v>
      </c>
      <c r="O262" s="250">
        <v>257</v>
      </c>
      <c r="P262" s="250">
        <v>522</v>
      </c>
      <c r="Q262" s="253">
        <v>133969</v>
      </c>
      <c r="R262" s="254">
        <v>2.8588705062866211</v>
      </c>
      <c r="S262" s="254">
        <v>1.9183541536331177</v>
      </c>
      <c r="T262" s="255">
        <v>3.8964238166809082</v>
      </c>
    </row>
    <row r="263" spans="2:20">
      <c r="B263" s="249" t="s">
        <v>513</v>
      </c>
      <c r="C263" s="250" t="s">
        <v>121</v>
      </c>
      <c r="D263" s="250" t="s">
        <v>502</v>
      </c>
      <c r="E263" s="251">
        <v>2</v>
      </c>
      <c r="F263" s="251" t="s">
        <v>281</v>
      </c>
      <c r="G263" s="250">
        <v>5828</v>
      </c>
      <c r="H263" s="250">
        <v>3324</v>
      </c>
      <c r="I263" s="250">
        <v>9325</v>
      </c>
      <c r="J263" s="252">
        <v>-0.02</v>
      </c>
      <c r="K263" s="250">
        <v>5359</v>
      </c>
      <c r="L263" s="250">
        <v>3014</v>
      </c>
      <c r="M263" s="250">
        <v>8659</v>
      </c>
      <c r="N263" s="250">
        <v>469</v>
      </c>
      <c r="O263" s="250">
        <v>310</v>
      </c>
      <c r="P263" s="250">
        <v>666</v>
      </c>
      <c r="Q263" s="253">
        <v>273304</v>
      </c>
      <c r="R263" s="254">
        <v>1.7160378694534302</v>
      </c>
      <c r="S263" s="254">
        <v>1.1342681646347046</v>
      </c>
      <c r="T263" s="255">
        <v>2.4368469715118408</v>
      </c>
    </row>
    <row r="264" spans="2:20">
      <c r="B264" s="249" t="s">
        <v>513</v>
      </c>
      <c r="C264" s="250" t="s">
        <v>121</v>
      </c>
      <c r="D264" s="250" t="s">
        <v>502</v>
      </c>
      <c r="E264" s="251">
        <v>3</v>
      </c>
      <c r="F264" s="251" t="s">
        <v>281</v>
      </c>
      <c r="G264" s="250">
        <v>5828</v>
      </c>
      <c r="H264" s="250">
        <v>3324</v>
      </c>
      <c r="I264" s="250">
        <v>9325</v>
      </c>
      <c r="J264" s="252">
        <v>-0.02</v>
      </c>
      <c r="K264" s="250">
        <v>5262</v>
      </c>
      <c r="L264" s="250">
        <v>2961</v>
      </c>
      <c r="M264" s="250">
        <v>8499</v>
      </c>
      <c r="N264" s="250">
        <v>566</v>
      </c>
      <c r="O264" s="250">
        <v>363</v>
      </c>
      <c r="P264" s="250">
        <v>826</v>
      </c>
      <c r="Q264" s="253">
        <v>170998</v>
      </c>
      <c r="R264" s="254">
        <v>3.3099801540374756</v>
      </c>
      <c r="S264" s="254">
        <v>2.1228318214416504</v>
      </c>
      <c r="T264" s="255">
        <v>4.8304657936096191</v>
      </c>
    </row>
    <row r="265" spans="2:20">
      <c r="B265" s="249" t="s">
        <v>513</v>
      </c>
      <c r="C265" s="250" t="s">
        <v>121</v>
      </c>
      <c r="D265" s="250" t="s">
        <v>502</v>
      </c>
      <c r="E265" s="251">
        <v>4</v>
      </c>
      <c r="F265" s="251" t="s">
        <v>281</v>
      </c>
      <c r="G265" s="250">
        <v>5828</v>
      </c>
      <c r="H265" s="250">
        <v>3324</v>
      </c>
      <c r="I265" s="250">
        <v>9325</v>
      </c>
      <c r="J265" s="252">
        <v>-0.02</v>
      </c>
      <c r="K265" s="250">
        <v>5163</v>
      </c>
      <c r="L265" s="250">
        <v>2904</v>
      </c>
      <c r="M265" s="250">
        <v>8325</v>
      </c>
      <c r="N265" s="250">
        <v>665</v>
      </c>
      <c r="O265" s="250">
        <v>420</v>
      </c>
      <c r="P265" s="250">
        <v>1000</v>
      </c>
      <c r="Q265" s="253">
        <v>170998</v>
      </c>
      <c r="R265" s="254">
        <v>3.8889343738555908</v>
      </c>
      <c r="S265" s="254">
        <v>2.4561691284179688</v>
      </c>
      <c r="T265" s="255">
        <v>5.8480215072631836</v>
      </c>
    </row>
    <row r="266" spans="2:20">
      <c r="B266" s="249" t="s">
        <v>513</v>
      </c>
      <c r="C266" s="250" t="s">
        <v>121</v>
      </c>
      <c r="D266" s="250" t="s">
        <v>502</v>
      </c>
      <c r="E266" s="251">
        <v>5</v>
      </c>
      <c r="F266" s="251" t="s">
        <v>281</v>
      </c>
      <c r="G266" s="250">
        <v>5828</v>
      </c>
      <c r="H266" s="250">
        <v>3324</v>
      </c>
      <c r="I266" s="250">
        <v>9325</v>
      </c>
      <c r="J266" s="252">
        <v>-0.02</v>
      </c>
      <c r="K266" s="250">
        <v>5073</v>
      </c>
      <c r="L266" s="250">
        <v>2860</v>
      </c>
      <c r="M266" s="250">
        <v>8171</v>
      </c>
      <c r="N266" s="250">
        <v>755</v>
      </c>
      <c r="O266" s="250">
        <v>464</v>
      </c>
      <c r="P266" s="250">
        <v>1154</v>
      </c>
      <c r="Q266" s="253">
        <v>170998</v>
      </c>
      <c r="R266" s="254">
        <v>4.4152565002441406</v>
      </c>
      <c r="S266" s="254">
        <v>2.713482141494751</v>
      </c>
      <c r="T266" s="255">
        <v>6.7486171722412109</v>
      </c>
    </row>
    <row r="267" spans="2:20">
      <c r="B267" s="249" t="s">
        <v>513</v>
      </c>
      <c r="C267" s="250" t="s">
        <v>121</v>
      </c>
      <c r="D267" s="250" t="s">
        <v>201</v>
      </c>
      <c r="E267" s="251">
        <v>6</v>
      </c>
      <c r="F267" s="251" t="s">
        <v>281</v>
      </c>
      <c r="G267" s="250">
        <v>5828</v>
      </c>
      <c r="H267" s="250">
        <v>3324</v>
      </c>
      <c r="I267" s="250">
        <v>9325</v>
      </c>
      <c r="J267" s="252">
        <v>-2E-3</v>
      </c>
      <c r="K267" s="250">
        <v>5063</v>
      </c>
      <c r="L267" s="250">
        <v>2855</v>
      </c>
      <c r="M267" s="250">
        <v>8160</v>
      </c>
      <c r="N267" s="250">
        <v>765</v>
      </c>
      <c r="O267" s="250">
        <v>469</v>
      </c>
      <c r="P267" s="250">
        <v>1165</v>
      </c>
      <c r="Q267" s="253">
        <v>123966</v>
      </c>
      <c r="R267" s="254">
        <v>6.1710467338562012</v>
      </c>
      <c r="S267" s="254">
        <v>3.7832953929901123</v>
      </c>
      <c r="T267" s="255">
        <v>9.3977375030517578</v>
      </c>
    </row>
    <row r="268" spans="2:20">
      <c r="B268" s="249" t="s">
        <v>513</v>
      </c>
      <c r="C268" s="250" t="s">
        <v>121</v>
      </c>
      <c r="D268" s="250" t="s">
        <v>201</v>
      </c>
      <c r="E268" s="251">
        <v>7</v>
      </c>
      <c r="F268" s="251" t="s">
        <v>281</v>
      </c>
      <c r="G268" s="250">
        <v>5828</v>
      </c>
      <c r="H268" s="250">
        <v>3324</v>
      </c>
      <c r="I268" s="250">
        <v>9325</v>
      </c>
      <c r="J268" s="252">
        <v>-2E-3</v>
      </c>
      <c r="K268" s="250">
        <v>5057</v>
      </c>
      <c r="L268" s="250">
        <v>2850</v>
      </c>
      <c r="M268" s="250">
        <v>8147</v>
      </c>
      <c r="N268" s="250">
        <v>771</v>
      </c>
      <c r="O268" s="250">
        <v>474</v>
      </c>
      <c r="P268" s="250">
        <v>1178</v>
      </c>
      <c r="Q268" s="253">
        <v>93727</v>
      </c>
      <c r="R268" s="254">
        <v>8.226017951965332</v>
      </c>
      <c r="S268" s="254">
        <v>5.0572409629821777</v>
      </c>
      <c r="T268" s="255">
        <v>12.568416595458984</v>
      </c>
    </row>
    <row r="269" spans="2:20">
      <c r="B269" s="249" t="s">
        <v>513</v>
      </c>
      <c r="C269" s="250" t="s">
        <v>121</v>
      </c>
      <c r="D269" s="250" t="s">
        <v>201</v>
      </c>
      <c r="E269" s="251">
        <v>8</v>
      </c>
      <c r="F269" s="251" t="s">
        <v>281</v>
      </c>
      <c r="G269" s="250">
        <v>5828</v>
      </c>
      <c r="H269" s="250">
        <v>3324</v>
      </c>
      <c r="I269" s="250">
        <v>9325</v>
      </c>
      <c r="J269" s="252">
        <v>-2E-3</v>
      </c>
      <c r="K269" s="250">
        <v>5038</v>
      </c>
      <c r="L269" s="250">
        <v>2838</v>
      </c>
      <c r="M269" s="250">
        <v>8114</v>
      </c>
      <c r="N269" s="250">
        <v>790</v>
      </c>
      <c r="O269" s="250">
        <v>486</v>
      </c>
      <c r="P269" s="250">
        <v>1211</v>
      </c>
      <c r="Q269" s="253">
        <v>93727</v>
      </c>
      <c r="R269" s="254">
        <v>8.4287347793579102</v>
      </c>
      <c r="S269" s="254">
        <v>5.185272216796875</v>
      </c>
      <c r="T269" s="255">
        <v>12.920503616333008</v>
      </c>
    </row>
    <row r="270" spans="2:20">
      <c r="B270" s="249" t="s">
        <v>513</v>
      </c>
      <c r="C270" s="250" t="s">
        <v>121</v>
      </c>
      <c r="D270" s="250" t="s">
        <v>201</v>
      </c>
      <c r="E270" s="251">
        <v>9</v>
      </c>
      <c r="F270" s="251" t="s">
        <v>281</v>
      </c>
      <c r="G270" s="250">
        <v>5828</v>
      </c>
      <c r="H270" s="250">
        <v>3324</v>
      </c>
      <c r="I270" s="250">
        <v>9325</v>
      </c>
      <c r="J270" s="252">
        <v>-2E-3</v>
      </c>
      <c r="K270" s="250">
        <v>5029</v>
      </c>
      <c r="L270" s="250">
        <v>2834</v>
      </c>
      <c r="M270" s="250">
        <v>8102</v>
      </c>
      <c r="N270" s="250">
        <v>799</v>
      </c>
      <c r="O270" s="250">
        <v>490</v>
      </c>
      <c r="P270" s="250">
        <v>1223</v>
      </c>
      <c r="Q270" s="253">
        <v>93727</v>
      </c>
      <c r="R270" s="254">
        <v>8.5247573852539063</v>
      </c>
      <c r="S270" s="254">
        <v>5.2279496192932129</v>
      </c>
      <c r="T270" s="255">
        <v>13.048534393310547</v>
      </c>
    </row>
    <row r="271" spans="2:20">
      <c r="B271" s="249" t="s">
        <v>513</v>
      </c>
      <c r="C271" s="250" t="s">
        <v>121</v>
      </c>
      <c r="D271" s="250" t="s">
        <v>201</v>
      </c>
      <c r="E271" s="251">
        <v>10</v>
      </c>
      <c r="F271" s="251" t="s">
        <v>281</v>
      </c>
      <c r="G271" s="250">
        <v>5828</v>
      </c>
      <c r="H271" s="250">
        <v>3324</v>
      </c>
      <c r="I271" s="250">
        <v>9325</v>
      </c>
      <c r="J271" s="252">
        <v>-2E-3</v>
      </c>
      <c r="K271" s="250">
        <v>5018</v>
      </c>
      <c r="L271" s="250">
        <v>2829</v>
      </c>
      <c r="M271" s="250">
        <v>8091</v>
      </c>
      <c r="N271" s="250">
        <v>810</v>
      </c>
      <c r="O271" s="250">
        <v>495</v>
      </c>
      <c r="P271" s="250">
        <v>1234</v>
      </c>
      <c r="Q271" s="253">
        <v>93727</v>
      </c>
      <c r="R271" s="254">
        <v>8.642120361328125</v>
      </c>
      <c r="S271" s="254">
        <v>5.2812957763671875</v>
      </c>
      <c r="T271" s="255">
        <v>13.165896415710449</v>
      </c>
    </row>
    <row r="272" spans="2:20">
      <c r="B272" s="249" t="s">
        <v>513</v>
      </c>
      <c r="C272" s="250" t="s">
        <v>121</v>
      </c>
      <c r="D272" s="250" t="s">
        <v>201</v>
      </c>
      <c r="E272" s="251">
        <v>11</v>
      </c>
      <c r="F272" s="251" t="s">
        <v>281</v>
      </c>
      <c r="G272" s="250">
        <v>5828</v>
      </c>
      <c r="H272" s="250">
        <v>3324</v>
      </c>
      <c r="I272" s="250">
        <v>9325</v>
      </c>
      <c r="J272" s="252">
        <v>-2E-3</v>
      </c>
      <c r="K272" s="250">
        <v>5011</v>
      </c>
      <c r="L272" s="250">
        <v>2822</v>
      </c>
      <c r="M272" s="250">
        <v>8074</v>
      </c>
      <c r="N272" s="250">
        <v>817</v>
      </c>
      <c r="O272" s="250">
        <v>502</v>
      </c>
      <c r="P272" s="250">
        <v>1251</v>
      </c>
      <c r="Q272" s="253">
        <v>123966</v>
      </c>
      <c r="R272" s="254">
        <v>6.5905165672302246</v>
      </c>
      <c r="S272" s="254">
        <v>4.0494976043701172</v>
      </c>
      <c r="T272" s="255">
        <v>10.091477394104004</v>
      </c>
    </row>
    <row r="273" spans="2:20">
      <c r="B273" s="249" t="s">
        <v>513</v>
      </c>
      <c r="C273" s="250" t="s">
        <v>121</v>
      </c>
      <c r="D273" s="250" t="s">
        <v>201</v>
      </c>
      <c r="E273" s="251">
        <v>12</v>
      </c>
      <c r="F273" s="251" t="s">
        <v>281</v>
      </c>
      <c r="G273" s="250">
        <v>5828</v>
      </c>
      <c r="H273" s="250">
        <v>3324</v>
      </c>
      <c r="I273" s="250">
        <v>9325</v>
      </c>
      <c r="J273" s="252">
        <v>-2E-3</v>
      </c>
      <c r="K273" s="250">
        <v>4998</v>
      </c>
      <c r="L273" s="250">
        <v>2818</v>
      </c>
      <c r="M273" s="250">
        <v>8057</v>
      </c>
      <c r="N273" s="250">
        <v>830</v>
      </c>
      <c r="O273" s="250">
        <v>506</v>
      </c>
      <c r="P273" s="250">
        <v>1268</v>
      </c>
      <c r="Q273" s="253">
        <v>93727</v>
      </c>
      <c r="R273" s="254">
        <v>8.8555059432983398</v>
      </c>
      <c r="S273" s="254">
        <v>5.3986577987670898</v>
      </c>
      <c r="T273" s="255">
        <v>13.528652191162109</v>
      </c>
    </row>
    <row r="274" spans="2:20">
      <c r="B274" s="249" t="s">
        <v>513</v>
      </c>
      <c r="C274" s="250" t="s">
        <v>121</v>
      </c>
      <c r="D274" s="250" t="s">
        <v>201</v>
      </c>
      <c r="E274" s="251">
        <v>13</v>
      </c>
      <c r="F274" s="251" t="s">
        <v>281</v>
      </c>
      <c r="G274" s="250">
        <v>5828</v>
      </c>
      <c r="H274" s="250">
        <v>3324</v>
      </c>
      <c r="I274" s="250">
        <v>9325</v>
      </c>
      <c r="J274" s="252">
        <v>-2E-3</v>
      </c>
      <c r="K274" s="250">
        <v>4989</v>
      </c>
      <c r="L274" s="250">
        <v>2814</v>
      </c>
      <c r="M274" s="250">
        <v>8047</v>
      </c>
      <c r="N274" s="250">
        <v>839</v>
      </c>
      <c r="O274" s="250">
        <v>510</v>
      </c>
      <c r="P274" s="250">
        <v>1278</v>
      </c>
      <c r="Q274" s="253">
        <v>93727</v>
      </c>
      <c r="R274" s="254">
        <v>8.9515295028686523</v>
      </c>
      <c r="S274" s="254">
        <v>5.4413352012634277</v>
      </c>
      <c r="T274" s="255">
        <v>13.635344505310059</v>
      </c>
    </row>
    <row r="275" spans="2:20">
      <c r="B275" s="249" t="s">
        <v>513</v>
      </c>
      <c r="C275" s="250" t="s">
        <v>121</v>
      </c>
      <c r="D275" s="250" t="s">
        <v>201</v>
      </c>
      <c r="E275" s="251">
        <v>14</v>
      </c>
      <c r="F275" s="251" t="s">
        <v>281</v>
      </c>
      <c r="G275" s="250">
        <v>5828</v>
      </c>
      <c r="H275" s="250">
        <v>3324</v>
      </c>
      <c r="I275" s="250">
        <v>9325</v>
      </c>
      <c r="J275" s="252">
        <v>-2E-3</v>
      </c>
      <c r="K275" s="250">
        <v>4958</v>
      </c>
      <c r="L275" s="250">
        <v>2805</v>
      </c>
      <c r="M275" s="250">
        <v>8022</v>
      </c>
      <c r="N275" s="250">
        <v>870</v>
      </c>
      <c r="O275" s="250">
        <v>519</v>
      </c>
      <c r="P275" s="250">
        <v>1303</v>
      </c>
      <c r="Q275" s="253">
        <v>93727</v>
      </c>
      <c r="R275" s="254">
        <v>9.2822771072387695</v>
      </c>
      <c r="S275" s="254">
        <v>5.5373587608337402</v>
      </c>
      <c r="T275" s="255">
        <v>13.902077674865723</v>
      </c>
    </row>
    <row r="276" spans="2:20">
      <c r="B276" s="256" t="s">
        <v>513</v>
      </c>
      <c r="C276" s="257" t="s">
        <v>121</v>
      </c>
      <c r="D276" s="257" t="s">
        <v>201</v>
      </c>
      <c r="E276" s="258">
        <v>15</v>
      </c>
      <c r="F276" s="258" t="s">
        <v>281</v>
      </c>
      <c r="G276" s="257">
        <v>5828</v>
      </c>
      <c r="H276" s="257">
        <v>3324</v>
      </c>
      <c r="I276" s="257">
        <v>9325</v>
      </c>
      <c r="J276" s="259">
        <v>-2E-3</v>
      </c>
      <c r="K276" s="257">
        <v>4952</v>
      </c>
      <c r="L276" s="257">
        <v>2800</v>
      </c>
      <c r="M276" s="257">
        <v>8005</v>
      </c>
      <c r="N276" s="257">
        <v>876</v>
      </c>
      <c r="O276" s="257">
        <v>524</v>
      </c>
      <c r="P276" s="257">
        <v>1320</v>
      </c>
      <c r="Q276" s="260">
        <v>93727</v>
      </c>
      <c r="R276" s="261">
        <v>9.3462934494018555</v>
      </c>
      <c r="S276" s="261">
        <v>5.5907049179077148</v>
      </c>
      <c r="T276" s="262">
        <v>14.083455085754395</v>
      </c>
    </row>
    <row r="277" spans="2:20">
      <c r="B277" s="249" t="s">
        <v>513</v>
      </c>
      <c r="C277" s="250" t="s">
        <v>122</v>
      </c>
      <c r="D277" s="250" t="s">
        <v>502</v>
      </c>
      <c r="E277" s="251">
        <v>1</v>
      </c>
      <c r="F277" s="251" t="s">
        <v>281</v>
      </c>
      <c r="G277" s="250">
        <v>5828</v>
      </c>
      <c r="H277" s="250">
        <v>3324</v>
      </c>
      <c r="I277" s="250">
        <v>9325</v>
      </c>
      <c r="J277" s="252">
        <v>-1.2E-2</v>
      </c>
      <c r="K277" s="250">
        <v>5480</v>
      </c>
      <c r="L277" s="250">
        <v>3084</v>
      </c>
      <c r="M277" s="250">
        <v>8856</v>
      </c>
      <c r="N277" s="250">
        <v>348</v>
      </c>
      <c r="O277" s="250">
        <v>240</v>
      </c>
      <c r="P277" s="250">
        <v>469</v>
      </c>
      <c r="Q277" s="253">
        <v>131759</v>
      </c>
      <c r="R277" s="254">
        <v>2.641185998916626</v>
      </c>
      <c r="S277" s="254">
        <v>1.821507453918457</v>
      </c>
      <c r="T277" s="255">
        <v>3.5595290660858154</v>
      </c>
    </row>
    <row r="278" spans="2:20">
      <c r="B278" s="249" t="s">
        <v>513</v>
      </c>
      <c r="C278" s="250" t="s">
        <v>122</v>
      </c>
      <c r="D278" s="250" t="s">
        <v>502</v>
      </c>
      <c r="E278" s="251">
        <v>2</v>
      </c>
      <c r="F278" s="251" t="s">
        <v>281</v>
      </c>
      <c r="G278" s="250">
        <v>5828</v>
      </c>
      <c r="H278" s="250">
        <v>3324</v>
      </c>
      <c r="I278" s="250">
        <v>9325</v>
      </c>
      <c r="J278" s="252">
        <v>-1.2E-2</v>
      </c>
      <c r="K278" s="250">
        <v>5431</v>
      </c>
      <c r="L278" s="250">
        <v>3055</v>
      </c>
      <c r="M278" s="250">
        <v>8777</v>
      </c>
      <c r="N278" s="250">
        <v>397</v>
      </c>
      <c r="O278" s="250">
        <v>269</v>
      </c>
      <c r="P278" s="250">
        <v>548</v>
      </c>
      <c r="Q278" s="253">
        <v>273529</v>
      </c>
      <c r="R278" s="254">
        <v>1.4514000415802002</v>
      </c>
      <c r="S278" s="254">
        <v>0.98344230651855469</v>
      </c>
      <c r="T278" s="255">
        <v>2.0034439563751221</v>
      </c>
    </row>
    <row r="279" spans="2:20">
      <c r="B279" s="249" t="s">
        <v>513</v>
      </c>
      <c r="C279" s="250" t="s">
        <v>122</v>
      </c>
      <c r="D279" s="250" t="s">
        <v>502</v>
      </c>
      <c r="E279" s="251">
        <v>3</v>
      </c>
      <c r="F279" s="251" t="s">
        <v>281</v>
      </c>
      <c r="G279" s="250">
        <v>5828</v>
      </c>
      <c r="H279" s="250">
        <v>3324</v>
      </c>
      <c r="I279" s="250">
        <v>9325</v>
      </c>
      <c r="J279" s="252">
        <v>-1.2E-2</v>
      </c>
      <c r="K279" s="250">
        <v>5379</v>
      </c>
      <c r="L279" s="250">
        <v>3022</v>
      </c>
      <c r="M279" s="250">
        <v>8687</v>
      </c>
      <c r="N279" s="250">
        <v>449</v>
      </c>
      <c r="O279" s="250">
        <v>302</v>
      </c>
      <c r="P279" s="250">
        <v>638</v>
      </c>
      <c r="Q279" s="253">
        <v>174910</v>
      </c>
      <c r="R279" s="254">
        <v>2.5670344829559326</v>
      </c>
      <c r="S279" s="254">
        <v>1.7266021966934204</v>
      </c>
      <c r="T279" s="255">
        <v>3.6475903987884521</v>
      </c>
    </row>
    <row r="280" spans="2:20">
      <c r="B280" s="249" t="s">
        <v>513</v>
      </c>
      <c r="C280" s="250" t="s">
        <v>122</v>
      </c>
      <c r="D280" s="250" t="s">
        <v>502</v>
      </c>
      <c r="E280" s="251">
        <v>4</v>
      </c>
      <c r="F280" s="251" t="s">
        <v>281</v>
      </c>
      <c r="G280" s="250">
        <v>5828</v>
      </c>
      <c r="H280" s="250">
        <v>3324</v>
      </c>
      <c r="I280" s="250">
        <v>9325</v>
      </c>
      <c r="J280" s="252">
        <v>-1.2E-2</v>
      </c>
      <c r="K280" s="250">
        <v>5323</v>
      </c>
      <c r="L280" s="250">
        <v>2993</v>
      </c>
      <c r="M280" s="250">
        <v>8599</v>
      </c>
      <c r="N280" s="250">
        <v>505</v>
      </c>
      <c r="O280" s="250">
        <v>331</v>
      </c>
      <c r="P280" s="250">
        <v>726</v>
      </c>
      <c r="Q280" s="253">
        <v>174910</v>
      </c>
      <c r="R280" s="254">
        <v>2.8871991634368896</v>
      </c>
      <c r="S280" s="254">
        <v>1.8924018144607544</v>
      </c>
      <c r="T280" s="255">
        <v>4.1507058143615723</v>
      </c>
    </row>
    <row r="281" spans="2:20">
      <c r="B281" s="249" t="s">
        <v>513</v>
      </c>
      <c r="C281" s="250" t="s">
        <v>122</v>
      </c>
      <c r="D281" s="250" t="s">
        <v>502</v>
      </c>
      <c r="E281" s="251">
        <v>5</v>
      </c>
      <c r="F281" s="251" t="s">
        <v>281</v>
      </c>
      <c r="G281" s="250">
        <v>5828</v>
      </c>
      <c r="H281" s="250">
        <v>3324</v>
      </c>
      <c r="I281" s="250">
        <v>9325</v>
      </c>
      <c r="J281" s="252">
        <v>-1.2E-2</v>
      </c>
      <c r="K281" s="250">
        <v>5262</v>
      </c>
      <c r="L281" s="250">
        <v>2961</v>
      </c>
      <c r="M281" s="250">
        <v>8499</v>
      </c>
      <c r="N281" s="250">
        <v>566</v>
      </c>
      <c r="O281" s="250">
        <v>363</v>
      </c>
      <c r="P281" s="250">
        <v>826</v>
      </c>
      <c r="Q281" s="253">
        <v>174910</v>
      </c>
      <c r="R281" s="254">
        <v>3.2359499931335449</v>
      </c>
      <c r="S281" s="254">
        <v>2.0753529071807861</v>
      </c>
      <c r="T281" s="255">
        <v>4.7224283218383789</v>
      </c>
    </row>
    <row r="282" spans="2:20">
      <c r="B282" s="249" t="s">
        <v>513</v>
      </c>
      <c r="C282" s="250" t="s">
        <v>122</v>
      </c>
      <c r="D282" s="250" t="s">
        <v>201</v>
      </c>
      <c r="E282" s="251">
        <v>6</v>
      </c>
      <c r="F282" s="251" t="s">
        <v>281</v>
      </c>
      <c r="G282" s="250">
        <v>5828</v>
      </c>
      <c r="H282" s="250">
        <v>3324</v>
      </c>
      <c r="I282" s="250">
        <v>9325</v>
      </c>
      <c r="J282" s="252">
        <v>-3.0000000000000001E-3</v>
      </c>
      <c r="K282" s="250">
        <v>5248</v>
      </c>
      <c r="L282" s="250">
        <v>2952</v>
      </c>
      <c r="M282" s="250">
        <v>8473</v>
      </c>
      <c r="N282" s="250">
        <v>580</v>
      </c>
      <c r="O282" s="250">
        <v>372</v>
      </c>
      <c r="P282" s="250">
        <v>852</v>
      </c>
      <c r="Q282" s="253">
        <v>117911</v>
      </c>
      <c r="R282" s="254">
        <v>4.9189639091491699</v>
      </c>
      <c r="S282" s="254">
        <v>3.1549220085144043</v>
      </c>
      <c r="T282" s="255">
        <v>7.2257890701293945</v>
      </c>
    </row>
    <row r="283" spans="2:20">
      <c r="B283" s="249" t="s">
        <v>513</v>
      </c>
      <c r="C283" s="250" t="s">
        <v>122</v>
      </c>
      <c r="D283" s="250" t="s">
        <v>201</v>
      </c>
      <c r="E283" s="251">
        <v>7</v>
      </c>
      <c r="F283" s="251" t="s">
        <v>281</v>
      </c>
      <c r="G283" s="250">
        <v>5828</v>
      </c>
      <c r="H283" s="250">
        <v>3324</v>
      </c>
      <c r="I283" s="250">
        <v>9325</v>
      </c>
      <c r="J283" s="252">
        <v>-3.0000000000000001E-3</v>
      </c>
      <c r="K283" s="250">
        <v>5236</v>
      </c>
      <c r="L283" s="250">
        <v>2946</v>
      </c>
      <c r="M283" s="250">
        <v>8446</v>
      </c>
      <c r="N283" s="250">
        <v>592</v>
      </c>
      <c r="O283" s="250">
        <v>378</v>
      </c>
      <c r="P283" s="250">
        <v>879</v>
      </c>
      <c r="Q283" s="253">
        <v>90500</v>
      </c>
      <c r="R283" s="254">
        <v>6.5414366722106934</v>
      </c>
      <c r="S283" s="254">
        <v>4.176795482635498</v>
      </c>
      <c r="T283" s="255">
        <v>9.71270751953125</v>
      </c>
    </row>
    <row r="284" spans="2:20">
      <c r="B284" s="249" t="s">
        <v>513</v>
      </c>
      <c r="C284" s="250" t="s">
        <v>122</v>
      </c>
      <c r="D284" s="250" t="s">
        <v>201</v>
      </c>
      <c r="E284" s="251">
        <v>8</v>
      </c>
      <c r="F284" s="251" t="s">
        <v>281</v>
      </c>
      <c r="G284" s="250">
        <v>5828</v>
      </c>
      <c r="H284" s="250">
        <v>3324</v>
      </c>
      <c r="I284" s="250">
        <v>9325</v>
      </c>
      <c r="J284" s="252">
        <v>-3.0000000000000001E-3</v>
      </c>
      <c r="K284" s="250">
        <v>5224</v>
      </c>
      <c r="L284" s="250">
        <v>2937</v>
      </c>
      <c r="M284" s="250">
        <v>8421</v>
      </c>
      <c r="N284" s="250">
        <v>604</v>
      </c>
      <c r="O284" s="250">
        <v>387</v>
      </c>
      <c r="P284" s="250">
        <v>904</v>
      </c>
      <c r="Q284" s="253">
        <v>90500</v>
      </c>
      <c r="R284" s="254">
        <v>6.6740331649780273</v>
      </c>
      <c r="S284" s="254">
        <v>4.2762432098388672</v>
      </c>
      <c r="T284" s="255">
        <v>9.9889507293701172</v>
      </c>
    </row>
    <row r="285" spans="2:20">
      <c r="B285" s="249" t="s">
        <v>513</v>
      </c>
      <c r="C285" s="250" t="s">
        <v>122</v>
      </c>
      <c r="D285" s="250" t="s">
        <v>201</v>
      </c>
      <c r="E285" s="251">
        <v>9</v>
      </c>
      <c r="F285" s="251" t="s">
        <v>281</v>
      </c>
      <c r="G285" s="250">
        <v>5828</v>
      </c>
      <c r="H285" s="250">
        <v>3324</v>
      </c>
      <c r="I285" s="250">
        <v>9325</v>
      </c>
      <c r="J285" s="252">
        <v>-3.0000000000000001E-3</v>
      </c>
      <c r="K285" s="250">
        <v>5208</v>
      </c>
      <c r="L285" s="250">
        <v>2927</v>
      </c>
      <c r="M285" s="250">
        <v>8398</v>
      </c>
      <c r="N285" s="250">
        <v>620</v>
      </c>
      <c r="O285" s="250">
        <v>397</v>
      </c>
      <c r="P285" s="250">
        <v>927</v>
      </c>
      <c r="Q285" s="253">
        <v>90500</v>
      </c>
      <c r="R285" s="254">
        <v>6.8508286476135254</v>
      </c>
      <c r="S285" s="254">
        <v>4.3867402076721191</v>
      </c>
      <c r="T285" s="255">
        <v>10.243093490600586</v>
      </c>
    </row>
    <row r="286" spans="2:20">
      <c r="B286" s="249" t="s">
        <v>513</v>
      </c>
      <c r="C286" s="250" t="s">
        <v>122</v>
      </c>
      <c r="D286" s="250" t="s">
        <v>201</v>
      </c>
      <c r="E286" s="251">
        <v>10</v>
      </c>
      <c r="F286" s="251" t="s">
        <v>281</v>
      </c>
      <c r="G286" s="250">
        <v>5828</v>
      </c>
      <c r="H286" s="250">
        <v>3324</v>
      </c>
      <c r="I286" s="250">
        <v>9325</v>
      </c>
      <c r="J286" s="252">
        <v>-3.0000000000000001E-3</v>
      </c>
      <c r="K286" s="250">
        <v>5196</v>
      </c>
      <c r="L286" s="250">
        <v>2921</v>
      </c>
      <c r="M286" s="250">
        <v>8368</v>
      </c>
      <c r="N286" s="250">
        <v>632</v>
      </c>
      <c r="O286" s="250">
        <v>403</v>
      </c>
      <c r="P286" s="250">
        <v>957</v>
      </c>
      <c r="Q286" s="253">
        <v>90500</v>
      </c>
      <c r="R286" s="254">
        <v>6.9834256172180176</v>
      </c>
      <c r="S286" s="254">
        <v>4.4530386924743652</v>
      </c>
      <c r="T286" s="255">
        <v>10.574585914611816</v>
      </c>
    </row>
    <row r="287" spans="2:20">
      <c r="B287" s="249" t="s">
        <v>513</v>
      </c>
      <c r="C287" s="250" t="s">
        <v>122</v>
      </c>
      <c r="D287" s="250" t="s">
        <v>201</v>
      </c>
      <c r="E287" s="251">
        <v>11</v>
      </c>
      <c r="F287" s="251" t="s">
        <v>281</v>
      </c>
      <c r="G287" s="250">
        <v>5828</v>
      </c>
      <c r="H287" s="250">
        <v>3324</v>
      </c>
      <c r="I287" s="250">
        <v>9325</v>
      </c>
      <c r="J287" s="252">
        <v>-3.0000000000000001E-3</v>
      </c>
      <c r="K287" s="250">
        <v>5181</v>
      </c>
      <c r="L287" s="250">
        <v>2913</v>
      </c>
      <c r="M287" s="250">
        <v>8345</v>
      </c>
      <c r="N287" s="250">
        <v>647</v>
      </c>
      <c r="O287" s="250">
        <v>411</v>
      </c>
      <c r="P287" s="250">
        <v>980</v>
      </c>
      <c r="Q287" s="253">
        <v>117911</v>
      </c>
      <c r="R287" s="254">
        <v>5.487189769744873</v>
      </c>
      <c r="S287" s="254">
        <v>3.4856798648834229</v>
      </c>
      <c r="T287" s="255">
        <v>8.3113536834716797</v>
      </c>
    </row>
    <row r="288" spans="2:20">
      <c r="B288" s="249" t="s">
        <v>513</v>
      </c>
      <c r="C288" s="250" t="s">
        <v>122</v>
      </c>
      <c r="D288" s="250" t="s">
        <v>201</v>
      </c>
      <c r="E288" s="251">
        <v>12</v>
      </c>
      <c r="F288" s="251" t="s">
        <v>281</v>
      </c>
      <c r="G288" s="250">
        <v>5828</v>
      </c>
      <c r="H288" s="250">
        <v>3324</v>
      </c>
      <c r="I288" s="250">
        <v>9325</v>
      </c>
      <c r="J288" s="252">
        <v>-3.0000000000000001E-3</v>
      </c>
      <c r="K288" s="250">
        <v>5161</v>
      </c>
      <c r="L288" s="250">
        <v>2904</v>
      </c>
      <c r="M288" s="250">
        <v>8322</v>
      </c>
      <c r="N288" s="250">
        <v>667</v>
      </c>
      <c r="O288" s="250">
        <v>420</v>
      </c>
      <c r="P288" s="250">
        <v>1003</v>
      </c>
      <c r="Q288" s="253">
        <v>90500</v>
      </c>
      <c r="R288" s="254">
        <v>7.3701653480529785</v>
      </c>
      <c r="S288" s="254">
        <v>4.6408839225769043</v>
      </c>
      <c r="T288" s="255">
        <v>11.08287239074707</v>
      </c>
    </row>
    <row r="289" spans="2:23">
      <c r="B289" s="249" t="s">
        <v>513</v>
      </c>
      <c r="C289" s="250" t="s">
        <v>122</v>
      </c>
      <c r="D289" s="250" t="s">
        <v>201</v>
      </c>
      <c r="E289" s="251">
        <v>13</v>
      </c>
      <c r="F289" s="251" t="s">
        <v>281</v>
      </c>
      <c r="G289" s="250">
        <v>5828</v>
      </c>
      <c r="H289" s="250">
        <v>3324</v>
      </c>
      <c r="I289" s="250">
        <v>9325</v>
      </c>
      <c r="J289" s="252">
        <v>-3.0000000000000001E-3</v>
      </c>
      <c r="K289" s="250">
        <v>5154</v>
      </c>
      <c r="L289" s="250">
        <v>2901</v>
      </c>
      <c r="M289" s="250">
        <v>8303</v>
      </c>
      <c r="N289" s="250">
        <v>674</v>
      </c>
      <c r="O289" s="250">
        <v>423</v>
      </c>
      <c r="P289" s="250">
        <v>1022</v>
      </c>
      <c r="Q289" s="253">
        <v>90500</v>
      </c>
      <c r="R289" s="254">
        <v>7.4475135803222656</v>
      </c>
      <c r="S289" s="254">
        <v>4.6740331649780273</v>
      </c>
      <c r="T289" s="255">
        <v>11.292818069458008</v>
      </c>
    </row>
    <row r="290" spans="2:23">
      <c r="B290" s="249" t="s">
        <v>513</v>
      </c>
      <c r="C290" s="250" t="s">
        <v>122</v>
      </c>
      <c r="D290" s="250" t="s">
        <v>201</v>
      </c>
      <c r="E290" s="251">
        <v>14</v>
      </c>
      <c r="F290" s="251" t="s">
        <v>281</v>
      </c>
      <c r="G290" s="250">
        <v>5828</v>
      </c>
      <c r="H290" s="250">
        <v>3324</v>
      </c>
      <c r="I290" s="250">
        <v>9325</v>
      </c>
      <c r="J290" s="252">
        <v>-3.0000000000000001E-3</v>
      </c>
      <c r="K290" s="250">
        <v>5131</v>
      </c>
      <c r="L290" s="250">
        <v>2889</v>
      </c>
      <c r="M290" s="250">
        <v>8277</v>
      </c>
      <c r="N290" s="250">
        <v>697</v>
      </c>
      <c r="O290" s="250">
        <v>435</v>
      </c>
      <c r="P290" s="250">
        <v>1048</v>
      </c>
      <c r="Q290" s="253">
        <v>90500</v>
      </c>
      <c r="R290" s="254">
        <v>7.7016572952270508</v>
      </c>
      <c r="S290" s="254">
        <v>4.8066296577453613</v>
      </c>
      <c r="T290" s="255">
        <v>11.580110549926758</v>
      </c>
    </row>
    <row r="291" spans="2:23">
      <c r="B291" s="256" t="s">
        <v>513</v>
      </c>
      <c r="C291" s="257" t="s">
        <v>122</v>
      </c>
      <c r="D291" s="257" t="s">
        <v>201</v>
      </c>
      <c r="E291" s="258">
        <v>15</v>
      </c>
      <c r="F291" s="258" t="s">
        <v>281</v>
      </c>
      <c r="G291" s="257">
        <v>5828</v>
      </c>
      <c r="H291" s="257">
        <v>3324</v>
      </c>
      <c r="I291" s="257">
        <v>9325</v>
      </c>
      <c r="J291" s="259">
        <v>-3.0000000000000001E-3</v>
      </c>
      <c r="K291" s="257">
        <v>5120</v>
      </c>
      <c r="L291" s="257">
        <v>2883</v>
      </c>
      <c r="M291" s="257">
        <v>8253</v>
      </c>
      <c r="N291" s="257">
        <v>708</v>
      </c>
      <c r="O291" s="257">
        <v>441</v>
      </c>
      <c r="P291" s="257">
        <v>1072</v>
      </c>
      <c r="Q291" s="260">
        <v>90500</v>
      </c>
      <c r="R291" s="261">
        <v>7.823204517364502</v>
      </c>
      <c r="S291" s="261">
        <v>4.8729281425476074</v>
      </c>
      <c r="T291" s="262">
        <v>11.845303535461426</v>
      </c>
    </row>
    <row r="292" spans="2:23">
      <c r="B292" s="249" t="s">
        <v>514</v>
      </c>
      <c r="C292" s="250" t="s">
        <v>242</v>
      </c>
      <c r="D292" s="250" t="s">
        <v>502</v>
      </c>
      <c r="E292" s="251">
        <v>1</v>
      </c>
      <c r="F292" s="251" t="s">
        <v>281</v>
      </c>
      <c r="G292" s="250">
        <v>1098</v>
      </c>
      <c r="H292" s="250">
        <v>414</v>
      </c>
      <c r="I292" s="250">
        <v>2093</v>
      </c>
      <c r="J292" s="252">
        <v>-6.6000000000000003E-2</v>
      </c>
      <c r="K292" s="250">
        <v>953</v>
      </c>
      <c r="L292" s="250">
        <v>332</v>
      </c>
      <c r="M292" s="250">
        <v>1871</v>
      </c>
      <c r="N292" s="250">
        <v>145</v>
      </c>
      <c r="O292" s="250">
        <v>82</v>
      </c>
      <c r="P292" s="250">
        <v>222</v>
      </c>
      <c r="Q292" s="253">
        <v>977845</v>
      </c>
      <c r="R292" s="254">
        <v>0.14828525483608246</v>
      </c>
      <c r="S292" s="254">
        <v>8.385787159204483E-2</v>
      </c>
      <c r="T292" s="255">
        <v>0.22702984511852264</v>
      </c>
      <c r="U292"/>
      <c r="V292"/>
      <c r="W292"/>
    </row>
    <row r="293" spans="2:23">
      <c r="B293" s="249" t="s">
        <v>514</v>
      </c>
      <c r="C293" s="250" t="s">
        <v>242</v>
      </c>
      <c r="D293" s="250" t="s">
        <v>502</v>
      </c>
      <c r="E293" s="251">
        <v>2</v>
      </c>
      <c r="F293" s="251" t="s">
        <v>281</v>
      </c>
      <c r="G293" s="250">
        <v>1098</v>
      </c>
      <c r="H293" s="250">
        <v>414</v>
      </c>
      <c r="I293" s="250">
        <v>2093</v>
      </c>
      <c r="J293" s="252">
        <v>-6.6000000000000003E-2</v>
      </c>
      <c r="K293" s="250">
        <v>887</v>
      </c>
      <c r="L293" s="250">
        <v>315</v>
      </c>
      <c r="M293" s="250">
        <v>1747</v>
      </c>
      <c r="N293" s="250">
        <v>211</v>
      </c>
      <c r="O293" s="250">
        <v>99</v>
      </c>
      <c r="P293" s="250">
        <v>346</v>
      </c>
      <c r="Q293" s="253">
        <v>1239352</v>
      </c>
      <c r="R293" s="254">
        <v>0.17025026679039001</v>
      </c>
      <c r="S293" s="254">
        <v>7.9880453646183014E-2</v>
      </c>
      <c r="T293" s="255">
        <v>0.27917814254760742</v>
      </c>
      <c r="U293"/>
      <c r="V293"/>
      <c r="W293"/>
    </row>
    <row r="294" spans="2:23">
      <c r="B294" s="249" t="s">
        <v>514</v>
      </c>
      <c r="C294" s="250" t="s">
        <v>242</v>
      </c>
      <c r="D294" s="250" t="s">
        <v>502</v>
      </c>
      <c r="E294" s="251">
        <v>3</v>
      </c>
      <c r="F294" s="251" t="s">
        <v>281</v>
      </c>
      <c r="G294" s="250">
        <v>1098</v>
      </c>
      <c r="H294" s="250">
        <v>414</v>
      </c>
      <c r="I294" s="250">
        <v>2093</v>
      </c>
      <c r="J294" s="252">
        <v>-6.6000000000000003E-2</v>
      </c>
      <c r="K294" s="250">
        <v>831</v>
      </c>
      <c r="L294" s="250">
        <v>295</v>
      </c>
      <c r="M294" s="250">
        <v>1633</v>
      </c>
      <c r="N294" s="250">
        <v>267</v>
      </c>
      <c r="O294" s="250">
        <v>119</v>
      </c>
      <c r="P294" s="250">
        <v>460</v>
      </c>
      <c r="Q294" s="253">
        <v>837959</v>
      </c>
      <c r="R294" s="254">
        <v>0.31863135099411011</v>
      </c>
      <c r="S294" s="254">
        <v>0.14201171696186066</v>
      </c>
      <c r="T294" s="255">
        <v>0.54895287752151489</v>
      </c>
      <c r="U294"/>
      <c r="V294"/>
      <c r="W294"/>
    </row>
    <row r="295" spans="2:23">
      <c r="B295" s="249" t="s">
        <v>514</v>
      </c>
      <c r="C295" s="250" t="s">
        <v>242</v>
      </c>
      <c r="D295" s="250" t="s">
        <v>502</v>
      </c>
      <c r="E295" s="251">
        <v>4</v>
      </c>
      <c r="F295" s="251" t="s">
        <v>281</v>
      </c>
      <c r="G295" s="250">
        <v>1098</v>
      </c>
      <c r="H295" s="250">
        <v>414</v>
      </c>
      <c r="I295" s="250">
        <v>2093</v>
      </c>
      <c r="J295" s="252">
        <v>-6.6000000000000003E-2</v>
      </c>
      <c r="K295" s="250">
        <v>778</v>
      </c>
      <c r="L295" s="250">
        <v>276</v>
      </c>
      <c r="M295" s="250">
        <v>1523</v>
      </c>
      <c r="N295" s="250">
        <v>320</v>
      </c>
      <c r="O295" s="250">
        <v>138</v>
      </c>
      <c r="P295" s="250">
        <v>570</v>
      </c>
      <c r="Q295" s="253">
        <v>855330</v>
      </c>
      <c r="R295" s="254">
        <v>0.37412461638450623</v>
      </c>
      <c r="S295" s="254">
        <v>0.16134123504161835</v>
      </c>
      <c r="T295" s="255">
        <v>0.66640943288803101</v>
      </c>
      <c r="U295"/>
      <c r="V295"/>
      <c r="W295"/>
    </row>
    <row r="296" spans="2:23">
      <c r="B296" s="249" t="s">
        <v>514</v>
      </c>
      <c r="C296" s="250" t="s">
        <v>242</v>
      </c>
      <c r="D296" s="250" t="s">
        <v>502</v>
      </c>
      <c r="E296" s="251">
        <v>5</v>
      </c>
      <c r="F296" s="251" t="s">
        <v>281</v>
      </c>
      <c r="G296" s="250">
        <v>1098</v>
      </c>
      <c r="H296" s="250">
        <v>414</v>
      </c>
      <c r="I296" s="250">
        <v>2093</v>
      </c>
      <c r="J296" s="252">
        <v>-6.6000000000000003E-2</v>
      </c>
      <c r="K296" s="250">
        <v>718</v>
      </c>
      <c r="L296" s="250">
        <v>257</v>
      </c>
      <c r="M296" s="250">
        <v>1411</v>
      </c>
      <c r="N296" s="250">
        <v>380</v>
      </c>
      <c r="O296" s="250">
        <v>157</v>
      </c>
      <c r="P296" s="250">
        <v>682</v>
      </c>
      <c r="Q296" s="253">
        <v>837959</v>
      </c>
      <c r="R296" s="254">
        <v>0.45348280668258667</v>
      </c>
      <c r="S296" s="254">
        <v>0.1873600035905838</v>
      </c>
      <c r="T296" s="255">
        <v>0.81388229131698608</v>
      </c>
      <c r="U296"/>
      <c r="V296"/>
      <c r="W296"/>
    </row>
    <row r="297" spans="2:23">
      <c r="B297" s="249" t="s">
        <v>514</v>
      </c>
      <c r="C297" s="250" t="s">
        <v>242</v>
      </c>
      <c r="D297" s="250" t="s">
        <v>201</v>
      </c>
      <c r="E297" s="251">
        <v>6</v>
      </c>
      <c r="F297" s="251" t="s">
        <v>281</v>
      </c>
      <c r="G297" s="250">
        <v>1098</v>
      </c>
      <c r="H297" s="250">
        <v>414</v>
      </c>
      <c r="I297" s="250">
        <v>2093</v>
      </c>
      <c r="J297" s="252">
        <v>-1.24E-2</v>
      </c>
      <c r="K297" s="250">
        <v>714</v>
      </c>
      <c r="L297" s="250">
        <v>256</v>
      </c>
      <c r="M297" s="250">
        <v>1401</v>
      </c>
      <c r="N297" s="250">
        <v>384</v>
      </c>
      <c r="O297" s="250">
        <v>158</v>
      </c>
      <c r="P297" s="250">
        <v>692</v>
      </c>
      <c r="Q297" s="253">
        <v>661371</v>
      </c>
      <c r="R297" s="254">
        <v>0.58061212301254272</v>
      </c>
      <c r="S297" s="254">
        <v>0.23889768123626709</v>
      </c>
      <c r="T297" s="255">
        <v>1.0463113784790039</v>
      </c>
      <c r="U297"/>
      <c r="V297"/>
      <c r="W297"/>
    </row>
    <row r="298" spans="2:23">
      <c r="B298" s="249" t="s">
        <v>514</v>
      </c>
      <c r="C298" s="250" t="s">
        <v>242</v>
      </c>
      <c r="D298" s="250" t="s">
        <v>201</v>
      </c>
      <c r="E298" s="251">
        <v>7</v>
      </c>
      <c r="F298" s="251" t="s">
        <v>281</v>
      </c>
      <c r="G298" s="250">
        <v>1098</v>
      </c>
      <c r="H298" s="250">
        <v>414</v>
      </c>
      <c r="I298" s="250">
        <v>2093</v>
      </c>
      <c r="J298" s="252">
        <v>-1.24E-2</v>
      </c>
      <c r="K298" s="250">
        <v>706</v>
      </c>
      <c r="L298" s="250">
        <v>251</v>
      </c>
      <c r="M298" s="250">
        <v>1383</v>
      </c>
      <c r="N298" s="250">
        <v>392</v>
      </c>
      <c r="O298" s="250">
        <v>163</v>
      </c>
      <c r="P298" s="250">
        <v>710</v>
      </c>
      <c r="Q298" s="253">
        <v>504727</v>
      </c>
      <c r="R298" s="254">
        <v>0.77665746212005615</v>
      </c>
      <c r="S298" s="254">
        <v>0.32294687628746033</v>
      </c>
      <c r="T298" s="255">
        <v>1.4067010879516602</v>
      </c>
      <c r="U298"/>
      <c r="V298"/>
      <c r="W298"/>
    </row>
    <row r="299" spans="2:23">
      <c r="B299" s="249" t="s">
        <v>514</v>
      </c>
      <c r="C299" s="250" t="s">
        <v>242</v>
      </c>
      <c r="D299" s="250" t="s">
        <v>201</v>
      </c>
      <c r="E299" s="251">
        <v>8</v>
      </c>
      <c r="F299" s="251" t="s">
        <v>281</v>
      </c>
      <c r="G299" s="250">
        <v>1098</v>
      </c>
      <c r="H299" s="250">
        <v>414</v>
      </c>
      <c r="I299" s="250">
        <v>2093</v>
      </c>
      <c r="J299" s="252">
        <v>-1.24E-2</v>
      </c>
      <c r="K299" s="250">
        <v>698</v>
      </c>
      <c r="L299" s="250">
        <v>248</v>
      </c>
      <c r="M299" s="250">
        <v>1368</v>
      </c>
      <c r="N299" s="250">
        <v>400</v>
      </c>
      <c r="O299" s="250">
        <v>166</v>
      </c>
      <c r="P299" s="250">
        <v>725</v>
      </c>
      <c r="Q299" s="253">
        <v>487356</v>
      </c>
      <c r="R299" s="254">
        <v>0.8207552433013916</v>
      </c>
      <c r="S299" s="254">
        <v>0.34061342477798462</v>
      </c>
      <c r="T299" s="255">
        <v>1.4876189231872559</v>
      </c>
      <c r="U299"/>
      <c r="V299"/>
      <c r="W299"/>
    </row>
    <row r="300" spans="2:23">
      <c r="B300" s="249" t="s">
        <v>514</v>
      </c>
      <c r="C300" s="250" t="s">
        <v>242</v>
      </c>
      <c r="D300" s="250" t="s">
        <v>201</v>
      </c>
      <c r="E300" s="251">
        <v>9</v>
      </c>
      <c r="F300" s="251" t="s">
        <v>281</v>
      </c>
      <c r="G300" s="250">
        <v>1098</v>
      </c>
      <c r="H300" s="250">
        <v>414</v>
      </c>
      <c r="I300" s="250">
        <v>2093</v>
      </c>
      <c r="J300" s="252">
        <v>-1.24E-2</v>
      </c>
      <c r="K300" s="250">
        <v>692</v>
      </c>
      <c r="L300" s="250">
        <v>247</v>
      </c>
      <c r="M300" s="250">
        <v>1353</v>
      </c>
      <c r="N300" s="250">
        <v>406</v>
      </c>
      <c r="O300" s="250">
        <v>167</v>
      </c>
      <c r="P300" s="250">
        <v>740</v>
      </c>
      <c r="Q300" s="253">
        <v>487356</v>
      </c>
      <c r="R300" s="254">
        <v>0.83306658267974854</v>
      </c>
      <c r="S300" s="254">
        <v>0.34266531467437744</v>
      </c>
      <c r="T300" s="255">
        <v>1.5183972120285034</v>
      </c>
      <c r="U300"/>
      <c r="V300"/>
      <c r="W300"/>
    </row>
    <row r="301" spans="2:23">
      <c r="B301" s="249" t="s">
        <v>514</v>
      </c>
      <c r="C301" s="250" t="s">
        <v>242</v>
      </c>
      <c r="D301" s="250" t="s">
        <v>201</v>
      </c>
      <c r="E301" s="251">
        <v>10</v>
      </c>
      <c r="F301" s="251" t="s">
        <v>281</v>
      </c>
      <c r="G301" s="250">
        <v>1098</v>
      </c>
      <c r="H301" s="250">
        <v>414</v>
      </c>
      <c r="I301" s="250">
        <v>2093</v>
      </c>
      <c r="J301" s="252">
        <v>-1.24E-2</v>
      </c>
      <c r="K301" s="250">
        <v>688</v>
      </c>
      <c r="L301" s="250">
        <v>246</v>
      </c>
      <c r="M301" s="250">
        <v>1346</v>
      </c>
      <c r="N301" s="250">
        <v>410</v>
      </c>
      <c r="O301" s="250">
        <v>168</v>
      </c>
      <c r="P301" s="250">
        <v>747</v>
      </c>
      <c r="Q301" s="253">
        <v>504727</v>
      </c>
      <c r="R301" s="254">
        <v>0.81232035160064697</v>
      </c>
      <c r="S301" s="254">
        <v>0.33285319805145264</v>
      </c>
      <c r="T301" s="255">
        <v>1.4800080060958862</v>
      </c>
      <c r="U301"/>
      <c r="V301"/>
      <c r="W301"/>
    </row>
    <row r="302" spans="2:23">
      <c r="B302" s="249" t="s">
        <v>514</v>
      </c>
      <c r="C302" s="250" t="s">
        <v>242</v>
      </c>
      <c r="D302" s="250" t="s">
        <v>201</v>
      </c>
      <c r="E302" s="251">
        <v>11</v>
      </c>
      <c r="F302" s="251" t="s">
        <v>281</v>
      </c>
      <c r="G302" s="250">
        <v>1098</v>
      </c>
      <c r="H302" s="250">
        <v>414</v>
      </c>
      <c r="I302" s="250">
        <v>2093</v>
      </c>
      <c r="J302" s="252">
        <v>-1.24E-2</v>
      </c>
      <c r="K302" s="250">
        <v>659</v>
      </c>
      <c r="L302" s="250">
        <v>229</v>
      </c>
      <c r="M302" s="250">
        <v>1304</v>
      </c>
      <c r="N302" s="250">
        <v>439</v>
      </c>
      <c r="O302" s="250">
        <v>185</v>
      </c>
      <c r="P302" s="250">
        <v>789</v>
      </c>
      <c r="Q302" s="253">
        <v>661371</v>
      </c>
      <c r="R302" s="254">
        <v>0.66377270221710205</v>
      </c>
      <c r="S302" s="254">
        <v>0.27972197532653809</v>
      </c>
      <c r="T302" s="255">
        <v>1.1929763555526733</v>
      </c>
      <c r="U302"/>
      <c r="V302"/>
      <c r="W302"/>
    </row>
    <row r="303" spans="2:23">
      <c r="B303" s="249" t="s">
        <v>514</v>
      </c>
      <c r="C303" s="250" t="s">
        <v>242</v>
      </c>
      <c r="D303" s="250" t="s">
        <v>201</v>
      </c>
      <c r="E303" s="251">
        <v>12</v>
      </c>
      <c r="F303" s="251" t="s">
        <v>281</v>
      </c>
      <c r="G303" s="250">
        <v>1098</v>
      </c>
      <c r="H303" s="250">
        <v>414</v>
      </c>
      <c r="I303" s="250">
        <v>2093</v>
      </c>
      <c r="J303" s="252">
        <v>-1.24E-2</v>
      </c>
      <c r="K303" s="250">
        <v>656</v>
      </c>
      <c r="L303" s="250">
        <v>225</v>
      </c>
      <c r="M303" s="250">
        <v>1294</v>
      </c>
      <c r="N303" s="250">
        <v>442</v>
      </c>
      <c r="O303" s="250">
        <v>189</v>
      </c>
      <c r="P303" s="250">
        <v>799</v>
      </c>
      <c r="Q303" s="253">
        <v>487356</v>
      </c>
      <c r="R303" s="254">
        <v>0.90693455934524536</v>
      </c>
      <c r="S303" s="254">
        <v>0.38780686259269714</v>
      </c>
      <c r="T303" s="255">
        <v>1.6394585371017456</v>
      </c>
      <c r="U303"/>
      <c r="V303"/>
      <c r="W303"/>
    </row>
    <row r="304" spans="2:23">
      <c r="B304" s="249" t="s">
        <v>514</v>
      </c>
      <c r="C304" s="250" t="s">
        <v>242</v>
      </c>
      <c r="D304" s="250" t="s">
        <v>201</v>
      </c>
      <c r="E304" s="251">
        <v>13</v>
      </c>
      <c r="F304" s="251" t="s">
        <v>281</v>
      </c>
      <c r="G304" s="250">
        <v>1098</v>
      </c>
      <c r="H304" s="250">
        <v>414</v>
      </c>
      <c r="I304" s="250">
        <v>2093</v>
      </c>
      <c r="J304" s="252">
        <v>-1.24E-2</v>
      </c>
      <c r="K304" s="250">
        <v>652</v>
      </c>
      <c r="L304" s="250">
        <v>224</v>
      </c>
      <c r="M304" s="250">
        <v>1280</v>
      </c>
      <c r="N304" s="250">
        <v>446</v>
      </c>
      <c r="O304" s="250">
        <v>190</v>
      </c>
      <c r="P304" s="250">
        <v>813</v>
      </c>
      <c r="Q304" s="253">
        <v>504727</v>
      </c>
      <c r="R304" s="254">
        <v>0.88364601135253906</v>
      </c>
      <c r="S304" s="254">
        <v>0.37644115090370178</v>
      </c>
      <c r="T304" s="255">
        <v>1.6107717752456665</v>
      </c>
      <c r="U304"/>
      <c r="V304"/>
      <c r="W304"/>
    </row>
    <row r="305" spans="2:23">
      <c r="B305" s="249" t="s">
        <v>514</v>
      </c>
      <c r="C305" s="250" t="s">
        <v>242</v>
      </c>
      <c r="D305" s="250" t="s">
        <v>201</v>
      </c>
      <c r="E305" s="251">
        <v>14</v>
      </c>
      <c r="F305" s="251" t="s">
        <v>281</v>
      </c>
      <c r="G305" s="250">
        <v>1098</v>
      </c>
      <c r="H305" s="250">
        <v>414</v>
      </c>
      <c r="I305" s="250">
        <v>2093</v>
      </c>
      <c r="J305" s="252">
        <v>-1.24E-2</v>
      </c>
      <c r="K305" s="250">
        <v>640</v>
      </c>
      <c r="L305" s="250">
        <v>224</v>
      </c>
      <c r="M305" s="250">
        <v>1258</v>
      </c>
      <c r="N305" s="250">
        <v>458</v>
      </c>
      <c r="O305" s="250">
        <v>190</v>
      </c>
      <c r="P305" s="250">
        <v>835</v>
      </c>
      <c r="Q305" s="253">
        <v>487356</v>
      </c>
      <c r="R305" s="254">
        <v>0.93976479768753052</v>
      </c>
      <c r="S305" s="254">
        <v>0.38985875248908997</v>
      </c>
      <c r="T305" s="255">
        <v>1.7133265733718872</v>
      </c>
      <c r="U305"/>
      <c r="V305"/>
      <c r="W305"/>
    </row>
    <row r="306" spans="2:23">
      <c r="B306" s="256" t="s">
        <v>514</v>
      </c>
      <c r="C306" s="257" t="s">
        <v>242</v>
      </c>
      <c r="D306" s="257" t="s">
        <v>201</v>
      </c>
      <c r="E306" s="258">
        <v>15</v>
      </c>
      <c r="F306" s="258" t="s">
        <v>281</v>
      </c>
      <c r="G306" s="257">
        <v>1098</v>
      </c>
      <c r="H306" s="257">
        <v>414</v>
      </c>
      <c r="I306" s="257">
        <v>2093</v>
      </c>
      <c r="J306" s="259">
        <v>-1.24E-2</v>
      </c>
      <c r="K306" s="257">
        <v>634</v>
      </c>
      <c r="L306" s="257">
        <v>221</v>
      </c>
      <c r="M306" s="257">
        <v>1250</v>
      </c>
      <c r="N306" s="257">
        <v>464</v>
      </c>
      <c r="O306" s="257">
        <v>193</v>
      </c>
      <c r="P306" s="257">
        <v>843</v>
      </c>
      <c r="Q306" s="260">
        <v>487356</v>
      </c>
      <c r="R306" s="261">
        <v>0.95207613706588745</v>
      </c>
      <c r="S306" s="261">
        <v>0.39601442217826843</v>
      </c>
      <c r="T306" s="262">
        <v>1.7297416925430298</v>
      </c>
      <c r="U306"/>
      <c r="V306"/>
      <c r="W306"/>
    </row>
    <row r="307" spans="2:23">
      <c r="B307" s="249" t="s">
        <v>514</v>
      </c>
      <c r="C307" s="250" t="s">
        <v>282</v>
      </c>
      <c r="D307" s="250" t="s">
        <v>502</v>
      </c>
      <c r="E307" s="251">
        <v>1</v>
      </c>
      <c r="F307" s="251" t="s">
        <v>281</v>
      </c>
      <c r="G307" s="250">
        <v>1098</v>
      </c>
      <c r="H307" s="250">
        <v>414</v>
      </c>
      <c r="I307" s="250">
        <v>2093</v>
      </c>
      <c r="J307" s="252">
        <v>-3.6400000000000002E-2</v>
      </c>
      <c r="K307" s="250">
        <v>976</v>
      </c>
      <c r="L307" s="250">
        <v>339</v>
      </c>
      <c r="M307" s="250">
        <v>1920</v>
      </c>
      <c r="N307" s="250">
        <v>122</v>
      </c>
      <c r="O307" s="250">
        <v>75</v>
      </c>
      <c r="P307" s="250">
        <v>173</v>
      </c>
      <c r="Q307" s="253">
        <v>420165</v>
      </c>
      <c r="R307" s="254">
        <v>0.29036211967468262</v>
      </c>
      <c r="S307" s="254">
        <v>0.17850130796432495</v>
      </c>
      <c r="T307" s="255">
        <v>0.41174301505088806</v>
      </c>
    </row>
    <row r="308" spans="2:23">
      <c r="B308" s="249" t="s">
        <v>514</v>
      </c>
      <c r="C308" s="250" t="s">
        <v>282</v>
      </c>
      <c r="D308" s="250" t="s">
        <v>502</v>
      </c>
      <c r="E308" s="251">
        <v>2</v>
      </c>
      <c r="F308" s="251" t="s">
        <v>281</v>
      </c>
      <c r="G308" s="250">
        <v>1098</v>
      </c>
      <c r="H308" s="250">
        <v>414</v>
      </c>
      <c r="I308" s="250">
        <v>2093</v>
      </c>
      <c r="J308" s="252">
        <v>-3.6400000000000002E-2</v>
      </c>
      <c r="K308" s="250">
        <v>947</v>
      </c>
      <c r="L308" s="250">
        <v>330</v>
      </c>
      <c r="M308" s="250">
        <v>1848</v>
      </c>
      <c r="N308" s="250">
        <v>151</v>
      </c>
      <c r="O308" s="250">
        <v>84</v>
      </c>
      <c r="P308" s="250">
        <v>245</v>
      </c>
      <c r="Q308" s="253">
        <v>188719</v>
      </c>
      <c r="R308" s="254">
        <v>0.80013144016265869</v>
      </c>
      <c r="S308" s="254">
        <v>0.44510620832443237</v>
      </c>
      <c r="T308" s="255">
        <v>1.2982263565063477</v>
      </c>
    </row>
    <row r="309" spans="2:23">
      <c r="B309" s="249" t="s">
        <v>514</v>
      </c>
      <c r="C309" s="250" t="s">
        <v>282</v>
      </c>
      <c r="D309" s="250" t="s">
        <v>502</v>
      </c>
      <c r="E309" s="251">
        <v>3</v>
      </c>
      <c r="F309" s="251" t="s">
        <v>281</v>
      </c>
      <c r="G309" s="250">
        <v>1098</v>
      </c>
      <c r="H309" s="250">
        <v>414</v>
      </c>
      <c r="I309" s="250">
        <v>2093</v>
      </c>
      <c r="J309" s="252">
        <v>-3.6400000000000002E-2</v>
      </c>
      <c r="K309" s="250">
        <v>913</v>
      </c>
      <c r="L309" s="250">
        <v>321</v>
      </c>
      <c r="M309" s="250">
        <v>1790</v>
      </c>
      <c r="N309" s="250">
        <v>185</v>
      </c>
      <c r="O309" s="250">
        <v>93</v>
      </c>
      <c r="P309" s="250">
        <v>303</v>
      </c>
      <c r="Q309" s="253">
        <v>155920</v>
      </c>
      <c r="R309" s="254">
        <v>1.186505913734436</v>
      </c>
      <c r="S309" s="254">
        <v>0.59645974636077881</v>
      </c>
      <c r="T309" s="255">
        <v>1.943304181098938</v>
      </c>
    </row>
    <row r="310" spans="2:23">
      <c r="B310" s="249" t="s">
        <v>514</v>
      </c>
      <c r="C310" s="250" t="s">
        <v>282</v>
      </c>
      <c r="D310" s="250" t="s">
        <v>502</v>
      </c>
      <c r="E310" s="251">
        <v>4</v>
      </c>
      <c r="F310" s="251" t="s">
        <v>281</v>
      </c>
      <c r="G310" s="250">
        <v>1098</v>
      </c>
      <c r="H310" s="250">
        <v>414</v>
      </c>
      <c r="I310" s="250">
        <v>2093</v>
      </c>
      <c r="J310" s="252">
        <v>-3.6400000000000002E-2</v>
      </c>
      <c r="K310" s="250">
        <v>879</v>
      </c>
      <c r="L310" s="250">
        <v>311</v>
      </c>
      <c r="M310" s="250">
        <v>1727</v>
      </c>
      <c r="N310" s="250">
        <v>219</v>
      </c>
      <c r="O310" s="250">
        <v>103</v>
      </c>
      <c r="P310" s="250">
        <v>366</v>
      </c>
      <c r="Q310" s="253">
        <v>155920</v>
      </c>
      <c r="R310" s="254">
        <v>1.4045664072036743</v>
      </c>
      <c r="S310" s="254">
        <v>0.66059517860412598</v>
      </c>
      <c r="T310" s="255">
        <v>2.3473575115203857</v>
      </c>
    </row>
    <row r="311" spans="2:23">
      <c r="B311" s="249" t="s">
        <v>514</v>
      </c>
      <c r="C311" s="250" t="s">
        <v>282</v>
      </c>
      <c r="D311" s="250" t="s">
        <v>502</v>
      </c>
      <c r="E311" s="251">
        <v>5</v>
      </c>
      <c r="F311" s="251" t="s">
        <v>281</v>
      </c>
      <c r="G311" s="250">
        <v>1098</v>
      </c>
      <c r="H311" s="250">
        <v>414</v>
      </c>
      <c r="I311" s="250">
        <v>2093</v>
      </c>
      <c r="J311" s="252">
        <v>-3.6400000000000002E-2</v>
      </c>
      <c r="K311" s="250">
        <v>844</v>
      </c>
      <c r="L311" s="250">
        <v>299</v>
      </c>
      <c r="M311" s="250">
        <v>1662</v>
      </c>
      <c r="N311" s="250">
        <v>254</v>
      </c>
      <c r="O311" s="250">
        <v>115</v>
      </c>
      <c r="P311" s="250">
        <v>431</v>
      </c>
      <c r="Q311" s="253">
        <v>155920</v>
      </c>
      <c r="R311" s="254">
        <v>1.6290405988693237</v>
      </c>
      <c r="S311" s="254">
        <v>0.73755770921707153</v>
      </c>
      <c r="T311" s="255">
        <v>2.7642381191253662</v>
      </c>
    </row>
    <row r="312" spans="2:23">
      <c r="B312" s="249" t="s">
        <v>514</v>
      </c>
      <c r="C312" s="250" t="s">
        <v>282</v>
      </c>
      <c r="D312" s="250" t="s">
        <v>201</v>
      </c>
      <c r="E312" s="251">
        <v>6</v>
      </c>
      <c r="F312" s="251" t="s">
        <v>281</v>
      </c>
      <c r="G312" s="250">
        <v>1098</v>
      </c>
      <c r="H312" s="250">
        <v>414</v>
      </c>
      <c r="I312" s="250">
        <v>2093</v>
      </c>
      <c r="J312" s="252">
        <v>-9.1000000000000004E-3</v>
      </c>
      <c r="K312" s="250">
        <v>840</v>
      </c>
      <c r="L312" s="250">
        <v>296</v>
      </c>
      <c r="M312" s="250">
        <v>1651</v>
      </c>
      <c r="N312" s="250">
        <v>258</v>
      </c>
      <c r="O312" s="250">
        <v>118</v>
      </c>
      <c r="P312" s="250">
        <v>442</v>
      </c>
      <c r="Q312" s="253">
        <v>188016</v>
      </c>
      <c r="R312" s="254">
        <v>1.3722236156463623</v>
      </c>
      <c r="S312" s="254">
        <v>0.62760615348815918</v>
      </c>
      <c r="T312" s="255">
        <v>2.3508636951446533</v>
      </c>
    </row>
    <row r="313" spans="2:23">
      <c r="B313" s="249" t="s">
        <v>514</v>
      </c>
      <c r="C313" s="250" t="s">
        <v>282</v>
      </c>
      <c r="D313" s="250" t="s">
        <v>201</v>
      </c>
      <c r="E313" s="251">
        <v>7</v>
      </c>
      <c r="F313" s="251" t="s">
        <v>281</v>
      </c>
      <c r="G313" s="250">
        <v>1098</v>
      </c>
      <c r="H313" s="250">
        <v>414</v>
      </c>
      <c r="I313" s="250">
        <v>2093</v>
      </c>
      <c r="J313" s="252">
        <v>-9.1000000000000004E-3</v>
      </c>
      <c r="K313" s="250">
        <v>832</v>
      </c>
      <c r="L313" s="250">
        <v>295</v>
      </c>
      <c r="M313" s="250">
        <v>1635</v>
      </c>
      <c r="N313" s="250">
        <v>266</v>
      </c>
      <c r="O313" s="250">
        <v>119</v>
      </c>
      <c r="P313" s="250">
        <v>458</v>
      </c>
      <c r="Q313" s="253">
        <v>143207</v>
      </c>
      <c r="R313" s="254">
        <v>1.8574510812759399</v>
      </c>
      <c r="S313" s="254">
        <v>0.83096492290496826</v>
      </c>
      <c r="T313" s="255">
        <v>3.1981678009033203</v>
      </c>
    </row>
    <row r="314" spans="2:23">
      <c r="B314" s="249" t="s">
        <v>514</v>
      </c>
      <c r="C314" s="250" t="s">
        <v>282</v>
      </c>
      <c r="D314" s="250" t="s">
        <v>201</v>
      </c>
      <c r="E314" s="251">
        <v>8</v>
      </c>
      <c r="F314" s="251" t="s">
        <v>281</v>
      </c>
      <c r="G314" s="250">
        <v>1098</v>
      </c>
      <c r="H314" s="250">
        <v>414</v>
      </c>
      <c r="I314" s="250">
        <v>2093</v>
      </c>
      <c r="J314" s="252">
        <v>-9.1000000000000004E-3</v>
      </c>
      <c r="K314" s="250">
        <v>827</v>
      </c>
      <c r="L314" s="250">
        <v>293</v>
      </c>
      <c r="M314" s="250">
        <v>1619</v>
      </c>
      <c r="N314" s="250">
        <v>271</v>
      </c>
      <c r="O314" s="250">
        <v>121</v>
      </c>
      <c r="P314" s="250">
        <v>474</v>
      </c>
      <c r="Q314" s="253">
        <v>143207</v>
      </c>
      <c r="R314" s="254">
        <v>1.892365574836731</v>
      </c>
      <c r="S314" s="254">
        <v>0.84493076801300049</v>
      </c>
      <c r="T314" s="255">
        <v>3.3098940849304199</v>
      </c>
    </row>
    <row r="315" spans="2:23">
      <c r="B315" s="249" t="s">
        <v>514</v>
      </c>
      <c r="C315" s="250" t="s">
        <v>282</v>
      </c>
      <c r="D315" s="250" t="s">
        <v>201</v>
      </c>
      <c r="E315" s="251">
        <v>9</v>
      </c>
      <c r="F315" s="251" t="s">
        <v>281</v>
      </c>
      <c r="G315" s="250">
        <v>1098</v>
      </c>
      <c r="H315" s="250">
        <v>414</v>
      </c>
      <c r="I315" s="250">
        <v>2093</v>
      </c>
      <c r="J315" s="252">
        <v>-9.1000000000000004E-3</v>
      </c>
      <c r="K315" s="250">
        <v>826</v>
      </c>
      <c r="L315" s="250">
        <v>293</v>
      </c>
      <c r="M315" s="250">
        <v>1612</v>
      </c>
      <c r="N315" s="250">
        <v>272</v>
      </c>
      <c r="O315" s="250">
        <v>121</v>
      </c>
      <c r="P315" s="250">
        <v>481</v>
      </c>
      <c r="Q315" s="253">
        <v>143207</v>
      </c>
      <c r="R315" s="254">
        <v>1.8993484973907471</v>
      </c>
      <c r="S315" s="254">
        <v>0.84493076801300049</v>
      </c>
      <c r="T315" s="255">
        <v>3.3587744235992432</v>
      </c>
    </row>
    <row r="316" spans="2:23">
      <c r="B316" s="249" t="s">
        <v>514</v>
      </c>
      <c r="C316" s="250" t="s">
        <v>282</v>
      </c>
      <c r="D316" s="250" t="s">
        <v>201</v>
      </c>
      <c r="E316" s="251">
        <v>10</v>
      </c>
      <c r="F316" s="251" t="s">
        <v>281</v>
      </c>
      <c r="G316" s="250">
        <v>1098</v>
      </c>
      <c r="H316" s="250">
        <v>414</v>
      </c>
      <c r="I316" s="250">
        <v>2093</v>
      </c>
      <c r="J316" s="252">
        <v>-9.1000000000000004E-3</v>
      </c>
      <c r="K316" s="250">
        <v>807</v>
      </c>
      <c r="L316" s="250">
        <v>285</v>
      </c>
      <c r="M316" s="250">
        <v>1589</v>
      </c>
      <c r="N316" s="250">
        <v>291</v>
      </c>
      <c r="O316" s="250">
        <v>129</v>
      </c>
      <c r="P316" s="250">
        <v>504</v>
      </c>
      <c r="Q316" s="253">
        <v>143207</v>
      </c>
      <c r="R316" s="254">
        <v>2.0320236682891846</v>
      </c>
      <c r="S316" s="254">
        <v>0.90079391002655029</v>
      </c>
      <c r="T316" s="255">
        <v>3.519381046295166</v>
      </c>
    </row>
    <row r="317" spans="2:23">
      <c r="B317" s="249" t="s">
        <v>514</v>
      </c>
      <c r="C317" s="250" t="s">
        <v>282</v>
      </c>
      <c r="D317" s="250" t="s">
        <v>201</v>
      </c>
      <c r="E317" s="251">
        <v>11</v>
      </c>
      <c r="F317" s="251" t="s">
        <v>281</v>
      </c>
      <c r="G317" s="250">
        <v>1098</v>
      </c>
      <c r="H317" s="250">
        <v>414</v>
      </c>
      <c r="I317" s="250">
        <v>2093</v>
      </c>
      <c r="J317" s="252">
        <v>-9.1000000000000004E-3</v>
      </c>
      <c r="K317" s="250">
        <v>802</v>
      </c>
      <c r="L317" s="250">
        <v>283</v>
      </c>
      <c r="M317" s="250">
        <v>1578</v>
      </c>
      <c r="N317" s="250">
        <v>296</v>
      </c>
      <c r="O317" s="250">
        <v>131</v>
      </c>
      <c r="P317" s="250">
        <v>515</v>
      </c>
      <c r="Q317" s="253">
        <v>188016</v>
      </c>
      <c r="R317" s="254">
        <v>1.5743341445922852</v>
      </c>
      <c r="S317" s="254">
        <v>0.69674921035766602</v>
      </c>
      <c r="T317" s="255">
        <v>2.739128589630127</v>
      </c>
    </row>
    <row r="318" spans="2:23">
      <c r="B318" s="249" t="s">
        <v>514</v>
      </c>
      <c r="C318" s="250" t="s">
        <v>282</v>
      </c>
      <c r="D318" s="250" t="s">
        <v>201</v>
      </c>
      <c r="E318" s="251">
        <v>12</v>
      </c>
      <c r="F318" s="251" t="s">
        <v>281</v>
      </c>
      <c r="G318" s="250">
        <v>1098</v>
      </c>
      <c r="H318" s="250">
        <v>414</v>
      </c>
      <c r="I318" s="250">
        <v>2093</v>
      </c>
      <c r="J318" s="252">
        <v>-9.1000000000000004E-3</v>
      </c>
      <c r="K318" s="250">
        <v>798</v>
      </c>
      <c r="L318" s="250">
        <v>281</v>
      </c>
      <c r="M318" s="250">
        <v>1558</v>
      </c>
      <c r="N318" s="250">
        <v>300</v>
      </c>
      <c r="O318" s="250">
        <v>133</v>
      </c>
      <c r="P318" s="250">
        <v>535</v>
      </c>
      <c r="Q318" s="253">
        <v>143207</v>
      </c>
      <c r="R318" s="254">
        <v>2.09486985206604</v>
      </c>
      <c r="S318" s="254">
        <v>0.92872554063796997</v>
      </c>
      <c r="T318" s="255">
        <v>3.7358508110046387</v>
      </c>
    </row>
    <row r="319" spans="2:23">
      <c r="B319" s="249" t="s">
        <v>514</v>
      </c>
      <c r="C319" s="250" t="s">
        <v>282</v>
      </c>
      <c r="D319" s="250" t="s">
        <v>201</v>
      </c>
      <c r="E319" s="251">
        <v>13</v>
      </c>
      <c r="F319" s="251" t="s">
        <v>281</v>
      </c>
      <c r="G319" s="250">
        <v>1098</v>
      </c>
      <c r="H319" s="250">
        <v>414</v>
      </c>
      <c r="I319" s="250">
        <v>2093</v>
      </c>
      <c r="J319" s="252">
        <v>-9.1000000000000004E-3</v>
      </c>
      <c r="K319" s="250">
        <v>786</v>
      </c>
      <c r="L319" s="250">
        <v>280</v>
      </c>
      <c r="M319" s="250">
        <v>1541</v>
      </c>
      <c r="N319" s="250">
        <v>312</v>
      </c>
      <c r="O319" s="250">
        <v>134</v>
      </c>
      <c r="P319" s="250">
        <v>552</v>
      </c>
      <c r="Q319" s="253">
        <v>143207</v>
      </c>
      <c r="R319" s="254">
        <v>2.1786644458770752</v>
      </c>
      <c r="S319" s="254">
        <v>0.93570846319198608</v>
      </c>
      <c r="T319" s="255">
        <v>3.8545601367950439</v>
      </c>
    </row>
    <row r="320" spans="2:23">
      <c r="B320" s="249" t="s">
        <v>514</v>
      </c>
      <c r="C320" s="250" t="s">
        <v>282</v>
      </c>
      <c r="D320" s="250" t="s">
        <v>201</v>
      </c>
      <c r="E320" s="251">
        <v>14</v>
      </c>
      <c r="F320" s="251" t="s">
        <v>281</v>
      </c>
      <c r="G320" s="250">
        <v>1098</v>
      </c>
      <c r="H320" s="250">
        <v>414</v>
      </c>
      <c r="I320" s="250">
        <v>2093</v>
      </c>
      <c r="J320" s="252">
        <v>-9.1000000000000004E-3</v>
      </c>
      <c r="K320" s="250">
        <v>781</v>
      </c>
      <c r="L320" s="250">
        <v>277</v>
      </c>
      <c r="M320" s="250">
        <v>1532</v>
      </c>
      <c r="N320" s="250">
        <v>317</v>
      </c>
      <c r="O320" s="250">
        <v>137</v>
      </c>
      <c r="P320" s="250">
        <v>561</v>
      </c>
      <c r="Q320" s="253">
        <v>143207</v>
      </c>
      <c r="R320" s="254">
        <v>2.2135789394378662</v>
      </c>
      <c r="S320" s="254">
        <v>0.95665717124938965</v>
      </c>
      <c r="T320" s="255">
        <v>3.9174063205718994</v>
      </c>
    </row>
    <row r="321" spans="2:20">
      <c r="B321" s="256" t="s">
        <v>514</v>
      </c>
      <c r="C321" s="257" t="s">
        <v>282</v>
      </c>
      <c r="D321" s="257" t="s">
        <v>201</v>
      </c>
      <c r="E321" s="258">
        <v>15</v>
      </c>
      <c r="F321" s="258" t="s">
        <v>281</v>
      </c>
      <c r="G321" s="257">
        <v>1098</v>
      </c>
      <c r="H321" s="257">
        <v>414</v>
      </c>
      <c r="I321" s="257">
        <v>2093</v>
      </c>
      <c r="J321" s="259">
        <v>-9.1000000000000004E-3</v>
      </c>
      <c r="K321" s="257">
        <v>774</v>
      </c>
      <c r="L321" s="257">
        <v>276</v>
      </c>
      <c r="M321" s="257">
        <v>1518</v>
      </c>
      <c r="N321" s="257">
        <v>324</v>
      </c>
      <c r="O321" s="257">
        <v>138</v>
      </c>
      <c r="P321" s="257">
        <v>575</v>
      </c>
      <c r="Q321" s="260">
        <v>143207</v>
      </c>
      <c r="R321" s="261">
        <v>2.2624590396881104</v>
      </c>
      <c r="S321" s="261">
        <v>0.96364003419876099</v>
      </c>
      <c r="T321" s="262">
        <v>4.0151667594909668</v>
      </c>
    </row>
    <row r="322" spans="2:20">
      <c r="B322" s="249" t="s">
        <v>514</v>
      </c>
      <c r="C322" s="250" t="s">
        <v>77</v>
      </c>
      <c r="D322" s="250" t="s">
        <v>502</v>
      </c>
      <c r="E322" s="251">
        <v>1</v>
      </c>
      <c r="F322" s="251" t="s">
        <v>281</v>
      </c>
      <c r="G322" s="250">
        <v>1098</v>
      </c>
      <c r="H322" s="250">
        <v>414</v>
      </c>
      <c r="I322" s="250">
        <v>2093</v>
      </c>
      <c r="J322" s="252">
        <v>-1.0800000000000001E-2</v>
      </c>
      <c r="K322" s="250">
        <v>989</v>
      </c>
      <c r="L322" s="250">
        <v>342</v>
      </c>
      <c r="M322" s="250">
        <v>1956</v>
      </c>
      <c r="N322" s="250">
        <v>109</v>
      </c>
      <c r="O322" s="250">
        <v>72</v>
      </c>
      <c r="P322" s="250">
        <v>137</v>
      </c>
      <c r="Q322" s="253">
        <v>291952</v>
      </c>
      <c r="R322" s="254">
        <v>0.37334904074668884</v>
      </c>
      <c r="S322" s="254">
        <v>0.24661587178707123</v>
      </c>
      <c r="T322" s="255">
        <v>0.4692552387714386</v>
      </c>
    </row>
    <row r="323" spans="2:20">
      <c r="B323" s="249" t="s">
        <v>514</v>
      </c>
      <c r="C323" s="250" t="s">
        <v>77</v>
      </c>
      <c r="D323" s="250" t="s">
        <v>502</v>
      </c>
      <c r="E323" s="251">
        <v>2</v>
      </c>
      <c r="F323" s="251" t="s">
        <v>281</v>
      </c>
      <c r="G323" s="250">
        <v>1098</v>
      </c>
      <c r="H323" s="250">
        <v>414</v>
      </c>
      <c r="I323" s="250">
        <v>2093</v>
      </c>
      <c r="J323" s="252">
        <v>-1.0800000000000001E-2</v>
      </c>
      <c r="K323" s="250">
        <v>984</v>
      </c>
      <c r="L323" s="250">
        <v>342</v>
      </c>
      <c r="M323" s="250">
        <v>1944</v>
      </c>
      <c r="N323" s="250">
        <v>114</v>
      </c>
      <c r="O323" s="250">
        <v>72</v>
      </c>
      <c r="P323" s="250">
        <v>149</v>
      </c>
      <c r="Q323" s="253">
        <v>503800</v>
      </c>
      <c r="R323" s="254">
        <v>0.22628027200698853</v>
      </c>
      <c r="S323" s="254">
        <v>0.14291384816169739</v>
      </c>
      <c r="T323" s="255">
        <v>0.29575228691101074</v>
      </c>
    </row>
    <row r="324" spans="2:20">
      <c r="B324" s="249" t="s">
        <v>514</v>
      </c>
      <c r="C324" s="250" t="s">
        <v>77</v>
      </c>
      <c r="D324" s="250" t="s">
        <v>502</v>
      </c>
      <c r="E324" s="251">
        <v>3</v>
      </c>
      <c r="F324" s="251" t="s">
        <v>281</v>
      </c>
      <c r="G324" s="250">
        <v>1098</v>
      </c>
      <c r="H324" s="250">
        <v>414</v>
      </c>
      <c r="I324" s="250">
        <v>2093</v>
      </c>
      <c r="J324" s="252">
        <v>-1.0800000000000001E-2</v>
      </c>
      <c r="K324" s="250">
        <v>978</v>
      </c>
      <c r="L324" s="250">
        <v>339</v>
      </c>
      <c r="M324" s="250">
        <v>1929</v>
      </c>
      <c r="N324" s="250">
        <v>120</v>
      </c>
      <c r="O324" s="250">
        <v>75</v>
      </c>
      <c r="P324" s="250">
        <v>164</v>
      </c>
      <c r="Q324" s="253">
        <v>336131</v>
      </c>
      <c r="R324" s="254">
        <v>0.35700368881225586</v>
      </c>
      <c r="S324" s="254">
        <v>0.22312729060649872</v>
      </c>
      <c r="T324" s="255">
        <v>0.48790502548217773</v>
      </c>
    </row>
    <row r="325" spans="2:20">
      <c r="B325" s="249" t="s">
        <v>514</v>
      </c>
      <c r="C325" s="250" t="s">
        <v>77</v>
      </c>
      <c r="D325" s="250" t="s">
        <v>502</v>
      </c>
      <c r="E325" s="251">
        <v>4</v>
      </c>
      <c r="F325" s="251" t="s">
        <v>281</v>
      </c>
      <c r="G325" s="250">
        <v>1098</v>
      </c>
      <c r="H325" s="250">
        <v>414</v>
      </c>
      <c r="I325" s="250">
        <v>2093</v>
      </c>
      <c r="J325" s="252">
        <v>-1.0800000000000001E-2</v>
      </c>
      <c r="K325" s="250">
        <v>969</v>
      </c>
      <c r="L325" s="250">
        <v>339</v>
      </c>
      <c r="M325" s="250">
        <v>1912</v>
      </c>
      <c r="N325" s="250">
        <v>129</v>
      </c>
      <c r="O325" s="250">
        <v>75</v>
      </c>
      <c r="P325" s="250">
        <v>181</v>
      </c>
      <c r="Q325" s="253">
        <v>353502</v>
      </c>
      <c r="R325" s="254">
        <v>0.36492013931274414</v>
      </c>
      <c r="S325" s="254">
        <v>0.21216288208961487</v>
      </c>
      <c r="T325" s="255">
        <v>0.51201975345611572</v>
      </c>
    </row>
    <row r="326" spans="2:20">
      <c r="B326" s="249" t="s">
        <v>514</v>
      </c>
      <c r="C326" s="250" t="s">
        <v>77</v>
      </c>
      <c r="D326" s="250" t="s">
        <v>502</v>
      </c>
      <c r="E326" s="251">
        <v>5</v>
      </c>
      <c r="F326" s="251" t="s">
        <v>281</v>
      </c>
      <c r="G326" s="250">
        <v>1098</v>
      </c>
      <c r="H326" s="250">
        <v>414</v>
      </c>
      <c r="I326" s="250">
        <v>2093</v>
      </c>
      <c r="J326" s="252">
        <v>-1.0800000000000001E-2</v>
      </c>
      <c r="K326" s="250">
        <v>962</v>
      </c>
      <c r="L326" s="250">
        <v>335</v>
      </c>
      <c r="M326" s="250">
        <v>1890</v>
      </c>
      <c r="N326" s="250">
        <v>136</v>
      </c>
      <c r="O326" s="250">
        <v>79</v>
      </c>
      <c r="P326" s="250">
        <v>203</v>
      </c>
      <c r="Q326" s="253">
        <v>336131</v>
      </c>
      <c r="R326" s="254">
        <v>0.40460416674613953</v>
      </c>
      <c r="S326" s="254">
        <v>0.23502741754055023</v>
      </c>
      <c r="T326" s="255">
        <v>0.60393118858337402</v>
      </c>
    </row>
    <row r="327" spans="2:20">
      <c r="B327" s="249" t="s">
        <v>514</v>
      </c>
      <c r="C327" s="250" t="s">
        <v>77</v>
      </c>
      <c r="D327" s="250" t="s">
        <v>201</v>
      </c>
      <c r="E327" s="251">
        <v>6</v>
      </c>
      <c r="F327" s="251" t="s">
        <v>281</v>
      </c>
      <c r="G327" s="250">
        <v>1098</v>
      </c>
      <c r="H327" s="250">
        <v>414</v>
      </c>
      <c r="I327" s="250">
        <v>2093</v>
      </c>
      <c r="J327" s="252">
        <v>-8.0000000000000004E-4</v>
      </c>
      <c r="K327" s="250">
        <v>962</v>
      </c>
      <c r="L327" s="250">
        <v>335</v>
      </c>
      <c r="M327" s="250">
        <v>1890</v>
      </c>
      <c r="N327" s="250">
        <v>136</v>
      </c>
      <c r="O327" s="250">
        <v>79</v>
      </c>
      <c r="P327" s="250">
        <v>203</v>
      </c>
      <c r="Q327" s="253">
        <v>231478</v>
      </c>
      <c r="R327" s="254">
        <v>0.58752888441085815</v>
      </c>
      <c r="S327" s="254">
        <v>0.34128513932228088</v>
      </c>
      <c r="T327" s="255">
        <v>0.87697321176528931</v>
      </c>
    </row>
    <row r="328" spans="2:20">
      <c r="B328" s="249" t="s">
        <v>514</v>
      </c>
      <c r="C328" s="250" t="s">
        <v>77</v>
      </c>
      <c r="D328" s="250" t="s">
        <v>201</v>
      </c>
      <c r="E328" s="251">
        <v>7</v>
      </c>
      <c r="F328" s="251" t="s">
        <v>281</v>
      </c>
      <c r="G328" s="250">
        <v>1098</v>
      </c>
      <c r="H328" s="250">
        <v>414</v>
      </c>
      <c r="I328" s="250">
        <v>2093</v>
      </c>
      <c r="J328" s="252">
        <v>-8.0000000000000004E-4</v>
      </c>
      <c r="K328" s="250">
        <v>962</v>
      </c>
      <c r="L328" s="250">
        <v>335</v>
      </c>
      <c r="M328" s="250">
        <v>1888</v>
      </c>
      <c r="N328" s="250">
        <v>136</v>
      </c>
      <c r="O328" s="250">
        <v>79</v>
      </c>
      <c r="P328" s="250">
        <v>205</v>
      </c>
      <c r="Q328" s="253">
        <v>177294</v>
      </c>
      <c r="R328" s="254">
        <v>0.76708745956420898</v>
      </c>
      <c r="S328" s="254">
        <v>0.44558757543563843</v>
      </c>
      <c r="T328" s="255">
        <v>1.1562715768814087</v>
      </c>
    </row>
    <row r="329" spans="2:20">
      <c r="B329" s="249" t="s">
        <v>514</v>
      </c>
      <c r="C329" s="250" t="s">
        <v>77</v>
      </c>
      <c r="D329" s="250" t="s">
        <v>201</v>
      </c>
      <c r="E329" s="251">
        <v>8</v>
      </c>
      <c r="F329" s="251" t="s">
        <v>281</v>
      </c>
      <c r="G329" s="250">
        <v>1098</v>
      </c>
      <c r="H329" s="250">
        <v>414</v>
      </c>
      <c r="I329" s="250">
        <v>2093</v>
      </c>
      <c r="J329" s="252">
        <v>-8.0000000000000004E-4</v>
      </c>
      <c r="K329" s="250">
        <v>962</v>
      </c>
      <c r="L329" s="250">
        <v>335</v>
      </c>
      <c r="M329" s="250">
        <v>1888</v>
      </c>
      <c r="N329" s="250">
        <v>136</v>
      </c>
      <c r="O329" s="250">
        <v>79</v>
      </c>
      <c r="P329" s="250">
        <v>205</v>
      </c>
      <c r="Q329" s="253">
        <v>159923</v>
      </c>
      <c r="R329" s="254">
        <v>0.85040926933288574</v>
      </c>
      <c r="S329" s="254">
        <v>0.49398776888847351</v>
      </c>
      <c r="T329" s="255">
        <v>1.2818669080734253</v>
      </c>
    </row>
    <row r="330" spans="2:20">
      <c r="B330" s="249" t="s">
        <v>514</v>
      </c>
      <c r="C330" s="250" t="s">
        <v>77</v>
      </c>
      <c r="D330" s="250" t="s">
        <v>201</v>
      </c>
      <c r="E330" s="251">
        <v>9</v>
      </c>
      <c r="F330" s="251" t="s">
        <v>281</v>
      </c>
      <c r="G330" s="250">
        <v>1098</v>
      </c>
      <c r="H330" s="250">
        <v>414</v>
      </c>
      <c r="I330" s="250">
        <v>2093</v>
      </c>
      <c r="J330" s="252">
        <v>-8.0000000000000004E-4</v>
      </c>
      <c r="K330" s="250">
        <v>959</v>
      </c>
      <c r="L330" s="250">
        <v>334</v>
      </c>
      <c r="M330" s="250">
        <v>1885</v>
      </c>
      <c r="N330" s="250">
        <v>139</v>
      </c>
      <c r="O330" s="250">
        <v>80</v>
      </c>
      <c r="P330" s="250">
        <v>208</v>
      </c>
      <c r="Q330" s="253">
        <v>159923</v>
      </c>
      <c r="R330" s="254">
        <v>0.86916828155517578</v>
      </c>
      <c r="S330" s="254">
        <v>0.50024068355560303</v>
      </c>
      <c r="T330" s="255">
        <v>1.3006259202957153</v>
      </c>
    </row>
    <row r="331" spans="2:20">
      <c r="B331" s="249" t="s">
        <v>514</v>
      </c>
      <c r="C331" s="250" t="s">
        <v>77</v>
      </c>
      <c r="D331" s="250" t="s">
        <v>201</v>
      </c>
      <c r="E331" s="251">
        <v>10</v>
      </c>
      <c r="F331" s="251" t="s">
        <v>281</v>
      </c>
      <c r="G331" s="250">
        <v>1098</v>
      </c>
      <c r="H331" s="250">
        <v>414</v>
      </c>
      <c r="I331" s="250">
        <v>2093</v>
      </c>
      <c r="J331" s="252">
        <v>-8.0000000000000004E-4</v>
      </c>
      <c r="K331" s="250">
        <v>958</v>
      </c>
      <c r="L331" s="250">
        <v>334</v>
      </c>
      <c r="M331" s="250">
        <v>1883</v>
      </c>
      <c r="N331" s="250">
        <v>140</v>
      </c>
      <c r="O331" s="250">
        <v>80</v>
      </c>
      <c r="P331" s="250">
        <v>210</v>
      </c>
      <c r="Q331" s="253">
        <v>177294</v>
      </c>
      <c r="R331" s="254">
        <v>0.78964883089065552</v>
      </c>
      <c r="S331" s="254">
        <v>0.45122790336608887</v>
      </c>
      <c r="T331" s="255">
        <v>1.1844732761383057</v>
      </c>
    </row>
    <row r="332" spans="2:20">
      <c r="B332" s="249" t="s">
        <v>514</v>
      </c>
      <c r="C332" s="250" t="s">
        <v>77</v>
      </c>
      <c r="D332" s="250" t="s">
        <v>201</v>
      </c>
      <c r="E332" s="251">
        <v>11</v>
      </c>
      <c r="F332" s="251" t="s">
        <v>281</v>
      </c>
      <c r="G332" s="250">
        <v>1098</v>
      </c>
      <c r="H332" s="250">
        <v>414</v>
      </c>
      <c r="I332" s="250">
        <v>2093</v>
      </c>
      <c r="J332" s="252">
        <v>-8.0000000000000004E-4</v>
      </c>
      <c r="K332" s="250">
        <v>957</v>
      </c>
      <c r="L332" s="250">
        <v>333</v>
      </c>
      <c r="M332" s="250">
        <v>1883</v>
      </c>
      <c r="N332" s="250">
        <v>141</v>
      </c>
      <c r="O332" s="250">
        <v>81</v>
      </c>
      <c r="P332" s="250">
        <v>210</v>
      </c>
      <c r="Q332" s="253">
        <v>231478</v>
      </c>
      <c r="R332" s="254">
        <v>0.60912913084030151</v>
      </c>
      <c r="S332" s="254">
        <v>0.34992524981498718</v>
      </c>
      <c r="T332" s="255">
        <v>0.90721368789672852</v>
      </c>
    </row>
    <row r="333" spans="2:20">
      <c r="B333" s="249" t="s">
        <v>514</v>
      </c>
      <c r="C333" s="250" t="s">
        <v>77</v>
      </c>
      <c r="D333" s="250" t="s">
        <v>201</v>
      </c>
      <c r="E333" s="251">
        <v>12</v>
      </c>
      <c r="F333" s="251" t="s">
        <v>281</v>
      </c>
      <c r="G333" s="250">
        <v>1098</v>
      </c>
      <c r="H333" s="250">
        <v>414</v>
      </c>
      <c r="I333" s="250">
        <v>2093</v>
      </c>
      <c r="J333" s="252">
        <v>-8.0000000000000004E-4</v>
      </c>
      <c r="K333" s="250">
        <v>957</v>
      </c>
      <c r="L333" s="250">
        <v>333</v>
      </c>
      <c r="M333" s="250">
        <v>1882</v>
      </c>
      <c r="N333" s="250">
        <v>141</v>
      </c>
      <c r="O333" s="250">
        <v>81</v>
      </c>
      <c r="P333" s="250">
        <v>211</v>
      </c>
      <c r="Q333" s="253">
        <v>159923</v>
      </c>
      <c r="R333" s="254">
        <v>0.88167428970336914</v>
      </c>
      <c r="S333" s="254">
        <v>0.50649374723434448</v>
      </c>
      <c r="T333" s="255">
        <v>1.3193849325180054</v>
      </c>
    </row>
    <row r="334" spans="2:20">
      <c r="B334" s="249" t="s">
        <v>514</v>
      </c>
      <c r="C334" s="250" t="s">
        <v>77</v>
      </c>
      <c r="D334" s="250" t="s">
        <v>201</v>
      </c>
      <c r="E334" s="251">
        <v>13</v>
      </c>
      <c r="F334" s="251" t="s">
        <v>281</v>
      </c>
      <c r="G334" s="250">
        <v>1098</v>
      </c>
      <c r="H334" s="250">
        <v>414</v>
      </c>
      <c r="I334" s="250">
        <v>2093</v>
      </c>
      <c r="J334" s="252">
        <v>-8.0000000000000004E-4</v>
      </c>
      <c r="K334" s="250">
        <v>957</v>
      </c>
      <c r="L334" s="250">
        <v>333</v>
      </c>
      <c r="M334" s="250">
        <v>1880</v>
      </c>
      <c r="N334" s="250">
        <v>141</v>
      </c>
      <c r="O334" s="250">
        <v>81</v>
      </c>
      <c r="P334" s="250">
        <v>213</v>
      </c>
      <c r="Q334" s="253">
        <v>177294</v>
      </c>
      <c r="R334" s="254">
        <v>0.79528915882110596</v>
      </c>
      <c r="S334" s="254">
        <v>0.45686826109886169</v>
      </c>
      <c r="T334" s="255">
        <v>1.2013942003250122</v>
      </c>
    </row>
    <row r="335" spans="2:20">
      <c r="B335" s="249" t="s">
        <v>514</v>
      </c>
      <c r="C335" s="250" t="s">
        <v>77</v>
      </c>
      <c r="D335" s="250" t="s">
        <v>201</v>
      </c>
      <c r="E335" s="251">
        <v>14</v>
      </c>
      <c r="F335" s="251" t="s">
        <v>281</v>
      </c>
      <c r="G335" s="250">
        <v>1098</v>
      </c>
      <c r="H335" s="250">
        <v>414</v>
      </c>
      <c r="I335" s="250">
        <v>2093</v>
      </c>
      <c r="J335" s="252">
        <v>-8.0000000000000004E-4</v>
      </c>
      <c r="K335" s="250">
        <v>957</v>
      </c>
      <c r="L335" s="250">
        <v>333</v>
      </c>
      <c r="M335" s="250">
        <v>1879</v>
      </c>
      <c r="N335" s="250">
        <v>141</v>
      </c>
      <c r="O335" s="250">
        <v>81</v>
      </c>
      <c r="P335" s="250">
        <v>214</v>
      </c>
      <c r="Q335" s="253">
        <v>159923</v>
      </c>
      <c r="R335" s="254">
        <v>0.88167428970336914</v>
      </c>
      <c r="S335" s="254">
        <v>0.50649374723434448</v>
      </c>
      <c r="T335" s="255">
        <v>1.3381439447402954</v>
      </c>
    </row>
    <row r="336" spans="2:20">
      <c r="B336" s="256" t="s">
        <v>514</v>
      </c>
      <c r="C336" s="257" t="s">
        <v>77</v>
      </c>
      <c r="D336" s="257" t="s">
        <v>201</v>
      </c>
      <c r="E336" s="258">
        <v>15</v>
      </c>
      <c r="F336" s="258" t="s">
        <v>281</v>
      </c>
      <c r="G336" s="257">
        <v>1098</v>
      </c>
      <c r="H336" s="257">
        <v>414</v>
      </c>
      <c r="I336" s="257">
        <v>2093</v>
      </c>
      <c r="J336" s="259">
        <v>-8.0000000000000004E-4</v>
      </c>
      <c r="K336" s="257">
        <v>956</v>
      </c>
      <c r="L336" s="257">
        <v>333</v>
      </c>
      <c r="M336" s="257">
        <v>1879</v>
      </c>
      <c r="N336" s="257">
        <v>142</v>
      </c>
      <c r="O336" s="257">
        <v>81</v>
      </c>
      <c r="P336" s="257">
        <v>214</v>
      </c>
      <c r="Q336" s="260">
        <v>159923</v>
      </c>
      <c r="R336" s="261">
        <v>0.88792729377746582</v>
      </c>
      <c r="S336" s="261">
        <v>0.50649374723434448</v>
      </c>
      <c r="T336" s="262">
        <v>1.3381439447402954</v>
      </c>
    </row>
    <row r="337" spans="2:20">
      <c r="B337" s="249" t="s">
        <v>514</v>
      </c>
      <c r="C337" s="250" t="s">
        <v>121</v>
      </c>
      <c r="D337" s="250" t="s">
        <v>502</v>
      </c>
      <c r="E337" s="251">
        <v>1</v>
      </c>
      <c r="F337" s="251" t="s">
        <v>281</v>
      </c>
      <c r="G337" s="250">
        <v>1098</v>
      </c>
      <c r="H337" s="250">
        <v>414</v>
      </c>
      <c r="I337" s="250">
        <v>2093</v>
      </c>
      <c r="J337" s="252">
        <v>-0.02</v>
      </c>
      <c r="K337" s="250">
        <v>985</v>
      </c>
      <c r="L337" s="250">
        <v>342</v>
      </c>
      <c r="M337" s="250">
        <v>1946</v>
      </c>
      <c r="N337" s="250">
        <v>113</v>
      </c>
      <c r="O337" s="250">
        <v>72</v>
      </c>
      <c r="P337" s="250">
        <v>147</v>
      </c>
      <c r="Q337" s="253">
        <v>133969</v>
      </c>
      <c r="R337" s="254">
        <v>0.8434787392616272</v>
      </c>
      <c r="S337" s="254">
        <v>0.5374377965927124</v>
      </c>
      <c r="T337" s="255">
        <v>1.09726881980896</v>
      </c>
    </row>
    <row r="338" spans="2:20">
      <c r="B338" s="249" t="s">
        <v>514</v>
      </c>
      <c r="C338" s="250" t="s">
        <v>121</v>
      </c>
      <c r="D338" s="250" t="s">
        <v>502</v>
      </c>
      <c r="E338" s="251">
        <v>2</v>
      </c>
      <c r="F338" s="251" t="s">
        <v>281</v>
      </c>
      <c r="G338" s="250">
        <v>1098</v>
      </c>
      <c r="H338" s="250">
        <v>414</v>
      </c>
      <c r="I338" s="250">
        <v>2093</v>
      </c>
      <c r="J338" s="252">
        <v>-0.02</v>
      </c>
      <c r="K338" s="250">
        <v>973</v>
      </c>
      <c r="L338" s="250">
        <v>339</v>
      </c>
      <c r="M338" s="250">
        <v>1916</v>
      </c>
      <c r="N338" s="250">
        <v>125</v>
      </c>
      <c r="O338" s="250">
        <v>75</v>
      </c>
      <c r="P338" s="250">
        <v>177</v>
      </c>
      <c r="Q338" s="253">
        <v>273304</v>
      </c>
      <c r="R338" s="254">
        <v>0.45736613869667053</v>
      </c>
      <c r="S338" s="254">
        <v>0.27441969513893127</v>
      </c>
      <c r="T338" s="255">
        <v>0.64763051271438599</v>
      </c>
    </row>
    <row r="339" spans="2:20">
      <c r="B339" s="249" t="s">
        <v>514</v>
      </c>
      <c r="C339" s="250" t="s">
        <v>121</v>
      </c>
      <c r="D339" s="250" t="s">
        <v>502</v>
      </c>
      <c r="E339" s="251">
        <v>3</v>
      </c>
      <c r="F339" s="251" t="s">
        <v>281</v>
      </c>
      <c r="G339" s="250">
        <v>1098</v>
      </c>
      <c r="H339" s="250">
        <v>414</v>
      </c>
      <c r="I339" s="250">
        <v>2093</v>
      </c>
      <c r="J339" s="252">
        <v>-0.02</v>
      </c>
      <c r="K339" s="250">
        <v>957</v>
      </c>
      <c r="L339" s="250">
        <v>333</v>
      </c>
      <c r="M339" s="250">
        <v>1881</v>
      </c>
      <c r="N339" s="250">
        <v>141</v>
      </c>
      <c r="O339" s="250">
        <v>81</v>
      </c>
      <c r="P339" s="250">
        <v>212</v>
      </c>
      <c r="Q339" s="253">
        <v>170998</v>
      </c>
      <c r="R339" s="254">
        <v>0.82457107305526733</v>
      </c>
      <c r="S339" s="254">
        <v>0.47368976473808289</v>
      </c>
      <c r="T339" s="255">
        <v>1.2397805452346802</v>
      </c>
    </row>
    <row r="340" spans="2:20">
      <c r="B340" s="249" t="s">
        <v>514</v>
      </c>
      <c r="C340" s="250" t="s">
        <v>121</v>
      </c>
      <c r="D340" s="250" t="s">
        <v>502</v>
      </c>
      <c r="E340" s="251">
        <v>4</v>
      </c>
      <c r="F340" s="251" t="s">
        <v>281</v>
      </c>
      <c r="G340" s="250">
        <v>1098</v>
      </c>
      <c r="H340" s="250">
        <v>414</v>
      </c>
      <c r="I340" s="250">
        <v>2093</v>
      </c>
      <c r="J340" s="252">
        <v>-0.02</v>
      </c>
      <c r="K340" s="250">
        <v>941</v>
      </c>
      <c r="L340" s="250">
        <v>329</v>
      </c>
      <c r="M340" s="250">
        <v>1841</v>
      </c>
      <c r="N340" s="250">
        <v>157</v>
      </c>
      <c r="O340" s="250">
        <v>85</v>
      </c>
      <c r="P340" s="250">
        <v>252</v>
      </c>
      <c r="Q340" s="253">
        <v>170998</v>
      </c>
      <c r="R340" s="254">
        <v>0.91813939809799194</v>
      </c>
      <c r="S340" s="254">
        <v>0.49708184599876404</v>
      </c>
      <c r="T340" s="255">
        <v>1.4737014770507813</v>
      </c>
    </row>
    <row r="341" spans="2:20">
      <c r="B341" s="249" t="s">
        <v>514</v>
      </c>
      <c r="C341" s="250" t="s">
        <v>121</v>
      </c>
      <c r="D341" s="250" t="s">
        <v>502</v>
      </c>
      <c r="E341" s="251">
        <v>5</v>
      </c>
      <c r="F341" s="251" t="s">
        <v>281</v>
      </c>
      <c r="G341" s="250">
        <v>1098</v>
      </c>
      <c r="H341" s="250">
        <v>414</v>
      </c>
      <c r="I341" s="250">
        <v>2093</v>
      </c>
      <c r="J341" s="252">
        <v>-0.02</v>
      </c>
      <c r="K341" s="250">
        <v>922</v>
      </c>
      <c r="L341" s="250">
        <v>324</v>
      </c>
      <c r="M341" s="250">
        <v>1807</v>
      </c>
      <c r="N341" s="250">
        <v>176</v>
      </c>
      <c r="O341" s="250">
        <v>90</v>
      </c>
      <c r="P341" s="250">
        <v>286</v>
      </c>
      <c r="Q341" s="253">
        <v>170998</v>
      </c>
      <c r="R341" s="254">
        <v>1.0292518138885498</v>
      </c>
      <c r="S341" s="254">
        <v>0.52632194757461548</v>
      </c>
      <c r="T341" s="255">
        <v>1.6725341081619263</v>
      </c>
    </row>
    <row r="342" spans="2:20">
      <c r="B342" s="249" t="s">
        <v>514</v>
      </c>
      <c r="C342" s="250" t="s">
        <v>121</v>
      </c>
      <c r="D342" s="250" t="s">
        <v>201</v>
      </c>
      <c r="E342" s="251">
        <v>6</v>
      </c>
      <c r="F342" s="251" t="s">
        <v>281</v>
      </c>
      <c r="G342" s="250">
        <v>1098</v>
      </c>
      <c r="H342" s="250">
        <v>414</v>
      </c>
      <c r="I342" s="250">
        <v>2093</v>
      </c>
      <c r="J342" s="252">
        <v>-2E-3</v>
      </c>
      <c r="K342" s="250">
        <v>921</v>
      </c>
      <c r="L342" s="250">
        <v>324</v>
      </c>
      <c r="M342" s="250">
        <v>1803</v>
      </c>
      <c r="N342" s="250">
        <v>177</v>
      </c>
      <c r="O342" s="250">
        <v>90</v>
      </c>
      <c r="P342" s="250">
        <v>290</v>
      </c>
      <c r="Q342" s="253">
        <v>123966</v>
      </c>
      <c r="R342" s="254">
        <v>1.4278109073638916</v>
      </c>
      <c r="S342" s="254">
        <v>0.72600555419921875</v>
      </c>
      <c r="T342" s="255">
        <v>2.3393511772155762</v>
      </c>
    </row>
    <row r="343" spans="2:20">
      <c r="B343" s="249" t="s">
        <v>514</v>
      </c>
      <c r="C343" s="250" t="s">
        <v>121</v>
      </c>
      <c r="D343" s="250" t="s">
        <v>201</v>
      </c>
      <c r="E343" s="251">
        <v>7</v>
      </c>
      <c r="F343" s="251" t="s">
        <v>281</v>
      </c>
      <c r="G343" s="250">
        <v>1098</v>
      </c>
      <c r="H343" s="250">
        <v>414</v>
      </c>
      <c r="I343" s="250">
        <v>2093</v>
      </c>
      <c r="J343" s="252">
        <v>-2E-3</v>
      </c>
      <c r="K343" s="250">
        <v>921</v>
      </c>
      <c r="L343" s="250">
        <v>324</v>
      </c>
      <c r="M343" s="250">
        <v>1802</v>
      </c>
      <c r="N343" s="250">
        <v>177</v>
      </c>
      <c r="O343" s="250">
        <v>90</v>
      </c>
      <c r="P343" s="250">
        <v>291</v>
      </c>
      <c r="Q343" s="253">
        <v>93727</v>
      </c>
      <c r="R343" s="254">
        <v>1.8884632587432861</v>
      </c>
      <c r="S343" s="254">
        <v>0.960235595703125</v>
      </c>
      <c r="T343" s="255">
        <v>3.1047616004943848</v>
      </c>
    </row>
    <row r="344" spans="2:20">
      <c r="B344" s="249" t="s">
        <v>514</v>
      </c>
      <c r="C344" s="250" t="s">
        <v>121</v>
      </c>
      <c r="D344" s="250" t="s">
        <v>201</v>
      </c>
      <c r="E344" s="251">
        <v>8</v>
      </c>
      <c r="F344" s="251" t="s">
        <v>281</v>
      </c>
      <c r="G344" s="250">
        <v>1098</v>
      </c>
      <c r="H344" s="250">
        <v>414</v>
      </c>
      <c r="I344" s="250">
        <v>2093</v>
      </c>
      <c r="J344" s="252">
        <v>-2E-3</v>
      </c>
      <c r="K344" s="250">
        <v>914</v>
      </c>
      <c r="L344" s="250">
        <v>322</v>
      </c>
      <c r="M344" s="250">
        <v>1797</v>
      </c>
      <c r="N344" s="250">
        <v>184</v>
      </c>
      <c r="O344" s="250">
        <v>92</v>
      </c>
      <c r="P344" s="250">
        <v>296</v>
      </c>
      <c r="Q344" s="253">
        <v>93727</v>
      </c>
      <c r="R344" s="254">
        <v>1.9631483554840088</v>
      </c>
      <c r="S344" s="254">
        <v>0.98157417774200439</v>
      </c>
      <c r="T344" s="255">
        <v>3.1581079959869385</v>
      </c>
    </row>
    <row r="345" spans="2:20">
      <c r="B345" s="249" t="s">
        <v>514</v>
      </c>
      <c r="C345" s="250" t="s">
        <v>121</v>
      </c>
      <c r="D345" s="250" t="s">
        <v>201</v>
      </c>
      <c r="E345" s="251">
        <v>9</v>
      </c>
      <c r="F345" s="251" t="s">
        <v>281</v>
      </c>
      <c r="G345" s="250">
        <v>1098</v>
      </c>
      <c r="H345" s="250">
        <v>414</v>
      </c>
      <c r="I345" s="250">
        <v>2093</v>
      </c>
      <c r="J345" s="252">
        <v>-2E-3</v>
      </c>
      <c r="K345" s="250">
        <v>914</v>
      </c>
      <c r="L345" s="250">
        <v>322</v>
      </c>
      <c r="M345" s="250">
        <v>1796</v>
      </c>
      <c r="N345" s="250">
        <v>184</v>
      </c>
      <c r="O345" s="250">
        <v>92</v>
      </c>
      <c r="P345" s="250">
        <v>297</v>
      </c>
      <c r="Q345" s="253">
        <v>93727</v>
      </c>
      <c r="R345" s="254">
        <v>1.9631483554840088</v>
      </c>
      <c r="S345" s="254">
        <v>0.98157417774200439</v>
      </c>
      <c r="T345" s="255">
        <v>3.1687772274017334</v>
      </c>
    </row>
    <row r="346" spans="2:20">
      <c r="B346" s="249" t="s">
        <v>514</v>
      </c>
      <c r="C346" s="250" t="s">
        <v>121</v>
      </c>
      <c r="D346" s="250" t="s">
        <v>201</v>
      </c>
      <c r="E346" s="251">
        <v>10</v>
      </c>
      <c r="F346" s="251" t="s">
        <v>281</v>
      </c>
      <c r="G346" s="250">
        <v>1098</v>
      </c>
      <c r="H346" s="250">
        <v>414</v>
      </c>
      <c r="I346" s="250">
        <v>2093</v>
      </c>
      <c r="J346" s="252">
        <v>-2E-3</v>
      </c>
      <c r="K346" s="250">
        <v>914</v>
      </c>
      <c r="L346" s="250">
        <v>322</v>
      </c>
      <c r="M346" s="250">
        <v>1791</v>
      </c>
      <c r="N346" s="250">
        <v>184</v>
      </c>
      <c r="O346" s="250">
        <v>92</v>
      </c>
      <c r="P346" s="250">
        <v>302</v>
      </c>
      <c r="Q346" s="253">
        <v>93727</v>
      </c>
      <c r="R346" s="254">
        <v>1.9631483554840088</v>
      </c>
      <c r="S346" s="254">
        <v>0.98157417774200439</v>
      </c>
      <c r="T346" s="255">
        <v>3.2221236228942871</v>
      </c>
    </row>
    <row r="347" spans="2:20">
      <c r="B347" s="249" t="s">
        <v>514</v>
      </c>
      <c r="C347" s="250" t="s">
        <v>121</v>
      </c>
      <c r="D347" s="250" t="s">
        <v>201</v>
      </c>
      <c r="E347" s="251">
        <v>11</v>
      </c>
      <c r="F347" s="251" t="s">
        <v>281</v>
      </c>
      <c r="G347" s="250">
        <v>1098</v>
      </c>
      <c r="H347" s="250">
        <v>414</v>
      </c>
      <c r="I347" s="250">
        <v>2093</v>
      </c>
      <c r="J347" s="252">
        <v>-2E-3</v>
      </c>
      <c r="K347" s="250">
        <v>913</v>
      </c>
      <c r="L347" s="250">
        <v>321</v>
      </c>
      <c r="M347" s="250">
        <v>1789</v>
      </c>
      <c r="N347" s="250">
        <v>185</v>
      </c>
      <c r="O347" s="250">
        <v>93</v>
      </c>
      <c r="P347" s="250">
        <v>304</v>
      </c>
      <c r="Q347" s="253">
        <v>123966</v>
      </c>
      <c r="R347" s="254">
        <v>1.4923446178436279</v>
      </c>
      <c r="S347" s="254">
        <v>0.75020569562911987</v>
      </c>
      <c r="T347" s="255">
        <v>2.4522852897644043</v>
      </c>
    </row>
    <row r="348" spans="2:20">
      <c r="B348" s="249" t="s">
        <v>514</v>
      </c>
      <c r="C348" s="250" t="s">
        <v>121</v>
      </c>
      <c r="D348" s="250" t="s">
        <v>201</v>
      </c>
      <c r="E348" s="251">
        <v>12</v>
      </c>
      <c r="F348" s="251" t="s">
        <v>281</v>
      </c>
      <c r="G348" s="250">
        <v>1098</v>
      </c>
      <c r="H348" s="250">
        <v>414</v>
      </c>
      <c r="I348" s="250">
        <v>2093</v>
      </c>
      <c r="J348" s="252">
        <v>-2E-3</v>
      </c>
      <c r="K348" s="250">
        <v>913</v>
      </c>
      <c r="L348" s="250">
        <v>321</v>
      </c>
      <c r="M348" s="250">
        <v>1785</v>
      </c>
      <c r="N348" s="250">
        <v>185</v>
      </c>
      <c r="O348" s="250">
        <v>93</v>
      </c>
      <c r="P348" s="250">
        <v>308</v>
      </c>
      <c r="Q348" s="253">
        <v>93727</v>
      </c>
      <c r="R348" s="254">
        <v>1.9738175868988037</v>
      </c>
      <c r="S348" s="254">
        <v>0.99224340915679932</v>
      </c>
      <c r="T348" s="255">
        <v>3.2861394882202148</v>
      </c>
    </row>
    <row r="349" spans="2:20">
      <c r="B349" s="249" t="s">
        <v>514</v>
      </c>
      <c r="C349" s="250" t="s">
        <v>121</v>
      </c>
      <c r="D349" s="250" t="s">
        <v>201</v>
      </c>
      <c r="E349" s="251">
        <v>13</v>
      </c>
      <c r="F349" s="251" t="s">
        <v>281</v>
      </c>
      <c r="G349" s="250">
        <v>1098</v>
      </c>
      <c r="H349" s="250">
        <v>414</v>
      </c>
      <c r="I349" s="250">
        <v>2093</v>
      </c>
      <c r="J349" s="252">
        <v>-2E-3</v>
      </c>
      <c r="K349" s="250">
        <v>912</v>
      </c>
      <c r="L349" s="250">
        <v>321</v>
      </c>
      <c r="M349" s="250">
        <v>1784</v>
      </c>
      <c r="N349" s="250">
        <v>186</v>
      </c>
      <c r="O349" s="250">
        <v>93</v>
      </c>
      <c r="P349" s="250">
        <v>309</v>
      </c>
      <c r="Q349" s="253">
        <v>93727</v>
      </c>
      <c r="R349" s="254">
        <v>1.9844868183135986</v>
      </c>
      <c r="S349" s="254">
        <v>0.99224340915679932</v>
      </c>
      <c r="T349" s="255">
        <v>3.2968087196350098</v>
      </c>
    </row>
    <row r="350" spans="2:20">
      <c r="B350" s="249" t="s">
        <v>514</v>
      </c>
      <c r="C350" s="250" t="s">
        <v>121</v>
      </c>
      <c r="D350" s="250" t="s">
        <v>201</v>
      </c>
      <c r="E350" s="251">
        <v>14</v>
      </c>
      <c r="F350" s="251" t="s">
        <v>281</v>
      </c>
      <c r="G350" s="250">
        <v>1098</v>
      </c>
      <c r="H350" s="250">
        <v>414</v>
      </c>
      <c r="I350" s="250">
        <v>2093</v>
      </c>
      <c r="J350" s="252">
        <v>-2E-3</v>
      </c>
      <c r="K350" s="250">
        <v>904</v>
      </c>
      <c r="L350" s="250">
        <v>320</v>
      </c>
      <c r="M350" s="250">
        <v>1774</v>
      </c>
      <c r="N350" s="250">
        <v>194</v>
      </c>
      <c r="O350" s="250">
        <v>94</v>
      </c>
      <c r="P350" s="250">
        <v>319</v>
      </c>
      <c r="Q350" s="253">
        <v>93727</v>
      </c>
      <c r="R350" s="254">
        <v>2.0698411464691162</v>
      </c>
      <c r="S350" s="254">
        <v>1.0029127597808838</v>
      </c>
      <c r="T350" s="255">
        <v>3.4035015106201172</v>
      </c>
    </row>
    <row r="351" spans="2:20">
      <c r="B351" s="256" t="s">
        <v>514</v>
      </c>
      <c r="C351" s="257" t="s">
        <v>121</v>
      </c>
      <c r="D351" s="257" t="s">
        <v>201</v>
      </c>
      <c r="E351" s="258">
        <v>15</v>
      </c>
      <c r="F351" s="258" t="s">
        <v>281</v>
      </c>
      <c r="G351" s="257">
        <v>1098</v>
      </c>
      <c r="H351" s="257">
        <v>414</v>
      </c>
      <c r="I351" s="257">
        <v>2093</v>
      </c>
      <c r="J351" s="259">
        <v>-2E-3</v>
      </c>
      <c r="K351" s="257">
        <v>902</v>
      </c>
      <c r="L351" s="257">
        <v>320</v>
      </c>
      <c r="M351" s="257">
        <v>1772</v>
      </c>
      <c r="N351" s="257">
        <v>196</v>
      </c>
      <c r="O351" s="257">
        <v>94</v>
      </c>
      <c r="P351" s="257">
        <v>321</v>
      </c>
      <c r="Q351" s="260">
        <v>93727</v>
      </c>
      <c r="R351" s="261">
        <v>2.0911796092987061</v>
      </c>
      <c r="S351" s="261">
        <v>1.0029127597808838</v>
      </c>
      <c r="T351" s="262">
        <v>3.4248402118682861</v>
      </c>
    </row>
    <row r="352" spans="2:20">
      <c r="B352" s="249" t="s">
        <v>514</v>
      </c>
      <c r="C352" s="250" t="s">
        <v>122</v>
      </c>
      <c r="D352" s="250" t="s">
        <v>502</v>
      </c>
      <c r="E352" s="251">
        <v>1</v>
      </c>
      <c r="F352" s="251" t="s">
        <v>281</v>
      </c>
      <c r="G352" s="250">
        <v>1098</v>
      </c>
      <c r="H352" s="250">
        <v>414</v>
      </c>
      <c r="I352" s="250">
        <v>2093</v>
      </c>
      <c r="J352" s="252">
        <v>-1.2E-2</v>
      </c>
      <c r="K352" s="250">
        <v>988</v>
      </c>
      <c r="L352" s="250">
        <v>342</v>
      </c>
      <c r="M352" s="250">
        <v>1955</v>
      </c>
      <c r="N352" s="250">
        <v>110</v>
      </c>
      <c r="O352" s="250">
        <v>72</v>
      </c>
      <c r="P352" s="250">
        <v>138</v>
      </c>
      <c r="Q352" s="253">
        <v>131759</v>
      </c>
      <c r="R352" s="254">
        <v>0.83485758304595947</v>
      </c>
      <c r="S352" s="254">
        <v>0.54645222425460815</v>
      </c>
      <c r="T352" s="255">
        <v>1.047366738319397</v>
      </c>
    </row>
    <row r="353" spans="2:23">
      <c r="B353" s="249" t="s">
        <v>514</v>
      </c>
      <c r="C353" s="250" t="s">
        <v>122</v>
      </c>
      <c r="D353" s="250" t="s">
        <v>502</v>
      </c>
      <c r="E353" s="251">
        <v>2</v>
      </c>
      <c r="F353" s="251" t="s">
        <v>281</v>
      </c>
      <c r="G353" s="250">
        <v>1098</v>
      </c>
      <c r="H353" s="250">
        <v>414</v>
      </c>
      <c r="I353" s="250">
        <v>2093</v>
      </c>
      <c r="J353" s="252">
        <v>-1.2E-2</v>
      </c>
      <c r="K353" s="250">
        <v>982</v>
      </c>
      <c r="L353" s="250">
        <v>341</v>
      </c>
      <c r="M353" s="250">
        <v>1938</v>
      </c>
      <c r="N353" s="250">
        <v>116</v>
      </c>
      <c r="O353" s="250">
        <v>73</v>
      </c>
      <c r="P353" s="250">
        <v>155</v>
      </c>
      <c r="Q353" s="253">
        <v>273529</v>
      </c>
      <c r="R353" s="254">
        <v>0.42408666014671326</v>
      </c>
      <c r="S353" s="254">
        <v>0.26688212156295776</v>
      </c>
      <c r="T353" s="255">
        <v>0.56666755676269531</v>
      </c>
    </row>
    <row r="354" spans="2:23">
      <c r="B354" s="249" t="s">
        <v>514</v>
      </c>
      <c r="C354" s="250" t="s">
        <v>122</v>
      </c>
      <c r="D354" s="250" t="s">
        <v>502</v>
      </c>
      <c r="E354" s="251">
        <v>3</v>
      </c>
      <c r="F354" s="251" t="s">
        <v>281</v>
      </c>
      <c r="G354" s="250">
        <v>1098</v>
      </c>
      <c r="H354" s="250">
        <v>414</v>
      </c>
      <c r="I354" s="250">
        <v>2093</v>
      </c>
      <c r="J354" s="252">
        <v>-1.2E-2</v>
      </c>
      <c r="K354" s="250">
        <v>976</v>
      </c>
      <c r="L354" s="250">
        <v>339</v>
      </c>
      <c r="M354" s="250">
        <v>1922</v>
      </c>
      <c r="N354" s="250">
        <v>122</v>
      </c>
      <c r="O354" s="250">
        <v>75</v>
      </c>
      <c r="P354" s="250">
        <v>171</v>
      </c>
      <c r="Q354" s="253">
        <v>174910</v>
      </c>
      <c r="R354" s="254">
        <v>0.69750159978866577</v>
      </c>
      <c r="S354" s="254">
        <v>0.42879194021224976</v>
      </c>
      <c r="T354" s="255">
        <v>0.9776456356048584</v>
      </c>
    </row>
    <row r="355" spans="2:23">
      <c r="B355" s="249" t="s">
        <v>514</v>
      </c>
      <c r="C355" s="250" t="s">
        <v>122</v>
      </c>
      <c r="D355" s="250" t="s">
        <v>502</v>
      </c>
      <c r="E355" s="251">
        <v>4</v>
      </c>
      <c r="F355" s="251" t="s">
        <v>281</v>
      </c>
      <c r="G355" s="250">
        <v>1098</v>
      </c>
      <c r="H355" s="250">
        <v>414</v>
      </c>
      <c r="I355" s="250">
        <v>2093</v>
      </c>
      <c r="J355" s="252">
        <v>-1.2E-2</v>
      </c>
      <c r="K355" s="250">
        <v>967</v>
      </c>
      <c r="L355" s="250">
        <v>336</v>
      </c>
      <c r="M355" s="250">
        <v>1904</v>
      </c>
      <c r="N355" s="250">
        <v>131</v>
      </c>
      <c r="O355" s="250">
        <v>78</v>
      </c>
      <c r="P355" s="250">
        <v>189</v>
      </c>
      <c r="Q355" s="253">
        <v>174910</v>
      </c>
      <c r="R355" s="254">
        <v>0.74895662069320679</v>
      </c>
      <c r="S355" s="254">
        <v>0.44594362378120422</v>
      </c>
      <c r="T355" s="255">
        <v>1.0805556774139404</v>
      </c>
    </row>
    <row r="356" spans="2:23">
      <c r="B356" s="249" t="s">
        <v>514</v>
      </c>
      <c r="C356" s="250" t="s">
        <v>122</v>
      </c>
      <c r="D356" s="250" t="s">
        <v>502</v>
      </c>
      <c r="E356" s="251">
        <v>5</v>
      </c>
      <c r="F356" s="251" t="s">
        <v>281</v>
      </c>
      <c r="G356" s="250">
        <v>1098</v>
      </c>
      <c r="H356" s="250">
        <v>414</v>
      </c>
      <c r="I356" s="250">
        <v>2093</v>
      </c>
      <c r="J356" s="252">
        <v>-1.2E-2</v>
      </c>
      <c r="K356" s="250">
        <v>957</v>
      </c>
      <c r="L356" s="250">
        <v>333</v>
      </c>
      <c r="M356" s="250">
        <v>1881</v>
      </c>
      <c r="N356" s="250">
        <v>141</v>
      </c>
      <c r="O356" s="250">
        <v>81</v>
      </c>
      <c r="P356" s="250">
        <v>212</v>
      </c>
      <c r="Q356" s="253">
        <v>174910</v>
      </c>
      <c r="R356" s="254">
        <v>0.8061288595199585</v>
      </c>
      <c r="S356" s="254">
        <v>0.46309530735015869</v>
      </c>
      <c r="T356" s="255">
        <v>1.2120519876480103</v>
      </c>
    </row>
    <row r="357" spans="2:23">
      <c r="B357" s="249" t="s">
        <v>514</v>
      </c>
      <c r="C357" s="250" t="s">
        <v>122</v>
      </c>
      <c r="D357" s="250" t="s">
        <v>201</v>
      </c>
      <c r="E357" s="251">
        <v>6</v>
      </c>
      <c r="F357" s="251" t="s">
        <v>281</v>
      </c>
      <c r="G357" s="250">
        <v>1098</v>
      </c>
      <c r="H357" s="250">
        <v>414</v>
      </c>
      <c r="I357" s="250">
        <v>2093</v>
      </c>
      <c r="J357" s="252">
        <v>-3.0000000000000001E-3</v>
      </c>
      <c r="K357" s="250">
        <v>955</v>
      </c>
      <c r="L357" s="250">
        <v>333</v>
      </c>
      <c r="M357" s="250">
        <v>1877</v>
      </c>
      <c r="N357" s="250">
        <v>143</v>
      </c>
      <c r="O357" s="250">
        <v>81</v>
      </c>
      <c r="P357" s="250">
        <v>216</v>
      </c>
      <c r="Q357" s="253">
        <v>117911</v>
      </c>
      <c r="R357" s="254">
        <v>1.2127790451049805</v>
      </c>
      <c r="S357" s="254">
        <v>0.68695878982543945</v>
      </c>
      <c r="T357" s="255">
        <v>1.8318902254104614</v>
      </c>
    </row>
    <row r="358" spans="2:23">
      <c r="B358" s="249" t="s">
        <v>514</v>
      </c>
      <c r="C358" s="250" t="s">
        <v>122</v>
      </c>
      <c r="D358" s="250" t="s">
        <v>201</v>
      </c>
      <c r="E358" s="251">
        <v>7</v>
      </c>
      <c r="F358" s="251" t="s">
        <v>281</v>
      </c>
      <c r="G358" s="250">
        <v>1098</v>
      </c>
      <c r="H358" s="250">
        <v>414</v>
      </c>
      <c r="I358" s="250">
        <v>2093</v>
      </c>
      <c r="J358" s="252">
        <v>-3.0000000000000001E-3</v>
      </c>
      <c r="K358" s="250">
        <v>953</v>
      </c>
      <c r="L358" s="250">
        <v>332</v>
      </c>
      <c r="M358" s="250">
        <v>1873</v>
      </c>
      <c r="N358" s="250">
        <v>145</v>
      </c>
      <c r="O358" s="250">
        <v>82</v>
      </c>
      <c r="P358" s="250">
        <v>220</v>
      </c>
      <c r="Q358" s="253">
        <v>90500</v>
      </c>
      <c r="R358" s="254">
        <v>1.6022100448608398</v>
      </c>
      <c r="S358" s="254">
        <v>0.90607732534408569</v>
      </c>
      <c r="T358" s="255">
        <v>2.4309391975402832</v>
      </c>
    </row>
    <row r="359" spans="2:23">
      <c r="B359" s="249" t="s">
        <v>514</v>
      </c>
      <c r="C359" s="250" t="s">
        <v>122</v>
      </c>
      <c r="D359" s="250" t="s">
        <v>201</v>
      </c>
      <c r="E359" s="251">
        <v>8</v>
      </c>
      <c r="F359" s="251" t="s">
        <v>281</v>
      </c>
      <c r="G359" s="250">
        <v>1098</v>
      </c>
      <c r="H359" s="250">
        <v>414</v>
      </c>
      <c r="I359" s="250">
        <v>2093</v>
      </c>
      <c r="J359" s="252">
        <v>-3.0000000000000001E-3</v>
      </c>
      <c r="K359" s="250">
        <v>950</v>
      </c>
      <c r="L359" s="250">
        <v>331</v>
      </c>
      <c r="M359" s="250">
        <v>1864</v>
      </c>
      <c r="N359" s="250">
        <v>148</v>
      </c>
      <c r="O359" s="250">
        <v>83</v>
      </c>
      <c r="P359" s="250">
        <v>229</v>
      </c>
      <c r="Q359" s="253">
        <v>90500</v>
      </c>
      <c r="R359" s="254">
        <v>1.6353591680526733</v>
      </c>
      <c r="S359" s="254">
        <v>0.91712707281112671</v>
      </c>
      <c r="T359" s="255">
        <v>2.5303866863250732</v>
      </c>
    </row>
    <row r="360" spans="2:23">
      <c r="B360" s="249" t="s">
        <v>514</v>
      </c>
      <c r="C360" s="250" t="s">
        <v>122</v>
      </c>
      <c r="D360" s="250" t="s">
        <v>201</v>
      </c>
      <c r="E360" s="251">
        <v>9</v>
      </c>
      <c r="F360" s="251" t="s">
        <v>281</v>
      </c>
      <c r="G360" s="250">
        <v>1098</v>
      </c>
      <c r="H360" s="250">
        <v>414</v>
      </c>
      <c r="I360" s="250">
        <v>2093</v>
      </c>
      <c r="J360" s="252">
        <v>-3.0000000000000001E-3</v>
      </c>
      <c r="K360" s="250">
        <v>949</v>
      </c>
      <c r="L360" s="250">
        <v>330</v>
      </c>
      <c r="M360" s="250">
        <v>1859</v>
      </c>
      <c r="N360" s="250">
        <v>149</v>
      </c>
      <c r="O360" s="250">
        <v>84</v>
      </c>
      <c r="P360" s="250">
        <v>234</v>
      </c>
      <c r="Q360" s="253">
        <v>90500</v>
      </c>
      <c r="R360" s="254">
        <v>1.6464087963104248</v>
      </c>
      <c r="S360" s="254">
        <v>0.92817682027816772</v>
      </c>
      <c r="T360" s="255">
        <v>2.5856351852416992</v>
      </c>
    </row>
    <row r="361" spans="2:23">
      <c r="B361" s="249" t="s">
        <v>514</v>
      </c>
      <c r="C361" s="250" t="s">
        <v>122</v>
      </c>
      <c r="D361" s="250" t="s">
        <v>201</v>
      </c>
      <c r="E361" s="251">
        <v>10</v>
      </c>
      <c r="F361" s="251" t="s">
        <v>281</v>
      </c>
      <c r="G361" s="250">
        <v>1098</v>
      </c>
      <c r="H361" s="250">
        <v>414</v>
      </c>
      <c r="I361" s="250">
        <v>2093</v>
      </c>
      <c r="J361" s="252">
        <v>-3.0000000000000001E-3</v>
      </c>
      <c r="K361" s="250">
        <v>947</v>
      </c>
      <c r="L361" s="250">
        <v>330</v>
      </c>
      <c r="M361" s="250">
        <v>1848</v>
      </c>
      <c r="N361" s="250">
        <v>151</v>
      </c>
      <c r="O361" s="250">
        <v>84</v>
      </c>
      <c r="P361" s="250">
        <v>245</v>
      </c>
      <c r="Q361" s="253">
        <v>90500</v>
      </c>
      <c r="R361" s="254">
        <v>1.6685082912445068</v>
      </c>
      <c r="S361" s="254">
        <v>0.92817682027816772</v>
      </c>
      <c r="T361" s="255">
        <v>2.7071824073791504</v>
      </c>
    </row>
    <row r="362" spans="2:23">
      <c r="B362" s="249" t="s">
        <v>514</v>
      </c>
      <c r="C362" s="250" t="s">
        <v>122</v>
      </c>
      <c r="D362" s="250" t="s">
        <v>201</v>
      </c>
      <c r="E362" s="251">
        <v>11</v>
      </c>
      <c r="F362" s="251" t="s">
        <v>281</v>
      </c>
      <c r="G362" s="250">
        <v>1098</v>
      </c>
      <c r="H362" s="250">
        <v>414</v>
      </c>
      <c r="I362" s="250">
        <v>2093</v>
      </c>
      <c r="J362" s="252">
        <v>-3.0000000000000001E-3</v>
      </c>
      <c r="K362" s="250">
        <v>943</v>
      </c>
      <c r="L362" s="250">
        <v>330</v>
      </c>
      <c r="M362" s="250">
        <v>1845</v>
      </c>
      <c r="N362" s="250">
        <v>155</v>
      </c>
      <c r="O362" s="250">
        <v>84</v>
      </c>
      <c r="P362" s="250">
        <v>248</v>
      </c>
      <c r="Q362" s="253">
        <v>117911</v>
      </c>
      <c r="R362" s="254">
        <v>1.3145507574081421</v>
      </c>
      <c r="S362" s="254">
        <v>0.71240168809890747</v>
      </c>
      <c r="T362" s="255">
        <v>2.1032812595367432</v>
      </c>
    </row>
    <row r="363" spans="2:23">
      <c r="B363" s="249" t="s">
        <v>514</v>
      </c>
      <c r="C363" s="250" t="s">
        <v>122</v>
      </c>
      <c r="D363" s="250" t="s">
        <v>201</v>
      </c>
      <c r="E363" s="251">
        <v>12</v>
      </c>
      <c r="F363" s="251" t="s">
        <v>281</v>
      </c>
      <c r="G363" s="250">
        <v>1098</v>
      </c>
      <c r="H363" s="250">
        <v>414</v>
      </c>
      <c r="I363" s="250">
        <v>2093</v>
      </c>
      <c r="J363" s="252">
        <v>-3.0000000000000001E-3</v>
      </c>
      <c r="K363" s="250">
        <v>941</v>
      </c>
      <c r="L363" s="250">
        <v>329</v>
      </c>
      <c r="M363" s="250">
        <v>1840</v>
      </c>
      <c r="N363" s="250">
        <v>157</v>
      </c>
      <c r="O363" s="250">
        <v>85</v>
      </c>
      <c r="P363" s="250">
        <v>253</v>
      </c>
      <c r="Q363" s="253">
        <v>90500</v>
      </c>
      <c r="R363" s="254">
        <v>1.7348065376281738</v>
      </c>
      <c r="S363" s="254">
        <v>0.93922650814056396</v>
      </c>
      <c r="T363" s="255">
        <v>2.7955801486968994</v>
      </c>
    </row>
    <row r="364" spans="2:23">
      <c r="B364" s="249" t="s">
        <v>514</v>
      </c>
      <c r="C364" s="250" t="s">
        <v>122</v>
      </c>
      <c r="D364" s="250" t="s">
        <v>201</v>
      </c>
      <c r="E364" s="251">
        <v>13</v>
      </c>
      <c r="F364" s="251" t="s">
        <v>281</v>
      </c>
      <c r="G364" s="250">
        <v>1098</v>
      </c>
      <c r="H364" s="250">
        <v>414</v>
      </c>
      <c r="I364" s="250">
        <v>2093</v>
      </c>
      <c r="J364" s="252">
        <v>-3.0000000000000001E-3</v>
      </c>
      <c r="K364" s="250">
        <v>937</v>
      </c>
      <c r="L364" s="250">
        <v>328</v>
      </c>
      <c r="M364" s="250">
        <v>1839</v>
      </c>
      <c r="N364" s="250">
        <v>161</v>
      </c>
      <c r="O364" s="250">
        <v>86</v>
      </c>
      <c r="P364" s="250">
        <v>254</v>
      </c>
      <c r="Q364" s="253">
        <v>90500</v>
      </c>
      <c r="R364" s="254">
        <v>1.7790055274963379</v>
      </c>
      <c r="S364" s="254">
        <v>0.95027625560760498</v>
      </c>
      <c r="T364" s="255">
        <v>2.8066296577453613</v>
      </c>
    </row>
    <row r="365" spans="2:23">
      <c r="B365" s="249" t="s">
        <v>514</v>
      </c>
      <c r="C365" s="250" t="s">
        <v>122</v>
      </c>
      <c r="D365" s="250" t="s">
        <v>201</v>
      </c>
      <c r="E365" s="251">
        <v>14</v>
      </c>
      <c r="F365" s="251" t="s">
        <v>281</v>
      </c>
      <c r="G365" s="250">
        <v>1098</v>
      </c>
      <c r="H365" s="250">
        <v>414</v>
      </c>
      <c r="I365" s="250">
        <v>2093</v>
      </c>
      <c r="J365" s="252">
        <v>-3.0000000000000001E-3</v>
      </c>
      <c r="K365" s="250">
        <v>933</v>
      </c>
      <c r="L365" s="250">
        <v>328</v>
      </c>
      <c r="M365" s="250">
        <v>1831</v>
      </c>
      <c r="N365" s="250">
        <v>165</v>
      </c>
      <c r="O365" s="250">
        <v>86</v>
      </c>
      <c r="P365" s="250">
        <v>262</v>
      </c>
      <c r="Q365" s="253">
        <v>90500</v>
      </c>
      <c r="R365" s="254">
        <v>1.8232043981552124</v>
      </c>
      <c r="S365" s="254">
        <v>0.95027625560760498</v>
      </c>
      <c r="T365" s="255">
        <v>2.8950276374816895</v>
      </c>
    </row>
    <row r="366" spans="2:23">
      <c r="B366" s="249" t="s">
        <v>514</v>
      </c>
      <c r="C366" s="250" t="s">
        <v>122</v>
      </c>
      <c r="D366" s="250" t="s">
        <v>201</v>
      </c>
      <c r="E366" s="251">
        <v>15</v>
      </c>
      <c r="F366" s="251" t="s">
        <v>281</v>
      </c>
      <c r="G366" s="250">
        <v>1098</v>
      </c>
      <c r="H366" s="250">
        <v>414</v>
      </c>
      <c r="I366" s="250">
        <v>2093</v>
      </c>
      <c r="J366" s="252">
        <v>-3.0000000000000001E-3</v>
      </c>
      <c r="K366" s="250">
        <v>931</v>
      </c>
      <c r="L366" s="250">
        <v>327</v>
      </c>
      <c r="M366" s="250">
        <v>1828</v>
      </c>
      <c r="N366" s="250">
        <v>167</v>
      </c>
      <c r="O366" s="250">
        <v>87</v>
      </c>
      <c r="P366" s="250">
        <v>265</v>
      </c>
      <c r="Q366" s="253">
        <v>90500</v>
      </c>
      <c r="R366" s="254">
        <v>1.8453038930892944</v>
      </c>
      <c r="S366" s="254">
        <v>0.96132594347000122</v>
      </c>
      <c r="T366" s="255">
        <v>2.9281768798828125</v>
      </c>
    </row>
    <row r="367" spans="2:23">
      <c r="B367" s="240"/>
      <c r="C367" s="240"/>
      <c r="D367" s="240"/>
      <c r="E367" s="241"/>
      <c r="F367" s="241"/>
      <c r="G367" s="240"/>
      <c r="H367" s="240"/>
      <c r="I367" s="240"/>
      <c r="J367" s="240"/>
      <c r="K367" s="240"/>
      <c r="L367" s="240"/>
      <c r="M367" s="242"/>
      <c r="N367" s="240"/>
      <c r="O367" s="240"/>
      <c r="P367" s="240"/>
      <c r="Q367" s="240"/>
      <c r="R367" s="240"/>
      <c r="S367" s="240"/>
      <c r="T367" s="243"/>
      <c r="U367" s="244"/>
      <c r="V367" s="244"/>
      <c r="W367" s="244"/>
    </row>
    <row r="368" spans="2:23">
      <c r="B368" s="240"/>
      <c r="C368" s="240"/>
      <c r="D368" s="240"/>
      <c r="E368" s="241"/>
      <c r="F368" s="241"/>
      <c r="G368" s="240"/>
      <c r="H368" s="240"/>
      <c r="I368" s="240"/>
      <c r="J368" s="240"/>
      <c r="K368" s="240"/>
      <c r="L368" s="240"/>
      <c r="M368" s="242"/>
      <c r="N368" s="240"/>
      <c r="O368" s="240"/>
      <c r="P368" s="240"/>
      <c r="Q368" s="240"/>
      <c r="R368" s="240"/>
      <c r="S368" s="240"/>
      <c r="T368" s="243"/>
      <c r="U368" s="244"/>
      <c r="V368" s="244"/>
      <c r="W368" s="244"/>
    </row>
    <row r="369" spans="2:23" ht="19.5">
      <c r="B369" s="273" t="s">
        <v>625</v>
      </c>
      <c r="C369" s="240"/>
      <c r="D369" s="240"/>
      <c r="E369" s="241"/>
      <c r="F369" s="241"/>
      <c r="G369" s="240"/>
      <c r="H369" s="240"/>
      <c r="I369" s="240"/>
      <c r="J369" s="240"/>
      <c r="K369" s="240"/>
      <c r="L369" s="240"/>
      <c r="M369" s="242"/>
      <c r="N369" s="240"/>
      <c r="O369" s="240"/>
      <c r="P369" s="240"/>
      <c r="Q369" s="240"/>
      <c r="R369" s="240"/>
      <c r="S369" s="240"/>
      <c r="T369" s="243"/>
      <c r="U369" s="244"/>
      <c r="V369" s="244"/>
      <c r="W369" s="244"/>
    </row>
    <row r="370" spans="2:23" ht="19.5">
      <c r="B370" s="273"/>
      <c r="C370" s="240"/>
      <c r="D370" s="240"/>
      <c r="E370" s="241"/>
      <c r="F370" s="241"/>
      <c r="G370" s="240"/>
      <c r="H370" s="240"/>
      <c r="I370" s="240"/>
      <c r="J370" s="240"/>
      <c r="K370" s="240"/>
      <c r="L370" s="240"/>
      <c r="M370" s="242"/>
      <c r="N370" s="240"/>
      <c r="O370" s="240"/>
      <c r="P370" s="240"/>
      <c r="Q370" s="240"/>
      <c r="R370" s="240"/>
      <c r="S370" s="240"/>
      <c r="T370" s="243"/>
      <c r="U370" s="244"/>
      <c r="V370" s="244"/>
      <c r="W370" s="244"/>
    </row>
    <row r="371" spans="2:23" ht="19.5">
      <c r="B371" s="273"/>
      <c r="C371" s="240"/>
      <c r="D371" s="240"/>
      <c r="E371" s="241"/>
      <c r="F371" s="241"/>
      <c r="G371" s="240"/>
      <c r="H371" s="240"/>
      <c r="I371" s="240"/>
      <c r="J371" s="240"/>
      <c r="K371" s="240"/>
      <c r="L371" s="240"/>
      <c r="M371" s="242"/>
      <c r="N371" s="240"/>
      <c r="O371" s="240"/>
      <c r="P371" s="240"/>
      <c r="Q371" s="240"/>
      <c r="R371" s="240"/>
      <c r="S371" s="240"/>
      <c r="T371" s="243"/>
      <c r="U371" s="244"/>
      <c r="V371" s="244"/>
      <c r="W371" s="244"/>
    </row>
    <row r="372" spans="2:23" ht="19.5">
      <c r="B372" s="273"/>
      <c r="C372" s="240"/>
      <c r="D372" s="240"/>
      <c r="E372" s="241"/>
      <c r="F372" s="241"/>
      <c r="G372" s="240"/>
      <c r="H372" s="240"/>
      <c r="I372" s="240"/>
      <c r="J372" s="240"/>
      <c r="K372" s="240"/>
      <c r="L372" s="240"/>
      <c r="M372" s="242"/>
      <c r="N372" s="240"/>
      <c r="O372" s="240"/>
      <c r="P372" s="240"/>
      <c r="Q372" s="240"/>
      <c r="R372" s="240"/>
      <c r="S372" s="240"/>
      <c r="T372" s="243"/>
      <c r="U372" s="244"/>
      <c r="V372" s="244"/>
      <c r="W372" s="244"/>
    </row>
    <row r="373" spans="2:23" ht="19.5">
      <c r="B373" s="273"/>
      <c r="C373" s="240"/>
      <c r="D373" s="240"/>
      <c r="E373" s="241"/>
      <c r="F373" s="241"/>
      <c r="G373" s="240"/>
      <c r="H373" s="240"/>
      <c r="I373" s="240"/>
      <c r="J373" s="240"/>
      <c r="K373" s="240"/>
      <c r="L373" s="240"/>
      <c r="M373" s="242"/>
      <c r="N373" s="240"/>
      <c r="O373" s="240"/>
      <c r="P373" s="240"/>
      <c r="Q373" s="240"/>
      <c r="R373" s="240"/>
      <c r="S373" s="240"/>
      <c r="T373" s="243"/>
      <c r="U373" s="244"/>
      <c r="V373" s="244"/>
      <c r="W373" s="244"/>
    </row>
    <row r="374" spans="2:23" ht="19.5">
      <c r="B374" s="273"/>
      <c r="C374" s="240"/>
      <c r="D374" s="240"/>
      <c r="E374" s="241"/>
      <c r="F374" s="241"/>
      <c r="G374" s="240"/>
      <c r="H374" s="240"/>
      <c r="I374" s="240"/>
      <c r="J374" s="240"/>
      <c r="K374" s="240"/>
      <c r="L374" s="240"/>
      <c r="M374" s="242"/>
      <c r="N374" s="240"/>
      <c r="O374" s="240"/>
      <c r="P374" s="240"/>
      <c r="Q374" s="240"/>
      <c r="R374" s="240"/>
      <c r="S374" s="240"/>
      <c r="T374" s="243"/>
      <c r="U374" s="244"/>
      <c r="V374" s="244"/>
      <c r="W374" s="244"/>
    </row>
    <row r="375" spans="2:23">
      <c r="B375" s="240"/>
      <c r="C375" s="240"/>
      <c r="D375" s="240"/>
      <c r="E375" s="241"/>
      <c r="F375" s="241"/>
      <c r="G375" s="240"/>
      <c r="H375" s="240"/>
      <c r="I375" s="240"/>
      <c r="J375" s="240"/>
      <c r="K375" s="240"/>
      <c r="L375" s="240"/>
      <c r="M375" s="242"/>
      <c r="N375" s="240"/>
      <c r="O375" s="240"/>
      <c r="P375" s="240"/>
      <c r="Q375" s="240"/>
      <c r="R375" s="240"/>
      <c r="S375" s="240"/>
      <c r="T375" s="243"/>
      <c r="U375" s="244"/>
      <c r="V375" s="244"/>
      <c r="W375" s="244"/>
    </row>
    <row r="376" spans="2:23" ht="72" customHeight="1">
      <c r="B376" s="266" t="s">
        <v>499</v>
      </c>
      <c r="C376" s="266" t="s">
        <v>120</v>
      </c>
      <c r="D376" s="266" t="s">
        <v>500</v>
      </c>
      <c r="E376" s="266" t="s">
        <v>198</v>
      </c>
      <c r="F376" s="267" t="s">
        <v>280</v>
      </c>
      <c r="G376" s="267" t="s">
        <v>503</v>
      </c>
      <c r="H376" s="267" t="s">
        <v>504</v>
      </c>
      <c r="I376" s="267" t="s">
        <v>505</v>
      </c>
      <c r="J376" s="268" t="s">
        <v>506</v>
      </c>
      <c r="K376" s="267" t="s">
        <v>507</v>
      </c>
      <c r="L376" s="267" t="s">
        <v>508</v>
      </c>
      <c r="M376" s="267" t="s">
        <v>509</v>
      </c>
      <c r="N376" s="267" t="s">
        <v>510</v>
      </c>
      <c r="O376" s="267" t="s">
        <v>511</v>
      </c>
      <c r="P376" s="267" t="s">
        <v>512</v>
      </c>
      <c r="Q376" s="269" t="s">
        <v>364</v>
      </c>
      <c r="R376" s="270" t="s">
        <v>365</v>
      </c>
      <c r="S376" s="270" t="s">
        <v>517</v>
      </c>
      <c r="T376" s="270" t="s">
        <v>518</v>
      </c>
    </row>
    <row r="377" spans="2:23">
      <c r="B377" s="240" t="s">
        <v>501</v>
      </c>
      <c r="C377" s="240" t="s">
        <v>242</v>
      </c>
      <c r="D377" s="240" t="s">
        <v>502</v>
      </c>
      <c r="E377" s="272" t="s">
        <v>522</v>
      </c>
      <c r="F377" s="241" t="s">
        <v>281</v>
      </c>
      <c r="G377" s="240">
        <v>34630</v>
      </c>
      <c r="H377" s="240">
        <v>18690</v>
      </c>
      <c r="I377" s="240">
        <v>57090</v>
      </c>
      <c r="J377" s="271">
        <v>-0.33</v>
      </c>
      <c r="K377" s="2">
        <v>27089</v>
      </c>
      <c r="L377" s="240">
        <v>14391</v>
      </c>
      <c r="M377" s="240">
        <v>45140</v>
      </c>
      <c r="N377" s="240">
        <v>7541</v>
      </c>
      <c r="O377" s="240">
        <v>4299</v>
      </c>
      <c r="P377" s="240">
        <v>11950</v>
      </c>
      <c r="Q377" s="243">
        <v>4748445</v>
      </c>
      <c r="R377" s="244">
        <v>1.5880988836288452</v>
      </c>
      <c r="S377" s="244">
        <v>0.9053490161895752</v>
      </c>
      <c r="T377" s="244">
        <v>2.516613245010376</v>
      </c>
    </row>
    <row r="378" spans="2:23">
      <c r="B378" s="240" t="s">
        <v>501</v>
      </c>
      <c r="C378" s="240" t="s">
        <v>242</v>
      </c>
      <c r="D378" s="240" t="s">
        <v>201</v>
      </c>
      <c r="E378" s="240" t="s">
        <v>524</v>
      </c>
      <c r="F378" s="241" t="s">
        <v>281</v>
      </c>
      <c r="G378" s="240">
        <v>69260</v>
      </c>
      <c r="H378" s="240">
        <v>37380</v>
      </c>
      <c r="I378" s="240">
        <v>114180</v>
      </c>
      <c r="J378" s="271">
        <v>-0.12399999999999997</v>
      </c>
      <c r="K378" s="2">
        <v>43799</v>
      </c>
      <c r="L378" s="240">
        <v>23264</v>
      </c>
      <c r="M378" s="240">
        <v>73021</v>
      </c>
      <c r="N378" s="240">
        <v>25461</v>
      </c>
      <c r="O378" s="240">
        <v>14116</v>
      </c>
      <c r="P378" s="240">
        <v>41159</v>
      </c>
      <c r="Q378" s="243">
        <v>5273703</v>
      </c>
      <c r="R378" s="244">
        <v>4.8279170989990234</v>
      </c>
      <c r="S378" s="244">
        <v>2.6766769886016846</v>
      </c>
      <c r="T378" s="244">
        <v>7.8045730590820313</v>
      </c>
    </row>
    <row r="379" spans="2:23">
      <c r="B379" s="240" t="s">
        <v>501</v>
      </c>
      <c r="C379" s="240" t="s">
        <v>242</v>
      </c>
      <c r="D379" s="240" t="s">
        <v>520</v>
      </c>
      <c r="E379" s="240" t="s">
        <v>523</v>
      </c>
      <c r="F379" s="241" t="s">
        <v>281</v>
      </c>
      <c r="G379" s="240">
        <v>103890</v>
      </c>
      <c r="H379" s="240">
        <v>56070</v>
      </c>
      <c r="I379" s="240">
        <v>171270</v>
      </c>
      <c r="J379" s="271">
        <v>-0.45400000000000024</v>
      </c>
      <c r="K379" s="2">
        <v>70888</v>
      </c>
      <c r="L379" s="240">
        <v>37655</v>
      </c>
      <c r="M379" s="240">
        <v>118161</v>
      </c>
      <c r="N379" s="240">
        <v>33002</v>
      </c>
      <c r="O379" s="240">
        <v>18415</v>
      </c>
      <c r="P379" s="240">
        <v>53109</v>
      </c>
      <c r="Q379" s="243">
        <v>10022148</v>
      </c>
      <c r="R379" s="244">
        <v>3.2929067611694336</v>
      </c>
      <c r="S379" s="244">
        <v>1.837430477142334</v>
      </c>
      <c r="T379" s="244">
        <v>5.2991633415222168</v>
      </c>
    </row>
    <row r="380" spans="2:23">
      <c r="B380" s="240" t="s">
        <v>501</v>
      </c>
      <c r="C380" s="240" t="s">
        <v>282</v>
      </c>
      <c r="D380" s="240" t="s">
        <v>502</v>
      </c>
      <c r="E380" s="272" t="s">
        <v>522</v>
      </c>
      <c r="F380" s="241" t="s">
        <v>281</v>
      </c>
      <c r="G380" s="240">
        <v>34630</v>
      </c>
      <c r="H380" s="240">
        <v>18690</v>
      </c>
      <c r="I380" s="240">
        <v>57090</v>
      </c>
      <c r="J380" s="271">
        <v>-0.182</v>
      </c>
      <c r="K380" s="2">
        <v>29638</v>
      </c>
      <c r="L380" s="240">
        <v>15715</v>
      </c>
      <c r="M380" s="240">
        <v>49372</v>
      </c>
      <c r="N380" s="240">
        <v>4992</v>
      </c>
      <c r="O380" s="240">
        <v>2975</v>
      </c>
      <c r="P380" s="240">
        <v>7718</v>
      </c>
      <c r="Q380" s="243">
        <v>1076644</v>
      </c>
      <c r="R380" s="244">
        <v>4.6366300582885742</v>
      </c>
      <c r="S380" s="244">
        <v>2.7632160186767578</v>
      </c>
      <c r="T380" s="244">
        <v>7.168571949005127</v>
      </c>
    </row>
    <row r="381" spans="2:23">
      <c r="B381" s="240" t="s">
        <v>501</v>
      </c>
      <c r="C381" s="240" t="s">
        <v>282</v>
      </c>
      <c r="D381" s="240" t="s">
        <v>201</v>
      </c>
      <c r="E381" s="240" t="s">
        <v>524</v>
      </c>
      <c r="F381" s="241" t="s">
        <v>281</v>
      </c>
      <c r="G381" s="240">
        <v>69260</v>
      </c>
      <c r="H381" s="240">
        <v>37380</v>
      </c>
      <c r="I381" s="240">
        <v>114180</v>
      </c>
      <c r="J381" s="271">
        <v>-9.0999999999999984E-2</v>
      </c>
      <c r="K381" s="2">
        <v>52397</v>
      </c>
      <c r="L381" s="240">
        <v>27807</v>
      </c>
      <c r="M381" s="240">
        <v>87242</v>
      </c>
      <c r="N381" s="240">
        <v>16863</v>
      </c>
      <c r="O381" s="240">
        <v>9573</v>
      </c>
      <c r="P381" s="240">
        <v>26938</v>
      </c>
      <c r="Q381" s="243">
        <v>1521688</v>
      </c>
      <c r="R381" s="244">
        <v>11.081772804260254</v>
      </c>
      <c r="S381" s="244">
        <v>6.2910399436950684</v>
      </c>
      <c r="T381" s="244">
        <v>17.702709197998047</v>
      </c>
    </row>
    <row r="382" spans="2:23">
      <c r="B382" s="240" t="s">
        <v>501</v>
      </c>
      <c r="C382" s="240" t="s">
        <v>282</v>
      </c>
      <c r="D382" s="240" t="s">
        <v>520</v>
      </c>
      <c r="E382" s="240" t="s">
        <v>523</v>
      </c>
      <c r="F382" s="241" t="s">
        <v>281</v>
      </c>
      <c r="G382" s="240">
        <v>103890</v>
      </c>
      <c r="H382" s="240">
        <v>56070</v>
      </c>
      <c r="I382" s="240">
        <v>171270</v>
      </c>
      <c r="J382" s="271">
        <v>-0.27299999999999996</v>
      </c>
      <c r="K382" s="2">
        <v>82035</v>
      </c>
      <c r="L382" s="240">
        <v>43522</v>
      </c>
      <c r="M382" s="240">
        <v>136614</v>
      </c>
      <c r="N382" s="240">
        <v>21855</v>
      </c>
      <c r="O382" s="240">
        <v>12548</v>
      </c>
      <c r="P382" s="240">
        <v>34656</v>
      </c>
      <c r="Q382" s="243">
        <v>2598332</v>
      </c>
      <c r="R382" s="244">
        <v>8.4111652374267578</v>
      </c>
      <c r="S382" s="244">
        <v>4.829251766204834</v>
      </c>
      <c r="T382" s="244">
        <v>13.337787628173828</v>
      </c>
    </row>
    <row r="383" spans="2:23">
      <c r="B383" s="240" t="s">
        <v>501</v>
      </c>
      <c r="C383" s="240" t="s">
        <v>77</v>
      </c>
      <c r="D383" s="240" t="s">
        <v>502</v>
      </c>
      <c r="E383" s="272" t="s">
        <v>522</v>
      </c>
      <c r="F383" s="241" t="s">
        <v>281</v>
      </c>
      <c r="G383" s="240">
        <v>34630</v>
      </c>
      <c r="H383" s="240">
        <v>18690</v>
      </c>
      <c r="I383" s="240">
        <v>57090</v>
      </c>
      <c r="J383" s="271">
        <v>-5.4000000000000006E-2</v>
      </c>
      <c r="K383" s="2">
        <v>31827</v>
      </c>
      <c r="L383" s="240">
        <v>16858</v>
      </c>
      <c r="M383" s="240">
        <v>53176</v>
      </c>
      <c r="N383" s="240">
        <v>2803</v>
      </c>
      <c r="O383" s="240">
        <v>1832</v>
      </c>
      <c r="P383" s="240">
        <v>3914</v>
      </c>
      <c r="Q383" s="243">
        <v>1821516</v>
      </c>
      <c r="R383" s="244">
        <v>1.5388281345367432</v>
      </c>
      <c r="S383" s="244">
        <v>1.0057556629180908</v>
      </c>
      <c r="T383" s="244">
        <v>2.1487596035003662</v>
      </c>
    </row>
    <row r="384" spans="2:23">
      <c r="B384" s="240" t="s">
        <v>501</v>
      </c>
      <c r="C384" s="240" t="s">
        <v>77</v>
      </c>
      <c r="D384" s="240" t="s">
        <v>201</v>
      </c>
      <c r="E384" s="240" t="s">
        <v>524</v>
      </c>
      <c r="F384" s="241" t="s">
        <v>281</v>
      </c>
      <c r="G384" s="240">
        <v>69260</v>
      </c>
      <c r="H384" s="240">
        <v>37380</v>
      </c>
      <c r="I384" s="240">
        <v>114180</v>
      </c>
      <c r="J384" s="271">
        <v>-8.0000000000000019E-3</v>
      </c>
      <c r="K384" s="2">
        <v>62279</v>
      </c>
      <c r="L384" s="240">
        <v>32982</v>
      </c>
      <c r="M384" s="240">
        <v>103944</v>
      </c>
      <c r="N384" s="240">
        <v>6981</v>
      </c>
      <c r="O384" s="240">
        <v>4398</v>
      </c>
      <c r="P384" s="240">
        <v>10236</v>
      </c>
      <c r="Q384" s="243">
        <v>1794453</v>
      </c>
      <c r="R384" s="244">
        <v>3.8903219699859619</v>
      </c>
      <c r="S384" s="244">
        <v>2.4508862495422363</v>
      </c>
      <c r="T384" s="244">
        <v>5.7042450904846191</v>
      </c>
    </row>
    <row r="385" spans="2:20">
      <c r="B385" s="240" t="s">
        <v>501</v>
      </c>
      <c r="C385" s="240" t="s">
        <v>77</v>
      </c>
      <c r="D385" s="240" t="s">
        <v>520</v>
      </c>
      <c r="E385" s="240" t="s">
        <v>523</v>
      </c>
      <c r="F385" s="241" t="s">
        <v>281</v>
      </c>
      <c r="G385" s="240">
        <v>103890</v>
      </c>
      <c r="H385" s="240">
        <v>56070</v>
      </c>
      <c r="I385" s="240">
        <v>171270</v>
      </c>
      <c r="J385" s="271">
        <v>-6.2000000000000027E-2</v>
      </c>
      <c r="K385" s="2">
        <v>94106</v>
      </c>
      <c r="L385" s="240">
        <v>49840</v>
      </c>
      <c r="M385" s="240">
        <v>157120</v>
      </c>
      <c r="N385" s="240">
        <v>9784</v>
      </c>
      <c r="O385" s="240">
        <v>6230</v>
      </c>
      <c r="P385" s="240">
        <v>14150</v>
      </c>
      <c r="Q385" s="243">
        <v>3615969</v>
      </c>
      <c r="R385" s="244">
        <v>2.7057754993438721</v>
      </c>
      <c r="S385" s="244">
        <v>1.7229130268096924</v>
      </c>
      <c r="T385" s="244">
        <v>3.9131972789764404</v>
      </c>
    </row>
    <row r="386" spans="2:20">
      <c r="B386" s="240" t="s">
        <v>501</v>
      </c>
      <c r="C386" s="240" t="s">
        <v>121</v>
      </c>
      <c r="D386" s="240" t="s">
        <v>502</v>
      </c>
      <c r="E386" s="272" t="s">
        <v>522</v>
      </c>
      <c r="F386" s="241" t="s">
        <v>281</v>
      </c>
      <c r="G386" s="240">
        <v>34630</v>
      </c>
      <c r="H386" s="240">
        <v>18690</v>
      </c>
      <c r="I386" s="240">
        <v>57090</v>
      </c>
      <c r="J386" s="271">
        <v>-0.1</v>
      </c>
      <c r="K386" s="2">
        <v>31080</v>
      </c>
      <c r="L386" s="240">
        <v>16473</v>
      </c>
      <c r="M386" s="240">
        <v>51848</v>
      </c>
      <c r="N386" s="240">
        <v>3550</v>
      </c>
      <c r="O386" s="240">
        <v>2217</v>
      </c>
      <c r="P386" s="240">
        <v>5242</v>
      </c>
      <c r="Q386" s="243">
        <v>920267</v>
      </c>
      <c r="R386" s="244">
        <v>3.8575761318206787</v>
      </c>
      <c r="S386" s="244">
        <v>2.409083366394043</v>
      </c>
      <c r="T386" s="244">
        <v>5.6961731910705566</v>
      </c>
    </row>
    <row r="387" spans="2:20">
      <c r="B387" s="240" t="s">
        <v>501</v>
      </c>
      <c r="C387" s="240" t="s">
        <v>121</v>
      </c>
      <c r="D387" s="240" t="s">
        <v>201</v>
      </c>
      <c r="E387" s="240" t="s">
        <v>524</v>
      </c>
      <c r="F387" s="241" t="s">
        <v>281</v>
      </c>
      <c r="G387" s="240">
        <v>69260</v>
      </c>
      <c r="H387" s="240">
        <v>37380</v>
      </c>
      <c r="I387" s="240">
        <v>114180</v>
      </c>
      <c r="J387" s="271">
        <v>-2.0000000000000004E-2</v>
      </c>
      <c r="K387" s="2">
        <v>59241</v>
      </c>
      <c r="L387" s="240">
        <v>31482</v>
      </c>
      <c r="M387" s="240">
        <v>98712</v>
      </c>
      <c r="N387" s="240">
        <v>10019</v>
      </c>
      <c r="O387" s="240">
        <v>5898</v>
      </c>
      <c r="P387" s="240">
        <v>15468</v>
      </c>
      <c r="Q387" s="243">
        <v>997748</v>
      </c>
      <c r="R387" s="244">
        <v>10.041613578796387</v>
      </c>
      <c r="S387" s="244">
        <v>5.9113121032714844</v>
      </c>
      <c r="T387" s="244">
        <v>15.502912521362305</v>
      </c>
    </row>
    <row r="388" spans="2:20">
      <c r="B388" s="240" t="s">
        <v>501</v>
      </c>
      <c r="C388" s="240" t="s">
        <v>121</v>
      </c>
      <c r="D388" s="240" t="s">
        <v>520</v>
      </c>
      <c r="E388" s="240" t="s">
        <v>523</v>
      </c>
      <c r="F388" s="241" t="s">
        <v>281</v>
      </c>
      <c r="G388" s="240">
        <v>103890</v>
      </c>
      <c r="H388" s="240">
        <v>56070</v>
      </c>
      <c r="I388" s="240">
        <v>171270</v>
      </c>
      <c r="J388" s="271">
        <v>-0.12000000000000002</v>
      </c>
      <c r="K388" s="2">
        <v>90321</v>
      </c>
      <c r="L388" s="240">
        <v>47955</v>
      </c>
      <c r="M388" s="240">
        <v>150560</v>
      </c>
      <c r="N388" s="240">
        <v>13569</v>
      </c>
      <c r="O388" s="240">
        <v>8115</v>
      </c>
      <c r="P388" s="240">
        <v>20710</v>
      </c>
      <c r="Q388" s="243">
        <v>1918015</v>
      </c>
      <c r="R388" s="244">
        <v>7.0745015144348145</v>
      </c>
      <c r="S388" s="244">
        <v>4.2309365272521973</v>
      </c>
      <c r="T388" s="244">
        <v>10.797621726989746</v>
      </c>
    </row>
    <row r="389" spans="2:20">
      <c r="B389" s="240" t="s">
        <v>501</v>
      </c>
      <c r="C389" s="240" t="s">
        <v>122</v>
      </c>
      <c r="D389" s="240" t="s">
        <v>502</v>
      </c>
      <c r="E389" s="272" t="s">
        <v>522</v>
      </c>
      <c r="F389" s="241" t="s">
        <v>281</v>
      </c>
      <c r="G389" s="240">
        <v>34630</v>
      </c>
      <c r="H389" s="240">
        <v>18690</v>
      </c>
      <c r="I389" s="240">
        <v>57090</v>
      </c>
      <c r="J389" s="271">
        <v>-0.06</v>
      </c>
      <c r="K389" s="2">
        <v>31745</v>
      </c>
      <c r="L389" s="240">
        <v>16806</v>
      </c>
      <c r="M389" s="240">
        <v>53018</v>
      </c>
      <c r="N389" s="240">
        <v>2885</v>
      </c>
      <c r="O389" s="240">
        <v>1884</v>
      </c>
      <c r="P389" s="240">
        <v>4072</v>
      </c>
      <c r="Q389" s="243">
        <v>930018</v>
      </c>
      <c r="R389" s="244">
        <v>3.10209059715271</v>
      </c>
      <c r="S389" s="244">
        <v>2.0257673263549805</v>
      </c>
      <c r="T389" s="244">
        <v>4.3784098625183105</v>
      </c>
    </row>
    <row r="390" spans="2:20">
      <c r="B390" s="240" t="s">
        <v>501</v>
      </c>
      <c r="C390" s="240" t="s">
        <v>122</v>
      </c>
      <c r="D390" s="240" t="s">
        <v>201</v>
      </c>
      <c r="E390" s="240" t="s">
        <v>524</v>
      </c>
      <c r="F390" s="241" t="s">
        <v>281</v>
      </c>
      <c r="G390" s="240">
        <v>69260</v>
      </c>
      <c r="H390" s="240">
        <v>37380</v>
      </c>
      <c r="I390" s="240">
        <v>114180</v>
      </c>
      <c r="J390" s="271">
        <v>-2.9999999999999995E-2</v>
      </c>
      <c r="K390" s="2">
        <v>61298</v>
      </c>
      <c r="L390" s="240">
        <v>32471</v>
      </c>
      <c r="M390" s="240">
        <v>102110</v>
      </c>
      <c r="N390" s="240">
        <v>7962</v>
      </c>
      <c r="O390" s="240">
        <v>4909</v>
      </c>
      <c r="P390" s="240">
        <v>12070</v>
      </c>
      <c r="Q390" s="243">
        <v>959822</v>
      </c>
      <c r="R390" s="244">
        <v>8.2952880859375</v>
      </c>
      <c r="S390" s="244">
        <v>5.1144900321960449</v>
      </c>
      <c r="T390" s="244">
        <v>12.575248718261719</v>
      </c>
    </row>
    <row r="391" spans="2:20">
      <c r="B391" s="240" t="s">
        <v>501</v>
      </c>
      <c r="C391" s="240" t="s">
        <v>122</v>
      </c>
      <c r="D391" s="240" t="s">
        <v>520</v>
      </c>
      <c r="E391" s="240" t="s">
        <v>523</v>
      </c>
      <c r="F391" s="241" t="s">
        <v>281</v>
      </c>
      <c r="G391" s="240">
        <v>103890</v>
      </c>
      <c r="H391" s="240">
        <v>56070</v>
      </c>
      <c r="I391" s="240">
        <v>171270</v>
      </c>
      <c r="J391" s="271">
        <v>-9.0000000000000024E-2</v>
      </c>
      <c r="K391" s="2">
        <v>93043</v>
      </c>
      <c r="L391" s="240">
        <v>49277</v>
      </c>
      <c r="M391" s="240">
        <v>155128</v>
      </c>
      <c r="N391" s="240">
        <v>10847</v>
      </c>
      <c r="O391" s="240">
        <v>6793</v>
      </c>
      <c r="P391" s="240">
        <v>16142</v>
      </c>
      <c r="Q391" s="243">
        <v>1889840</v>
      </c>
      <c r="R391" s="244">
        <v>5.7396392822265625</v>
      </c>
      <c r="S391" s="244">
        <v>3.5944840908050537</v>
      </c>
      <c r="T391" s="244">
        <v>8.5414638519287109</v>
      </c>
    </row>
    <row r="392" spans="2:20">
      <c r="B392" s="240" t="s">
        <v>513</v>
      </c>
      <c r="C392" s="240" t="s">
        <v>242</v>
      </c>
      <c r="D392" s="240" t="s">
        <v>502</v>
      </c>
      <c r="E392" s="272" t="s">
        <v>522</v>
      </c>
      <c r="F392" s="241" t="s">
        <v>281</v>
      </c>
      <c r="G392" s="240">
        <v>29140</v>
      </c>
      <c r="H392" s="240">
        <v>16620</v>
      </c>
      <c r="I392" s="240">
        <v>46625</v>
      </c>
      <c r="J392" s="271">
        <v>-0.33</v>
      </c>
      <c r="K392" s="2">
        <v>22922</v>
      </c>
      <c r="L392" s="240">
        <v>12916</v>
      </c>
      <c r="M392" s="240">
        <v>36955</v>
      </c>
      <c r="N392" s="240">
        <v>6218</v>
      </c>
      <c r="O392" s="240">
        <v>3704</v>
      </c>
      <c r="P392" s="240">
        <v>9670</v>
      </c>
      <c r="Q392" s="243">
        <v>4748445</v>
      </c>
      <c r="R392" s="244">
        <v>1.3094812631607056</v>
      </c>
      <c r="S392" s="244">
        <v>0.78004485368728638</v>
      </c>
      <c r="T392" s="244">
        <v>2.0364561080932617</v>
      </c>
    </row>
    <row r="393" spans="2:20">
      <c r="B393" s="240" t="s">
        <v>513</v>
      </c>
      <c r="C393" s="240" t="s">
        <v>242</v>
      </c>
      <c r="D393" s="240" t="s">
        <v>201</v>
      </c>
      <c r="E393" s="240" t="s">
        <v>524</v>
      </c>
      <c r="F393" s="241" t="s">
        <v>281</v>
      </c>
      <c r="G393" s="240">
        <v>58280</v>
      </c>
      <c r="H393" s="240">
        <v>33240</v>
      </c>
      <c r="I393" s="240">
        <v>93250</v>
      </c>
      <c r="J393" s="271">
        <v>-0.12399999999999997</v>
      </c>
      <c r="K393" s="2">
        <v>37060</v>
      </c>
      <c r="L393" s="240">
        <v>20893</v>
      </c>
      <c r="M393" s="240">
        <v>59784</v>
      </c>
      <c r="N393" s="240">
        <v>21220</v>
      </c>
      <c r="O393" s="240">
        <v>12347</v>
      </c>
      <c r="P393" s="240">
        <v>33466</v>
      </c>
      <c r="Q393" s="243">
        <v>5273703</v>
      </c>
      <c r="R393" s="244">
        <v>4.0237383842468262</v>
      </c>
      <c r="S393" s="244">
        <v>2.3412392139434814</v>
      </c>
      <c r="T393" s="244">
        <v>6.3458256721496582</v>
      </c>
    </row>
    <row r="394" spans="2:20">
      <c r="B394" s="240" t="s">
        <v>513</v>
      </c>
      <c r="C394" s="240" t="s">
        <v>242</v>
      </c>
      <c r="D394" s="240" t="s">
        <v>520</v>
      </c>
      <c r="E394" s="240" t="s">
        <v>523</v>
      </c>
      <c r="F394" s="241" t="s">
        <v>281</v>
      </c>
      <c r="G394" s="240">
        <v>87420</v>
      </c>
      <c r="H394" s="240">
        <v>49860</v>
      </c>
      <c r="I394" s="240">
        <v>139875</v>
      </c>
      <c r="J394" s="271">
        <v>-0.45400000000000024</v>
      </c>
      <c r="K394" s="2">
        <v>59982</v>
      </c>
      <c r="L394" s="240">
        <v>33809</v>
      </c>
      <c r="M394" s="240">
        <v>96739</v>
      </c>
      <c r="N394" s="240">
        <v>27438</v>
      </c>
      <c r="O394" s="240">
        <v>16051</v>
      </c>
      <c r="P394" s="240">
        <v>43136</v>
      </c>
      <c r="Q394" s="243">
        <v>10022148</v>
      </c>
      <c r="R394" s="244">
        <v>2.7377364635467529</v>
      </c>
      <c r="S394" s="244">
        <v>1.6015528440475464</v>
      </c>
      <c r="T394" s="244">
        <v>4.3040671348571777</v>
      </c>
    </row>
    <row r="395" spans="2:20">
      <c r="B395" s="240" t="s">
        <v>513</v>
      </c>
      <c r="C395" s="240" t="s">
        <v>282</v>
      </c>
      <c r="D395" s="240" t="s">
        <v>502</v>
      </c>
      <c r="E395" s="272" t="s">
        <v>522</v>
      </c>
      <c r="F395" s="241" t="s">
        <v>281</v>
      </c>
      <c r="G395" s="240">
        <v>29140</v>
      </c>
      <c r="H395" s="240">
        <v>16620</v>
      </c>
      <c r="I395" s="240">
        <v>46625</v>
      </c>
      <c r="J395" s="271">
        <v>-0.182</v>
      </c>
      <c r="K395" s="2">
        <v>25079</v>
      </c>
      <c r="L395" s="240">
        <v>14115</v>
      </c>
      <c r="M395" s="240">
        <v>40425</v>
      </c>
      <c r="N395" s="240">
        <v>4061</v>
      </c>
      <c r="O395" s="240">
        <v>2505</v>
      </c>
      <c r="P395" s="240">
        <v>6200</v>
      </c>
      <c r="Q395" s="243">
        <v>1076644</v>
      </c>
      <c r="R395" s="244">
        <v>3.7719061374664307</v>
      </c>
      <c r="S395" s="244">
        <v>2.3266744613647461</v>
      </c>
      <c r="T395" s="244">
        <v>5.7586350440979004</v>
      </c>
    </row>
    <row r="396" spans="2:20">
      <c r="B396" s="240" t="s">
        <v>513</v>
      </c>
      <c r="C396" s="240" t="s">
        <v>282</v>
      </c>
      <c r="D396" s="240" t="s">
        <v>201</v>
      </c>
      <c r="E396" s="240" t="s">
        <v>524</v>
      </c>
      <c r="F396" s="241" t="s">
        <v>281</v>
      </c>
      <c r="G396" s="240">
        <v>58280</v>
      </c>
      <c r="H396" s="240">
        <v>33240</v>
      </c>
      <c r="I396" s="240">
        <v>93250</v>
      </c>
      <c r="J396" s="271">
        <v>-9.0999999999999984E-2</v>
      </c>
      <c r="K396" s="2">
        <v>44324</v>
      </c>
      <c r="L396" s="240">
        <v>24948</v>
      </c>
      <c r="M396" s="240">
        <v>71409</v>
      </c>
      <c r="N396" s="240">
        <v>13956</v>
      </c>
      <c r="O396" s="240">
        <v>8292</v>
      </c>
      <c r="P396" s="240">
        <v>21841</v>
      </c>
      <c r="Q396" s="243">
        <v>1521688</v>
      </c>
      <c r="R396" s="244">
        <v>9.1713943481445313</v>
      </c>
      <c r="S396" s="244">
        <v>5.449211597442627</v>
      </c>
      <c r="T396" s="244">
        <v>14.353139877319336</v>
      </c>
    </row>
    <row r="397" spans="2:20">
      <c r="B397" s="240" t="s">
        <v>513</v>
      </c>
      <c r="C397" s="240" t="s">
        <v>282</v>
      </c>
      <c r="D397" s="240" t="s">
        <v>520</v>
      </c>
      <c r="E397" s="240" t="s">
        <v>523</v>
      </c>
      <c r="F397" s="241" t="s">
        <v>281</v>
      </c>
      <c r="G397" s="240">
        <v>87420</v>
      </c>
      <c r="H397" s="240">
        <v>49860</v>
      </c>
      <c r="I397" s="240">
        <v>139875</v>
      </c>
      <c r="J397" s="271">
        <v>-0.27299999999999996</v>
      </c>
      <c r="K397" s="2">
        <v>69403</v>
      </c>
      <c r="L397" s="240">
        <v>39063</v>
      </c>
      <c r="M397" s="240">
        <v>111834</v>
      </c>
      <c r="N397" s="240">
        <v>18017</v>
      </c>
      <c r="O397" s="240">
        <v>10797</v>
      </c>
      <c r="P397" s="240">
        <v>28041</v>
      </c>
      <c r="Q397" s="243">
        <v>2598332</v>
      </c>
      <c r="R397" s="244">
        <v>6.9340639114379883</v>
      </c>
      <c r="S397" s="244">
        <v>4.1553583145141602</v>
      </c>
      <c r="T397" s="244">
        <v>10.791923522949219</v>
      </c>
    </row>
    <row r="398" spans="2:20">
      <c r="B398" s="240" t="s">
        <v>513</v>
      </c>
      <c r="C398" s="240" t="s">
        <v>77</v>
      </c>
      <c r="D398" s="240" t="s">
        <v>502</v>
      </c>
      <c r="E398" s="272" t="s">
        <v>522</v>
      </c>
      <c r="F398" s="241" t="s">
        <v>281</v>
      </c>
      <c r="G398" s="240">
        <v>29140</v>
      </c>
      <c r="H398" s="240">
        <v>16620</v>
      </c>
      <c r="I398" s="240">
        <v>46625</v>
      </c>
      <c r="J398" s="271">
        <v>-5.4000000000000006E-2</v>
      </c>
      <c r="K398" s="2">
        <v>26945</v>
      </c>
      <c r="L398" s="240">
        <v>15161</v>
      </c>
      <c r="M398" s="240">
        <v>43545</v>
      </c>
      <c r="N398" s="240">
        <v>2195</v>
      </c>
      <c r="O398" s="240">
        <v>1459</v>
      </c>
      <c r="P398" s="240">
        <v>3080</v>
      </c>
      <c r="Q398" s="243">
        <v>1821516</v>
      </c>
      <c r="R398" s="244">
        <v>1.2050402164459229</v>
      </c>
      <c r="S398" s="244">
        <v>0.80098116397857666</v>
      </c>
      <c r="T398" s="244">
        <v>1.6908992528915405</v>
      </c>
    </row>
    <row r="399" spans="2:20">
      <c r="B399" s="240" t="s">
        <v>513</v>
      </c>
      <c r="C399" s="240" t="s">
        <v>77</v>
      </c>
      <c r="D399" s="240" t="s">
        <v>201</v>
      </c>
      <c r="E399" s="240" t="s">
        <v>524</v>
      </c>
      <c r="F399" s="241" t="s">
        <v>281</v>
      </c>
      <c r="G399" s="240">
        <v>58280</v>
      </c>
      <c r="H399" s="240">
        <v>33240</v>
      </c>
      <c r="I399" s="240">
        <v>93250</v>
      </c>
      <c r="J399" s="271">
        <v>-8.0000000000000019E-3</v>
      </c>
      <c r="K399" s="2">
        <v>52692</v>
      </c>
      <c r="L399" s="240">
        <v>29644</v>
      </c>
      <c r="M399" s="240">
        <v>85107</v>
      </c>
      <c r="N399" s="240">
        <v>5588</v>
      </c>
      <c r="O399" s="240">
        <v>3596</v>
      </c>
      <c r="P399" s="240">
        <v>8143</v>
      </c>
      <c r="Q399" s="243">
        <v>1794453</v>
      </c>
      <c r="R399" s="244">
        <v>3.1140408515930176</v>
      </c>
      <c r="S399" s="244">
        <v>2.003953218460083</v>
      </c>
      <c r="T399" s="244">
        <v>4.5378732681274414</v>
      </c>
    </row>
    <row r="400" spans="2:20">
      <c r="B400" s="240" t="s">
        <v>513</v>
      </c>
      <c r="C400" s="240" t="s">
        <v>77</v>
      </c>
      <c r="D400" s="240" t="s">
        <v>520</v>
      </c>
      <c r="E400" s="240" t="s">
        <v>523</v>
      </c>
      <c r="F400" s="241" t="s">
        <v>281</v>
      </c>
      <c r="G400" s="240">
        <v>87420</v>
      </c>
      <c r="H400" s="240">
        <v>49860</v>
      </c>
      <c r="I400" s="240">
        <v>139875</v>
      </c>
      <c r="J400" s="271">
        <v>-6.2000000000000027E-2</v>
      </c>
      <c r="K400" s="2">
        <v>79637</v>
      </c>
      <c r="L400" s="240">
        <v>44805</v>
      </c>
      <c r="M400" s="240">
        <v>128652</v>
      </c>
      <c r="N400" s="240">
        <v>7783</v>
      </c>
      <c r="O400" s="240">
        <v>5055</v>
      </c>
      <c r="P400" s="240">
        <v>11223</v>
      </c>
      <c r="Q400" s="243">
        <v>3615969</v>
      </c>
      <c r="R400" s="244">
        <v>2.1523966789245605</v>
      </c>
      <c r="S400" s="244">
        <v>1.3979655504226685</v>
      </c>
      <c r="T400" s="244">
        <v>3.1037323474884033</v>
      </c>
    </row>
    <row r="401" spans="2:20">
      <c r="B401" s="240" t="s">
        <v>513</v>
      </c>
      <c r="C401" s="240" t="s">
        <v>121</v>
      </c>
      <c r="D401" s="240" t="s">
        <v>502</v>
      </c>
      <c r="E401" s="272" t="s">
        <v>522</v>
      </c>
      <c r="F401" s="241" t="s">
        <v>281</v>
      </c>
      <c r="G401" s="240">
        <v>29140</v>
      </c>
      <c r="H401" s="240">
        <v>16620</v>
      </c>
      <c r="I401" s="240">
        <v>46625</v>
      </c>
      <c r="J401" s="271">
        <v>-0.1</v>
      </c>
      <c r="K401" s="2">
        <v>26302</v>
      </c>
      <c r="L401" s="240">
        <v>14806</v>
      </c>
      <c r="M401" s="240">
        <v>42457</v>
      </c>
      <c r="N401" s="240">
        <v>2838</v>
      </c>
      <c r="O401" s="240">
        <v>1814</v>
      </c>
      <c r="P401" s="240">
        <v>4168</v>
      </c>
      <c r="Q401" s="243">
        <v>920267</v>
      </c>
      <c r="R401" s="244">
        <v>3.0838875770568848</v>
      </c>
      <c r="S401" s="244">
        <v>1.9711670875549316</v>
      </c>
      <c r="T401" s="244">
        <v>4.5291204452514648</v>
      </c>
    </row>
    <row r="402" spans="2:20">
      <c r="B402" s="240" t="s">
        <v>513</v>
      </c>
      <c r="C402" s="240" t="s">
        <v>121</v>
      </c>
      <c r="D402" s="240" t="s">
        <v>201</v>
      </c>
      <c r="E402" s="240" t="s">
        <v>524</v>
      </c>
      <c r="F402" s="241" t="s">
        <v>281</v>
      </c>
      <c r="G402" s="240">
        <v>58280</v>
      </c>
      <c r="H402" s="240">
        <v>33240</v>
      </c>
      <c r="I402" s="240">
        <v>93250</v>
      </c>
      <c r="J402" s="271">
        <v>-2.0000000000000004E-2</v>
      </c>
      <c r="K402" s="2">
        <v>50113</v>
      </c>
      <c r="L402" s="240">
        <v>28265</v>
      </c>
      <c r="M402" s="240">
        <v>80819</v>
      </c>
      <c r="N402" s="240">
        <v>8167</v>
      </c>
      <c r="O402" s="240">
        <v>4975</v>
      </c>
      <c r="P402" s="240">
        <v>12431</v>
      </c>
      <c r="Q402" s="243">
        <v>997748</v>
      </c>
      <c r="R402" s="244">
        <v>8.1854333877563477</v>
      </c>
      <c r="S402" s="244">
        <v>4.9862289428710938</v>
      </c>
      <c r="T402" s="244">
        <v>12.459057807922363</v>
      </c>
    </row>
    <row r="403" spans="2:20">
      <c r="B403" s="240" t="s">
        <v>513</v>
      </c>
      <c r="C403" s="240" t="s">
        <v>121</v>
      </c>
      <c r="D403" s="240" t="s">
        <v>520</v>
      </c>
      <c r="E403" s="240" t="s">
        <v>523</v>
      </c>
      <c r="F403" s="241" t="s">
        <v>281</v>
      </c>
      <c r="G403" s="240">
        <v>87420</v>
      </c>
      <c r="H403" s="240">
        <v>49860</v>
      </c>
      <c r="I403" s="240">
        <v>139875</v>
      </c>
      <c r="J403" s="271">
        <v>-0.12000000000000002</v>
      </c>
      <c r="K403" s="2">
        <v>76415</v>
      </c>
      <c r="L403" s="240">
        <v>43071</v>
      </c>
      <c r="M403" s="240">
        <v>123276</v>
      </c>
      <c r="N403" s="240">
        <v>11005</v>
      </c>
      <c r="O403" s="240">
        <v>6789</v>
      </c>
      <c r="P403" s="240">
        <v>16599</v>
      </c>
      <c r="Q403" s="243">
        <v>1918015</v>
      </c>
      <c r="R403" s="244">
        <v>5.7377028465270996</v>
      </c>
      <c r="S403" s="244">
        <v>3.5395970344543457</v>
      </c>
      <c r="T403" s="244">
        <v>8.6542596817016602</v>
      </c>
    </row>
    <row r="404" spans="2:20">
      <c r="B404" s="240" t="s">
        <v>513</v>
      </c>
      <c r="C404" s="240" t="s">
        <v>122</v>
      </c>
      <c r="D404" s="240" t="s">
        <v>502</v>
      </c>
      <c r="E404" s="272" t="s">
        <v>522</v>
      </c>
      <c r="F404" s="241" t="s">
        <v>281</v>
      </c>
      <c r="G404" s="240">
        <v>29140</v>
      </c>
      <c r="H404" s="240">
        <v>16620</v>
      </c>
      <c r="I404" s="240">
        <v>46625</v>
      </c>
      <c r="J404" s="271">
        <v>-0.06</v>
      </c>
      <c r="K404" s="2">
        <v>26875</v>
      </c>
      <c r="L404" s="240">
        <v>15115</v>
      </c>
      <c r="M404" s="240">
        <v>43418</v>
      </c>
      <c r="N404" s="240">
        <v>2265</v>
      </c>
      <c r="O404" s="240">
        <v>1505</v>
      </c>
      <c r="P404" s="240">
        <v>3207</v>
      </c>
      <c r="Q404" s="243">
        <v>930018</v>
      </c>
      <c r="R404" s="244">
        <v>2.4354367256164551</v>
      </c>
      <c r="S404" s="244">
        <v>1.6182482242584229</v>
      </c>
      <c r="T404" s="244">
        <v>3.4483203887939453</v>
      </c>
    </row>
    <row r="405" spans="2:20">
      <c r="B405" s="240" t="s">
        <v>513</v>
      </c>
      <c r="C405" s="240" t="s">
        <v>122</v>
      </c>
      <c r="D405" s="240" t="s">
        <v>201</v>
      </c>
      <c r="E405" s="240" t="s">
        <v>524</v>
      </c>
      <c r="F405" s="241" t="s">
        <v>281</v>
      </c>
      <c r="G405" s="240">
        <v>58280</v>
      </c>
      <c r="H405" s="240">
        <v>33240</v>
      </c>
      <c r="I405" s="240">
        <v>93250</v>
      </c>
      <c r="J405" s="271">
        <v>-2.9999999999999995E-2</v>
      </c>
      <c r="K405" s="2">
        <v>51859</v>
      </c>
      <c r="L405" s="240">
        <v>29173</v>
      </c>
      <c r="M405" s="240">
        <v>83606</v>
      </c>
      <c r="N405" s="240">
        <v>6421</v>
      </c>
      <c r="O405" s="240">
        <v>4067</v>
      </c>
      <c r="P405" s="240">
        <v>9644</v>
      </c>
      <c r="Q405" s="243">
        <v>959822</v>
      </c>
      <c r="R405" s="244">
        <v>6.6897821426391602</v>
      </c>
      <c r="S405" s="244">
        <v>4.2372441291809082</v>
      </c>
      <c r="T405" s="244">
        <v>10.047696113586426</v>
      </c>
    </row>
    <row r="406" spans="2:20">
      <c r="B406" s="240" t="s">
        <v>513</v>
      </c>
      <c r="C406" s="240" t="s">
        <v>122</v>
      </c>
      <c r="D406" s="240" t="s">
        <v>520</v>
      </c>
      <c r="E406" s="240" t="s">
        <v>523</v>
      </c>
      <c r="F406" s="241" t="s">
        <v>281</v>
      </c>
      <c r="G406" s="240">
        <v>87420</v>
      </c>
      <c r="H406" s="240">
        <v>49860</v>
      </c>
      <c r="I406" s="240">
        <v>139875</v>
      </c>
      <c r="J406" s="271">
        <v>-9.0000000000000024E-2</v>
      </c>
      <c r="K406" s="2">
        <v>78734</v>
      </c>
      <c r="L406" s="240">
        <v>44288</v>
      </c>
      <c r="M406" s="240">
        <v>127024</v>
      </c>
      <c r="N406" s="240">
        <v>8686</v>
      </c>
      <c r="O406" s="240">
        <v>5572</v>
      </c>
      <c r="P406" s="240">
        <v>12851</v>
      </c>
      <c r="Q406" s="243">
        <v>1889840</v>
      </c>
      <c r="R406" s="244">
        <v>4.596156120300293</v>
      </c>
      <c r="S406" s="244">
        <v>2.9483976364135742</v>
      </c>
      <c r="T406" s="244">
        <v>6.800046443939209</v>
      </c>
    </row>
    <row r="407" spans="2:20">
      <c r="B407" s="240" t="s">
        <v>514</v>
      </c>
      <c r="C407" s="240" t="s">
        <v>242</v>
      </c>
      <c r="D407" s="240" t="s">
        <v>502</v>
      </c>
      <c r="E407" s="272" t="s">
        <v>522</v>
      </c>
      <c r="F407" s="241" t="s">
        <v>281</v>
      </c>
      <c r="G407" s="240">
        <v>5490</v>
      </c>
      <c r="H407" s="240">
        <v>2070</v>
      </c>
      <c r="I407" s="240">
        <v>10465</v>
      </c>
      <c r="J407" s="271">
        <v>-0.33</v>
      </c>
      <c r="K407" s="2">
        <v>4167</v>
      </c>
      <c r="L407" s="240">
        <v>1475</v>
      </c>
      <c r="M407" s="240">
        <v>8185</v>
      </c>
      <c r="N407" s="240">
        <v>1323</v>
      </c>
      <c r="O407" s="240">
        <v>595</v>
      </c>
      <c r="P407" s="240">
        <v>2280</v>
      </c>
      <c r="Q407" s="243">
        <v>4748445</v>
      </c>
      <c r="R407" s="244">
        <v>0.27861753106117249</v>
      </c>
      <c r="S407" s="244">
        <v>0.12530417740345001</v>
      </c>
      <c r="T407" s="244">
        <v>0.48015719652175903</v>
      </c>
    </row>
    <row r="408" spans="2:20">
      <c r="B408" s="240" t="s">
        <v>514</v>
      </c>
      <c r="C408" s="240" t="s">
        <v>242</v>
      </c>
      <c r="D408" s="240" t="s">
        <v>201</v>
      </c>
      <c r="E408" s="240" t="s">
        <v>524</v>
      </c>
      <c r="F408" s="241" t="s">
        <v>281</v>
      </c>
      <c r="G408" s="240">
        <v>10980</v>
      </c>
      <c r="H408" s="240">
        <v>4140</v>
      </c>
      <c r="I408" s="240">
        <v>20930</v>
      </c>
      <c r="J408" s="271">
        <v>-0.12399999999999997</v>
      </c>
      <c r="K408" s="2">
        <v>6739</v>
      </c>
      <c r="L408" s="240">
        <v>2371</v>
      </c>
      <c r="M408" s="240">
        <v>13237</v>
      </c>
      <c r="N408" s="240">
        <v>4241</v>
      </c>
      <c r="O408" s="240">
        <v>1769</v>
      </c>
      <c r="P408" s="240">
        <v>7693</v>
      </c>
      <c r="Q408" s="243">
        <v>5273703</v>
      </c>
      <c r="R408" s="244">
        <v>0.80417877435684204</v>
      </c>
      <c r="S408" s="244">
        <v>0.33543792366981506</v>
      </c>
      <c r="T408" s="244">
        <v>1.4587472677230835</v>
      </c>
    </row>
    <row r="409" spans="2:20">
      <c r="B409" s="240" t="s">
        <v>514</v>
      </c>
      <c r="C409" s="240" t="s">
        <v>242</v>
      </c>
      <c r="D409" s="240" t="s">
        <v>520</v>
      </c>
      <c r="E409" s="240" t="s">
        <v>523</v>
      </c>
      <c r="F409" s="241" t="s">
        <v>281</v>
      </c>
      <c r="G409" s="240">
        <v>16470</v>
      </c>
      <c r="H409" s="240">
        <v>6210</v>
      </c>
      <c r="I409" s="240">
        <v>31395</v>
      </c>
      <c r="J409" s="271">
        <v>-0.45400000000000024</v>
      </c>
      <c r="K409" s="2">
        <v>10906</v>
      </c>
      <c r="L409" s="240">
        <v>3846</v>
      </c>
      <c r="M409" s="240">
        <v>21422</v>
      </c>
      <c r="N409" s="240">
        <v>5564</v>
      </c>
      <c r="O409" s="240">
        <v>2364</v>
      </c>
      <c r="P409" s="240">
        <v>9973</v>
      </c>
      <c r="Q409" s="243">
        <v>10022148</v>
      </c>
      <c r="R409" s="244">
        <v>0.55517041683197021</v>
      </c>
      <c r="S409" s="244">
        <v>0.23587757349014282</v>
      </c>
      <c r="T409" s="244">
        <v>0.99509608745574951</v>
      </c>
    </row>
    <row r="410" spans="2:20">
      <c r="B410" s="240" t="s">
        <v>514</v>
      </c>
      <c r="C410" s="240" t="s">
        <v>282</v>
      </c>
      <c r="D410" s="240" t="s">
        <v>502</v>
      </c>
      <c r="E410" s="272" t="s">
        <v>522</v>
      </c>
      <c r="F410" s="241" t="s">
        <v>281</v>
      </c>
      <c r="G410" s="240">
        <v>5490</v>
      </c>
      <c r="H410" s="240">
        <v>2070</v>
      </c>
      <c r="I410" s="240">
        <v>10465</v>
      </c>
      <c r="J410" s="271">
        <v>-0.182</v>
      </c>
      <c r="K410" s="2">
        <v>4559</v>
      </c>
      <c r="L410" s="240">
        <v>1600</v>
      </c>
      <c r="M410" s="240">
        <v>8947</v>
      </c>
      <c r="N410" s="240">
        <v>931</v>
      </c>
      <c r="O410" s="240">
        <v>470</v>
      </c>
      <c r="P410" s="240">
        <v>1518</v>
      </c>
      <c r="Q410" s="243">
        <v>1076644</v>
      </c>
      <c r="R410" s="244">
        <v>0.86472409963607788</v>
      </c>
      <c r="S410" s="244">
        <v>0.43654170632362366</v>
      </c>
      <c r="T410" s="244">
        <v>1.409936785697937</v>
      </c>
    </row>
    <row r="411" spans="2:20">
      <c r="B411" s="240" t="s">
        <v>514</v>
      </c>
      <c r="C411" s="240" t="s">
        <v>282</v>
      </c>
      <c r="D411" s="240" t="s">
        <v>201</v>
      </c>
      <c r="E411" s="240" t="s">
        <v>524</v>
      </c>
      <c r="F411" s="241" t="s">
        <v>281</v>
      </c>
      <c r="G411" s="240">
        <v>10980</v>
      </c>
      <c r="H411" s="240">
        <v>4140</v>
      </c>
      <c r="I411" s="240">
        <v>20930</v>
      </c>
      <c r="J411" s="271">
        <v>-9.0999999999999984E-2</v>
      </c>
      <c r="K411" s="2">
        <v>8073</v>
      </c>
      <c r="L411" s="240">
        <v>2859</v>
      </c>
      <c r="M411" s="240">
        <v>15833</v>
      </c>
      <c r="N411" s="240">
        <v>2907</v>
      </c>
      <c r="O411" s="240">
        <v>1281</v>
      </c>
      <c r="P411" s="240">
        <v>5097</v>
      </c>
      <c r="Q411" s="243">
        <v>1521688</v>
      </c>
      <c r="R411" s="244">
        <v>1.9103784561157227</v>
      </c>
      <c r="S411" s="244">
        <v>0.84182828664779663</v>
      </c>
      <c r="T411" s="244">
        <v>3.3495697975158691</v>
      </c>
    </row>
    <row r="412" spans="2:20">
      <c r="B412" s="240" t="s">
        <v>514</v>
      </c>
      <c r="C412" s="240" t="s">
        <v>282</v>
      </c>
      <c r="D412" s="240" t="s">
        <v>520</v>
      </c>
      <c r="E412" s="240" t="s">
        <v>523</v>
      </c>
      <c r="F412" s="241" t="s">
        <v>281</v>
      </c>
      <c r="G412" s="240">
        <v>16470</v>
      </c>
      <c r="H412" s="240">
        <v>6210</v>
      </c>
      <c r="I412" s="240">
        <v>31395</v>
      </c>
      <c r="J412" s="271">
        <v>-0.27299999999999996</v>
      </c>
      <c r="K412" s="2">
        <v>12632</v>
      </c>
      <c r="L412" s="240">
        <v>4459</v>
      </c>
      <c r="M412" s="240">
        <v>24780</v>
      </c>
      <c r="N412" s="240">
        <v>3838</v>
      </c>
      <c r="O412" s="240">
        <v>1751</v>
      </c>
      <c r="P412" s="240">
        <v>6615</v>
      </c>
      <c r="Q412" s="243">
        <v>2598332</v>
      </c>
      <c r="R412" s="244">
        <v>1.4771014451980591</v>
      </c>
      <c r="S412" s="244">
        <v>0.67389386892318726</v>
      </c>
      <c r="T412" s="244">
        <v>2.5458641052246094</v>
      </c>
    </row>
    <row r="413" spans="2:20">
      <c r="B413" s="240" t="s">
        <v>514</v>
      </c>
      <c r="C413" s="240" t="s">
        <v>77</v>
      </c>
      <c r="D413" s="240" t="s">
        <v>502</v>
      </c>
      <c r="E413" s="272" t="s">
        <v>522</v>
      </c>
      <c r="F413" s="241" t="s">
        <v>281</v>
      </c>
      <c r="G413" s="240">
        <v>5490</v>
      </c>
      <c r="H413" s="240">
        <v>2070</v>
      </c>
      <c r="I413" s="240">
        <v>10465</v>
      </c>
      <c r="J413" s="271">
        <v>-5.4000000000000006E-2</v>
      </c>
      <c r="K413" s="2">
        <v>4882</v>
      </c>
      <c r="L413" s="240">
        <v>1697</v>
      </c>
      <c r="M413" s="240">
        <v>9631</v>
      </c>
      <c r="N413" s="240">
        <v>608</v>
      </c>
      <c r="O413" s="240">
        <v>373</v>
      </c>
      <c r="P413" s="240">
        <v>834</v>
      </c>
      <c r="Q413" s="243">
        <v>1821516</v>
      </c>
      <c r="R413" s="244">
        <v>0.33378788828849792</v>
      </c>
      <c r="S413" s="244">
        <v>0.20477448403835297</v>
      </c>
      <c r="T413" s="244">
        <v>0.45786038041114807</v>
      </c>
    </row>
    <row r="414" spans="2:20">
      <c r="B414" s="240" t="s">
        <v>514</v>
      </c>
      <c r="C414" s="240" t="s">
        <v>77</v>
      </c>
      <c r="D414" s="240" t="s">
        <v>201</v>
      </c>
      <c r="E414" s="240" t="s">
        <v>524</v>
      </c>
      <c r="F414" s="241" t="s">
        <v>281</v>
      </c>
      <c r="G414" s="240">
        <v>10980</v>
      </c>
      <c r="H414" s="240">
        <v>4140</v>
      </c>
      <c r="I414" s="240">
        <v>20930</v>
      </c>
      <c r="J414" s="271">
        <v>-8.0000000000000019E-3</v>
      </c>
      <c r="K414" s="2">
        <v>9587</v>
      </c>
      <c r="L414" s="240">
        <v>3338</v>
      </c>
      <c r="M414" s="240">
        <v>18837</v>
      </c>
      <c r="N414" s="240">
        <v>1393</v>
      </c>
      <c r="O414" s="240">
        <v>802</v>
      </c>
      <c r="P414" s="240">
        <v>2093</v>
      </c>
      <c r="Q414" s="243">
        <v>1794453</v>
      </c>
      <c r="R414" s="244">
        <v>0.77628111839294434</v>
      </c>
      <c r="S414" s="244">
        <v>0.44693285226821899</v>
      </c>
      <c r="T414" s="244">
        <v>1.1663721799850464</v>
      </c>
    </row>
    <row r="415" spans="2:20">
      <c r="B415" s="240" t="s">
        <v>514</v>
      </c>
      <c r="C415" s="240" t="s">
        <v>77</v>
      </c>
      <c r="D415" s="240" t="s">
        <v>520</v>
      </c>
      <c r="E415" s="240" t="s">
        <v>523</v>
      </c>
      <c r="F415" s="241" t="s">
        <v>281</v>
      </c>
      <c r="G415" s="240">
        <v>16470</v>
      </c>
      <c r="H415" s="240">
        <v>6210</v>
      </c>
      <c r="I415" s="240">
        <v>31395</v>
      </c>
      <c r="J415" s="271">
        <v>-6.2000000000000027E-2</v>
      </c>
      <c r="K415" s="2">
        <v>14469</v>
      </c>
      <c r="L415" s="240">
        <v>5035</v>
      </c>
      <c r="M415" s="240">
        <v>28468</v>
      </c>
      <c r="N415" s="240">
        <v>2001</v>
      </c>
      <c r="O415" s="240">
        <v>1175</v>
      </c>
      <c r="P415" s="240">
        <v>2927</v>
      </c>
      <c r="Q415" s="243">
        <v>3615969</v>
      </c>
      <c r="R415" s="244">
        <v>0.5533786416053772</v>
      </c>
      <c r="S415" s="244">
        <v>0.32494747638702393</v>
      </c>
      <c r="T415" s="244">
        <v>0.80946493148803711</v>
      </c>
    </row>
    <row r="416" spans="2:20">
      <c r="B416" s="240" t="s">
        <v>514</v>
      </c>
      <c r="C416" s="240" t="s">
        <v>121</v>
      </c>
      <c r="D416" s="240" t="s">
        <v>502</v>
      </c>
      <c r="E416" s="272" t="s">
        <v>522</v>
      </c>
      <c r="F416" s="241" t="s">
        <v>281</v>
      </c>
      <c r="G416" s="240">
        <v>5490</v>
      </c>
      <c r="H416" s="240">
        <v>2070</v>
      </c>
      <c r="I416" s="240">
        <v>10465</v>
      </c>
      <c r="J416" s="271">
        <v>-0.1</v>
      </c>
      <c r="K416" s="2">
        <v>4778</v>
      </c>
      <c r="L416" s="240">
        <v>1667</v>
      </c>
      <c r="M416" s="240">
        <v>9391</v>
      </c>
      <c r="N416" s="240">
        <v>712</v>
      </c>
      <c r="O416" s="240">
        <v>403</v>
      </c>
      <c r="P416" s="240">
        <v>1074</v>
      </c>
      <c r="Q416" s="243">
        <v>920267</v>
      </c>
      <c r="R416" s="244">
        <v>0.77368849515914917</v>
      </c>
      <c r="S416" s="244">
        <v>0.43791639804840088</v>
      </c>
      <c r="T416" s="244">
        <v>1.1670526266098022</v>
      </c>
    </row>
    <row r="417" spans="2:23">
      <c r="B417" s="240" t="s">
        <v>514</v>
      </c>
      <c r="C417" s="240" t="s">
        <v>121</v>
      </c>
      <c r="D417" s="240" t="s">
        <v>201</v>
      </c>
      <c r="E417" s="240" t="s">
        <v>524</v>
      </c>
      <c r="F417" s="241" t="s">
        <v>281</v>
      </c>
      <c r="G417" s="240">
        <v>10980</v>
      </c>
      <c r="H417" s="240">
        <v>4140</v>
      </c>
      <c r="I417" s="240">
        <v>20930</v>
      </c>
      <c r="J417" s="271">
        <v>-2.0000000000000004E-2</v>
      </c>
      <c r="K417" s="2">
        <v>9128</v>
      </c>
      <c r="L417" s="240">
        <v>3217</v>
      </c>
      <c r="M417" s="240">
        <v>17893</v>
      </c>
      <c r="N417" s="240">
        <v>1852</v>
      </c>
      <c r="O417" s="240">
        <v>923</v>
      </c>
      <c r="P417" s="240">
        <v>3037</v>
      </c>
      <c r="Q417" s="243">
        <v>997748</v>
      </c>
      <c r="R417" s="244">
        <v>1.8561800718307495</v>
      </c>
      <c r="S417" s="244">
        <v>0.92508327960968018</v>
      </c>
      <c r="T417" s="244">
        <v>3.0438547134399414</v>
      </c>
    </row>
    <row r="418" spans="2:23">
      <c r="B418" s="240" t="s">
        <v>514</v>
      </c>
      <c r="C418" s="240" t="s">
        <v>121</v>
      </c>
      <c r="D418" s="240" t="s">
        <v>520</v>
      </c>
      <c r="E418" s="240" t="s">
        <v>523</v>
      </c>
      <c r="F418" s="241" t="s">
        <v>281</v>
      </c>
      <c r="G418" s="240">
        <v>16470</v>
      </c>
      <c r="H418" s="240">
        <v>6210</v>
      </c>
      <c r="I418" s="240">
        <v>31395</v>
      </c>
      <c r="J418" s="271">
        <v>-0.12000000000000002</v>
      </c>
      <c r="K418" s="2">
        <v>13906</v>
      </c>
      <c r="L418" s="240">
        <v>4884</v>
      </c>
      <c r="M418" s="240">
        <v>27284</v>
      </c>
      <c r="N418" s="240">
        <v>2564</v>
      </c>
      <c r="O418" s="240">
        <v>1326</v>
      </c>
      <c r="P418" s="240">
        <v>4111</v>
      </c>
      <c r="Q418" s="243">
        <v>1918015</v>
      </c>
      <c r="R418" s="244">
        <v>1.3367986679077148</v>
      </c>
      <c r="S418" s="244">
        <v>0.69133973121643066</v>
      </c>
      <c r="T418" s="244">
        <v>2.1433618068695068</v>
      </c>
    </row>
    <row r="419" spans="2:23">
      <c r="B419" s="240" t="s">
        <v>514</v>
      </c>
      <c r="C419" s="240" t="s">
        <v>122</v>
      </c>
      <c r="D419" s="240" t="s">
        <v>502</v>
      </c>
      <c r="E419" s="272" t="s">
        <v>522</v>
      </c>
      <c r="F419" s="241" t="s">
        <v>281</v>
      </c>
      <c r="G419" s="240">
        <v>5490</v>
      </c>
      <c r="H419" s="240">
        <v>2070</v>
      </c>
      <c r="I419" s="240">
        <v>10465</v>
      </c>
      <c r="J419" s="271">
        <v>-0.06</v>
      </c>
      <c r="K419" s="2">
        <v>4870</v>
      </c>
      <c r="L419" s="240">
        <v>1691</v>
      </c>
      <c r="M419" s="240">
        <v>9600</v>
      </c>
      <c r="N419" s="240">
        <v>620</v>
      </c>
      <c r="O419" s="240">
        <v>379</v>
      </c>
      <c r="P419" s="240">
        <v>865</v>
      </c>
      <c r="Q419" s="243">
        <v>930018</v>
      </c>
      <c r="R419" s="244">
        <v>0.66665375232696533</v>
      </c>
      <c r="S419" s="244">
        <v>0.40751898288726807</v>
      </c>
      <c r="T419" s="244">
        <v>0.93008953332901001</v>
      </c>
    </row>
    <row r="420" spans="2:23">
      <c r="B420" s="240" t="s">
        <v>514</v>
      </c>
      <c r="C420" s="240" t="s">
        <v>122</v>
      </c>
      <c r="D420" s="240" t="s">
        <v>201</v>
      </c>
      <c r="E420" s="240" t="s">
        <v>524</v>
      </c>
      <c r="F420" s="241" t="s">
        <v>281</v>
      </c>
      <c r="G420" s="240">
        <v>10980</v>
      </c>
      <c r="H420" s="240">
        <v>4140</v>
      </c>
      <c r="I420" s="240">
        <v>20930</v>
      </c>
      <c r="J420" s="271">
        <v>-2.9999999999999995E-2</v>
      </c>
      <c r="K420" s="2">
        <v>9439</v>
      </c>
      <c r="L420" s="240">
        <v>3298</v>
      </c>
      <c r="M420" s="240">
        <v>18504</v>
      </c>
      <c r="N420" s="240">
        <v>1541</v>
      </c>
      <c r="O420" s="240">
        <v>842</v>
      </c>
      <c r="P420" s="240">
        <v>2426</v>
      </c>
      <c r="Q420" s="243">
        <v>959822</v>
      </c>
      <c r="R420" s="244">
        <v>1.6055060625076294</v>
      </c>
      <c r="S420" s="244">
        <v>0.87724596261978149</v>
      </c>
      <c r="T420" s="244">
        <v>2.5275518894195557</v>
      </c>
    </row>
    <row r="421" spans="2:23">
      <c r="B421" s="240" t="s">
        <v>514</v>
      </c>
      <c r="C421" s="240" t="s">
        <v>122</v>
      </c>
      <c r="D421" s="240" t="s">
        <v>520</v>
      </c>
      <c r="E421" s="240" t="s">
        <v>523</v>
      </c>
      <c r="F421" s="241" t="s">
        <v>281</v>
      </c>
      <c r="G421" s="240">
        <v>16470</v>
      </c>
      <c r="H421" s="240">
        <v>6210</v>
      </c>
      <c r="I421" s="240">
        <v>31395</v>
      </c>
      <c r="J421" s="271">
        <v>-9.0000000000000024E-2</v>
      </c>
      <c r="K421" s="2">
        <v>14309</v>
      </c>
      <c r="L421" s="240">
        <v>4989</v>
      </c>
      <c r="M421" s="240">
        <v>28104</v>
      </c>
      <c r="N421" s="240">
        <v>2161</v>
      </c>
      <c r="O421" s="240">
        <v>1221</v>
      </c>
      <c r="P421" s="240">
        <v>3291</v>
      </c>
      <c r="Q421" s="243">
        <v>1889840</v>
      </c>
      <c r="R421" s="244">
        <v>1.14348304271698</v>
      </c>
      <c r="S421" s="244">
        <v>0.64608645439147949</v>
      </c>
      <c r="T421" s="244">
        <v>1.7414172887802124</v>
      </c>
    </row>
    <row r="422" spans="2:23">
      <c r="B422" s="240"/>
      <c r="C422" s="240"/>
      <c r="D422" s="240"/>
      <c r="E422" s="241"/>
      <c r="F422" s="241"/>
      <c r="G422" s="240"/>
      <c r="H422" s="240"/>
      <c r="I422" s="240"/>
      <c r="J422" s="240"/>
      <c r="K422" s="240"/>
      <c r="L422" s="240"/>
      <c r="M422" s="242"/>
      <c r="N422" s="240"/>
      <c r="O422" s="240"/>
      <c r="P422" s="240"/>
      <c r="Q422" s="240"/>
      <c r="R422" s="240"/>
      <c r="S422" s="240"/>
      <c r="T422" s="243"/>
      <c r="U422" s="244"/>
      <c r="V422" s="244"/>
      <c r="W422" s="244"/>
    </row>
    <row r="423" spans="2:23">
      <c r="B423" s="240"/>
      <c r="C423" s="240"/>
      <c r="D423" s="240"/>
      <c r="E423" s="241"/>
      <c r="F423" s="241"/>
      <c r="G423" s="240"/>
      <c r="H423" s="240"/>
      <c r="I423" s="240"/>
      <c r="J423" s="240"/>
      <c r="K423" s="240"/>
      <c r="L423" s="240"/>
      <c r="M423" s="242"/>
      <c r="N423" s="240"/>
      <c r="O423" s="240"/>
      <c r="P423" s="240"/>
      <c r="Q423" s="240"/>
      <c r="R423" s="240"/>
      <c r="S423" s="240"/>
      <c r="T423" s="243"/>
      <c r="U423" s="244"/>
      <c r="V423" s="244"/>
      <c r="W423" s="244"/>
    </row>
  </sheetData>
  <pageMargins left="0.7" right="0.7" top="0.75" bottom="0.75" header="0.3" footer="0.3"/>
  <pageSetup orientation="portrait" horizontalDpi="0" verticalDpi="0"/>
  <drawing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411"/>
  <sheetViews>
    <sheetView workbookViewId="0"/>
  </sheetViews>
  <sheetFormatPr defaultColWidth="8.85546875" defaultRowHeight="15"/>
  <cols>
    <col min="1" max="1" width="8.85546875" style="1"/>
    <col min="2" max="2" width="44.140625" style="1" customWidth="1"/>
    <col min="3" max="3" width="39.85546875" style="1" customWidth="1"/>
    <col min="4" max="4" width="22.7109375" style="1" customWidth="1"/>
    <col min="5" max="5" width="30.7109375" style="1" customWidth="1"/>
    <col min="6" max="6" width="28.140625" style="1" customWidth="1"/>
    <col min="7" max="7" width="27.28515625" style="1" customWidth="1"/>
    <col min="8" max="8" width="25" style="1" customWidth="1"/>
    <col min="9" max="9" width="27.140625" style="1" customWidth="1"/>
    <col min="10" max="10" width="25.28515625" style="1" customWidth="1"/>
    <col min="11" max="12" width="27.28515625" style="1" customWidth="1"/>
    <col min="13" max="13" width="25.28515625" style="1" customWidth="1"/>
    <col min="14" max="14" width="26.42578125" style="1" customWidth="1"/>
    <col min="15" max="15" width="26.7109375" style="1" customWidth="1"/>
    <col min="16" max="16" width="25.85546875" style="1" customWidth="1"/>
    <col min="17" max="17" width="20.42578125" style="1" customWidth="1"/>
    <col min="18" max="18" width="28.28515625" style="1" customWidth="1"/>
    <col min="19" max="19" width="26.7109375" style="1" customWidth="1"/>
    <col min="20" max="20" width="29.140625" style="1" customWidth="1"/>
    <col min="21" max="21" width="45.85546875" style="1" customWidth="1"/>
    <col min="22" max="22" width="57.28515625" style="1" customWidth="1"/>
    <col min="23" max="23" width="57.42578125" style="1" customWidth="1"/>
    <col min="24" max="24" width="16.42578125" style="1" bestFit="1" customWidth="1"/>
    <col min="25" max="25" width="17.42578125" style="1" bestFit="1" customWidth="1"/>
    <col min="26" max="26" width="16.7109375" style="1" bestFit="1" customWidth="1"/>
    <col min="27" max="27" width="18.140625" style="1" bestFit="1" customWidth="1"/>
    <col min="28" max="28" width="17.42578125" style="1" bestFit="1" customWidth="1"/>
    <col min="29" max="29" width="18.140625" style="1" bestFit="1" customWidth="1"/>
    <col min="30" max="30" width="19" style="1" bestFit="1" customWidth="1"/>
    <col min="31" max="31" width="18.28515625" style="1" bestFit="1" customWidth="1"/>
    <col min="32" max="32" width="19.7109375" style="1" bestFit="1" customWidth="1"/>
    <col min="33" max="33" width="40.28515625" style="1" customWidth="1"/>
    <col min="34" max="34" width="6.42578125" style="1" bestFit="1" customWidth="1"/>
    <col min="35" max="35" width="13.42578125" style="1" bestFit="1" customWidth="1"/>
    <col min="36" max="36" width="12.140625" style="1" bestFit="1" customWidth="1"/>
    <col min="37" max="37" width="17.42578125" style="1" bestFit="1" customWidth="1"/>
    <col min="38" max="38" width="15.85546875" style="1" bestFit="1" customWidth="1"/>
    <col min="39" max="39" width="16.42578125" style="1" bestFit="1" customWidth="1"/>
    <col min="40" max="40" width="17.42578125" style="1" bestFit="1" customWidth="1"/>
    <col min="41" max="41" width="16.7109375" style="1" bestFit="1" customWidth="1"/>
    <col min="42" max="42" width="18.140625" style="1" bestFit="1" customWidth="1"/>
    <col min="43" max="43" width="17.42578125" style="1" bestFit="1" customWidth="1"/>
    <col min="44" max="44" width="18.140625" style="1" bestFit="1" customWidth="1"/>
    <col min="45" max="45" width="19" style="1" bestFit="1" customWidth="1"/>
    <col min="46" max="46" width="18.28515625" style="1" bestFit="1" customWidth="1"/>
    <col min="47" max="47" width="19.7109375" style="1" bestFit="1" customWidth="1"/>
    <col min="48" max="16384" width="8.85546875" style="1"/>
  </cols>
  <sheetData>
    <row r="2" spans="2:2" ht="23.25">
      <c r="B2" s="163" t="s">
        <v>606</v>
      </c>
    </row>
    <row r="10" spans="2:2" ht="19.5">
      <c r="B10" s="273" t="s">
        <v>527</v>
      </c>
    </row>
    <row r="16" spans="2:2" ht="15.75">
      <c r="B16" s="282"/>
    </row>
    <row r="17" spans="2:15" ht="15.75">
      <c r="B17" s="282"/>
    </row>
    <row r="26" spans="2:15" ht="15.75">
      <c r="B26" s="282"/>
    </row>
    <row r="27" spans="2:15" ht="15.75">
      <c r="B27" s="282"/>
    </row>
    <row r="28" spans="2:15" ht="15.75">
      <c r="B28" s="282"/>
    </row>
    <row r="29" spans="2:15" ht="15.75">
      <c r="B29" s="282"/>
    </row>
    <row r="31" spans="2:15">
      <c r="B31" s="263" t="s">
        <v>250</v>
      </c>
      <c r="C31" s="263" t="s">
        <v>516</v>
      </c>
      <c r="D31" s="263" t="s">
        <v>526</v>
      </c>
      <c r="E31" s="263" t="s">
        <v>501</v>
      </c>
      <c r="F31" s="263" t="s">
        <v>513</v>
      </c>
      <c r="G31" s="263" t="s">
        <v>514</v>
      </c>
      <c r="J31"/>
      <c r="K31"/>
      <c r="L31"/>
    </row>
    <row r="32" spans="2:15" ht="33" customHeight="1">
      <c r="B32" s="293" t="s">
        <v>279</v>
      </c>
      <c r="C32" s="294" t="s">
        <v>559</v>
      </c>
      <c r="D32" s="295">
        <v>1</v>
      </c>
      <c r="E32" s="295" t="s">
        <v>515</v>
      </c>
      <c r="F32" s="295" t="s">
        <v>515</v>
      </c>
      <c r="G32" s="296"/>
      <c r="I32"/>
      <c r="J32"/>
      <c r="K32"/>
      <c r="L32"/>
      <c r="O32"/>
    </row>
    <row r="33" spans="2:26" ht="39" customHeight="1">
      <c r="B33" s="293" t="s">
        <v>270</v>
      </c>
      <c r="C33" s="294" t="s">
        <v>549</v>
      </c>
      <c r="D33" s="295">
        <v>2</v>
      </c>
      <c r="E33" s="295" t="s">
        <v>515</v>
      </c>
      <c r="F33" s="295" t="s">
        <v>515</v>
      </c>
      <c r="G33" s="295" t="s">
        <v>515</v>
      </c>
      <c r="I33"/>
      <c r="J33"/>
      <c r="K33"/>
      <c r="L33"/>
      <c r="O33"/>
    </row>
    <row r="34" spans="2:26">
      <c r="B34" s="293" t="s">
        <v>268</v>
      </c>
      <c r="C34" s="294" t="s">
        <v>547</v>
      </c>
      <c r="D34" s="295">
        <v>3</v>
      </c>
      <c r="E34" s="295" t="s">
        <v>515</v>
      </c>
      <c r="F34" s="295" t="s">
        <v>515</v>
      </c>
      <c r="G34" s="295"/>
      <c r="I34"/>
      <c r="J34"/>
      <c r="K34"/>
      <c r="L34"/>
      <c r="O34"/>
    </row>
    <row r="35" spans="2:26">
      <c r="B35" s="293" t="s">
        <v>271</v>
      </c>
      <c r="C35" s="294" t="s">
        <v>550</v>
      </c>
      <c r="D35" s="295">
        <v>4</v>
      </c>
      <c r="E35" s="295" t="s">
        <v>515</v>
      </c>
      <c r="F35" s="295" t="s">
        <v>515</v>
      </c>
      <c r="G35" s="295"/>
      <c r="I35"/>
      <c r="J35"/>
      <c r="K35"/>
      <c r="L35"/>
      <c r="O35"/>
      <c r="Y35"/>
      <c r="Z35"/>
    </row>
    <row r="36" spans="2:26">
      <c r="B36" s="293" t="s">
        <v>260</v>
      </c>
      <c r="C36" s="294" t="s">
        <v>539</v>
      </c>
      <c r="D36" s="295">
        <v>5</v>
      </c>
      <c r="E36" s="295" t="s">
        <v>515</v>
      </c>
      <c r="F36" s="295" t="s">
        <v>515</v>
      </c>
      <c r="G36" s="295"/>
      <c r="I36" s="279"/>
      <c r="J36"/>
      <c r="K36"/>
      <c r="L36"/>
      <c r="O36"/>
    </row>
    <row r="37" spans="2:26">
      <c r="B37" s="293" t="s">
        <v>266</v>
      </c>
      <c r="C37" s="294" t="s">
        <v>545</v>
      </c>
      <c r="D37" s="295">
        <v>6</v>
      </c>
      <c r="E37" s="295" t="s">
        <v>515</v>
      </c>
      <c r="F37" s="295" t="s">
        <v>515</v>
      </c>
      <c r="G37" s="295"/>
      <c r="I37"/>
      <c r="J37"/>
      <c r="K37"/>
      <c r="L37"/>
      <c r="O37"/>
    </row>
    <row r="38" spans="2:26">
      <c r="B38" s="293" t="s">
        <v>277</v>
      </c>
      <c r="C38" s="294" t="s">
        <v>557</v>
      </c>
      <c r="D38" s="295">
        <v>7</v>
      </c>
      <c r="E38" s="295" t="s">
        <v>515</v>
      </c>
      <c r="F38" s="295" t="s">
        <v>515</v>
      </c>
      <c r="G38" s="295"/>
      <c r="I38"/>
      <c r="J38"/>
      <c r="K38"/>
      <c r="L38"/>
      <c r="O38"/>
    </row>
    <row r="39" spans="2:26">
      <c r="B39" s="293" t="s">
        <v>258</v>
      </c>
      <c r="C39" s="294" t="s">
        <v>537</v>
      </c>
      <c r="D39" s="295">
        <v>8</v>
      </c>
      <c r="E39" s="295" t="s">
        <v>515</v>
      </c>
      <c r="F39" s="295" t="s">
        <v>515</v>
      </c>
      <c r="G39" s="295"/>
      <c r="J39"/>
      <c r="K39"/>
      <c r="L39"/>
      <c r="O39"/>
    </row>
    <row r="40" spans="2:26">
      <c r="B40" s="293" t="s">
        <v>269</v>
      </c>
      <c r="C40" s="294" t="s">
        <v>548</v>
      </c>
      <c r="D40" s="295">
        <v>9</v>
      </c>
      <c r="E40" s="295" t="s">
        <v>515</v>
      </c>
      <c r="F40" s="295" t="s">
        <v>515</v>
      </c>
      <c r="G40" s="295"/>
      <c r="J40"/>
      <c r="K40"/>
      <c r="L40"/>
      <c r="O40"/>
    </row>
    <row r="41" spans="2:26">
      <c r="B41" s="293" t="s">
        <v>273</v>
      </c>
      <c r="C41" s="294" t="s">
        <v>553</v>
      </c>
      <c r="D41" s="295">
        <v>10</v>
      </c>
      <c r="E41" s="295" t="s">
        <v>515</v>
      </c>
      <c r="F41" s="295" t="s">
        <v>515</v>
      </c>
      <c r="G41" s="295"/>
      <c r="J41"/>
      <c r="K41"/>
      <c r="L41"/>
      <c r="O41"/>
    </row>
    <row r="42" spans="2:26">
      <c r="B42" s="293" t="s">
        <v>278</v>
      </c>
      <c r="C42" s="294" t="s">
        <v>558</v>
      </c>
      <c r="D42" s="295">
        <v>11</v>
      </c>
      <c r="E42" s="295" t="s">
        <v>515</v>
      </c>
      <c r="F42" s="295" t="s">
        <v>515</v>
      </c>
      <c r="G42" s="295" t="s">
        <v>515</v>
      </c>
      <c r="J42"/>
      <c r="K42"/>
      <c r="L42"/>
      <c r="O42"/>
    </row>
    <row r="43" spans="2:26">
      <c r="B43" s="293" t="s">
        <v>256</v>
      </c>
      <c r="C43" s="294" t="s">
        <v>535</v>
      </c>
      <c r="D43" s="295">
        <v>12</v>
      </c>
      <c r="E43" s="295" t="s">
        <v>515</v>
      </c>
      <c r="F43" s="295" t="s">
        <v>515</v>
      </c>
      <c r="G43" s="295"/>
      <c r="J43"/>
      <c r="K43"/>
      <c r="L43"/>
      <c r="O43"/>
    </row>
    <row r="44" spans="2:26">
      <c r="B44" s="293" t="s">
        <v>265</v>
      </c>
      <c r="C44" s="294" t="s">
        <v>544</v>
      </c>
      <c r="D44" s="295">
        <v>13</v>
      </c>
      <c r="E44" s="295" t="s">
        <v>515</v>
      </c>
      <c r="F44" s="295" t="s">
        <v>515</v>
      </c>
      <c r="G44" s="295"/>
      <c r="J44"/>
      <c r="K44"/>
      <c r="L44"/>
      <c r="O44"/>
    </row>
    <row r="45" spans="2:26">
      <c r="B45" s="293" t="s">
        <v>255</v>
      </c>
      <c r="C45" s="294" t="s">
        <v>534</v>
      </c>
      <c r="D45" s="295">
        <v>14</v>
      </c>
      <c r="E45" s="295" t="s">
        <v>515</v>
      </c>
      <c r="F45" s="295" t="s">
        <v>515</v>
      </c>
      <c r="G45" s="295"/>
      <c r="J45"/>
      <c r="K45"/>
      <c r="L45"/>
      <c r="O45"/>
    </row>
    <row r="46" spans="2:26">
      <c r="B46" s="293" t="s">
        <v>267</v>
      </c>
      <c r="C46" s="294" t="s">
        <v>546</v>
      </c>
      <c r="D46" s="295">
        <v>15</v>
      </c>
      <c r="E46" s="295" t="s">
        <v>515</v>
      </c>
      <c r="F46" s="295" t="s">
        <v>515</v>
      </c>
      <c r="G46" s="295"/>
      <c r="J46"/>
      <c r="K46"/>
      <c r="L46"/>
      <c r="O46"/>
    </row>
    <row r="47" spans="2:26">
      <c r="B47" s="293" t="s">
        <v>263</v>
      </c>
      <c r="C47" s="294" t="s">
        <v>542</v>
      </c>
      <c r="D47" s="295">
        <v>16</v>
      </c>
      <c r="E47" s="295" t="s">
        <v>515</v>
      </c>
      <c r="F47" s="295" t="s">
        <v>515</v>
      </c>
      <c r="G47" s="295" t="s">
        <v>515</v>
      </c>
      <c r="J47"/>
      <c r="K47"/>
      <c r="L47"/>
      <c r="O47"/>
    </row>
    <row r="48" spans="2:26">
      <c r="B48" s="293" t="s">
        <v>264</v>
      </c>
      <c r="C48" s="294" t="s">
        <v>543</v>
      </c>
      <c r="D48" s="295">
        <v>17</v>
      </c>
      <c r="E48" s="295" t="s">
        <v>515</v>
      </c>
      <c r="F48" s="295" t="s">
        <v>515</v>
      </c>
      <c r="G48" s="295" t="s">
        <v>515</v>
      </c>
      <c r="L48"/>
      <c r="O48"/>
    </row>
    <row r="49" spans="2:15">
      <c r="B49" s="293" t="s">
        <v>261</v>
      </c>
      <c r="C49" s="294" t="s">
        <v>540</v>
      </c>
      <c r="D49" s="295">
        <v>18</v>
      </c>
      <c r="E49" s="295" t="s">
        <v>515</v>
      </c>
      <c r="F49" s="295" t="s">
        <v>515</v>
      </c>
      <c r="G49" s="295" t="s">
        <v>515</v>
      </c>
      <c r="L49"/>
      <c r="O49"/>
    </row>
    <row r="50" spans="2:15">
      <c r="B50" s="293" t="s">
        <v>262</v>
      </c>
      <c r="C50" s="294" t="s">
        <v>541</v>
      </c>
      <c r="D50" s="295">
        <v>19</v>
      </c>
      <c r="E50" s="295" t="s">
        <v>515</v>
      </c>
      <c r="F50" s="295" t="s">
        <v>515</v>
      </c>
      <c r="G50" s="295"/>
      <c r="L50"/>
      <c r="O50"/>
    </row>
    <row r="51" spans="2:15">
      <c r="B51" s="293" t="s">
        <v>254</v>
      </c>
      <c r="C51" s="294" t="s">
        <v>533</v>
      </c>
      <c r="D51" s="295">
        <v>20</v>
      </c>
      <c r="E51" s="295" t="s">
        <v>515</v>
      </c>
      <c r="F51" s="295" t="s">
        <v>515</v>
      </c>
      <c r="G51" s="295"/>
      <c r="L51"/>
      <c r="O51"/>
    </row>
    <row r="52" spans="2:15">
      <c r="B52" s="295" t="s">
        <v>252</v>
      </c>
      <c r="C52" s="281" t="s">
        <v>531</v>
      </c>
      <c r="D52" s="295">
        <v>21</v>
      </c>
      <c r="E52" s="295" t="s">
        <v>515</v>
      </c>
      <c r="F52" s="295" t="s">
        <v>515</v>
      </c>
      <c r="G52" s="295"/>
      <c r="L52"/>
      <c r="O52"/>
    </row>
    <row r="53" spans="2:15" ht="56.1" customHeight="1">
      <c r="B53" s="293" t="s">
        <v>528</v>
      </c>
      <c r="C53" s="294" t="s">
        <v>551</v>
      </c>
      <c r="D53" s="295">
        <v>22</v>
      </c>
      <c r="E53" s="295" t="s">
        <v>515</v>
      </c>
      <c r="F53" s="295" t="s">
        <v>515</v>
      </c>
      <c r="G53" s="295"/>
      <c r="J53"/>
      <c r="K53"/>
      <c r="L53"/>
      <c r="O53"/>
    </row>
    <row r="54" spans="2:15">
      <c r="B54" s="293" t="s">
        <v>257</v>
      </c>
      <c r="C54" s="294" t="s">
        <v>536</v>
      </c>
      <c r="D54" s="295">
        <v>23</v>
      </c>
      <c r="E54" s="295" t="s">
        <v>515</v>
      </c>
      <c r="F54" s="295" t="s">
        <v>515</v>
      </c>
      <c r="G54" s="295" t="s">
        <v>515</v>
      </c>
      <c r="J54"/>
      <c r="K54"/>
      <c r="L54"/>
      <c r="O54"/>
    </row>
    <row r="55" spans="2:15">
      <c r="B55" s="293" t="s">
        <v>253</v>
      </c>
      <c r="C55" s="294" t="s">
        <v>532</v>
      </c>
      <c r="D55" s="295">
        <v>24</v>
      </c>
      <c r="E55" s="295" t="s">
        <v>515</v>
      </c>
      <c r="F55" s="295" t="s">
        <v>515</v>
      </c>
      <c r="G55" s="295"/>
      <c r="J55"/>
      <c r="K55"/>
      <c r="L55"/>
      <c r="O55"/>
    </row>
    <row r="56" spans="2:15" ht="44.1" customHeight="1">
      <c r="B56" s="293" t="s">
        <v>272</v>
      </c>
      <c r="C56" s="294" t="s">
        <v>552</v>
      </c>
      <c r="D56" s="295">
        <v>25</v>
      </c>
      <c r="E56" s="295" t="s">
        <v>515</v>
      </c>
      <c r="F56" s="295" t="s">
        <v>515</v>
      </c>
      <c r="G56" s="295"/>
      <c r="J56"/>
      <c r="K56"/>
      <c r="L56"/>
      <c r="O56"/>
    </row>
    <row r="57" spans="2:15" ht="30">
      <c r="B57" s="293" t="s">
        <v>274</v>
      </c>
      <c r="C57" s="294" t="s">
        <v>554</v>
      </c>
      <c r="D57" s="295">
        <v>26</v>
      </c>
      <c r="E57" s="295" t="s">
        <v>515</v>
      </c>
      <c r="F57" s="295" t="s">
        <v>515</v>
      </c>
      <c r="G57" s="295"/>
      <c r="J57"/>
      <c r="K57"/>
      <c r="L57"/>
      <c r="O57"/>
    </row>
    <row r="58" spans="2:15">
      <c r="B58" s="293" t="s">
        <v>259</v>
      </c>
      <c r="C58" s="294" t="s">
        <v>538</v>
      </c>
      <c r="D58" s="295">
        <v>27</v>
      </c>
      <c r="E58" s="295" t="s">
        <v>515</v>
      </c>
      <c r="F58" s="295" t="s">
        <v>515</v>
      </c>
      <c r="G58" s="295" t="s">
        <v>515</v>
      </c>
      <c r="J58"/>
      <c r="K58"/>
      <c r="L58"/>
      <c r="O58"/>
    </row>
    <row r="59" spans="2:15">
      <c r="B59" s="274"/>
      <c r="C59" s="274"/>
      <c r="D59" s="264"/>
      <c r="E59" s="264"/>
      <c r="F59" s="264"/>
      <c r="G59" s="276"/>
      <c r="H59" s="17"/>
      <c r="J59"/>
      <c r="K59"/>
      <c r="L59"/>
    </row>
    <row r="60" spans="2:15">
      <c r="B60" s="274"/>
      <c r="C60" s="274"/>
      <c r="D60" s="264"/>
      <c r="E60" s="264"/>
      <c r="F60" s="264"/>
      <c r="G60" s="276"/>
      <c r="H60" s="17"/>
      <c r="J60"/>
      <c r="K60"/>
      <c r="L60"/>
    </row>
    <row r="61" spans="2:15">
      <c r="B61" s="274"/>
      <c r="C61" s="274"/>
      <c r="D61" s="264"/>
      <c r="E61" s="264"/>
      <c r="F61" s="264"/>
      <c r="G61" s="276"/>
      <c r="H61" s="17"/>
      <c r="J61"/>
      <c r="K61"/>
      <c r="L61"/>
    </row>
    <row r="62" spans="2:15">
      <c r="B62" s="274"/>
      <c r="C62" s="274"/>
      <c r="D62" s="264"/>
      <c r="E62" s="264"/>
      <c r="F62" s="264"/>
      <c r="G62" s="276"/>
      <c r="H62" s="17"/>
      <c r="J62"/>
      <c r="K62"/>
      <c r="L62"/>
    </row>
    <row r="63" spans="2:15">
      <c r="B63" s="274"/>
      <c r="C63" s="274"/>
      <c r="D63" s="264"/>
      <c r="E63" s="264"/>
      <c r="F63" s="264"/>
      <c r="G63" s="276"/>
      <c r="H63" s="17"/>
      <c r="J63"/>
      <c r="K63"/>
      <c r="L63"/>
    </row>
    <row r="64" spans="2:15">
      <c r="B64" s="274"/>
      <c r="C64" s="274"/>
      <c r="D64" s="264"/>
      <c r="E64" s="264"/>
      <c r="F64" s="264"/>
      <c r="G64" s="276"/>
      <c r="H64" s="17"/>
      <c r="J64"/>
      <c r="K64"/>
      <c r="L64"/>
    </row>
    <row r="65" spans="2:12">
      <c r="B65" s="274"/>
      <c r="C65" s="274"/>
      <c r="D65" s="264"/>
      <c r="E65" s="264"/>
      <c r="F65" s="264"/>
      <c r="G65" s="276"/>
      <c r="H65" s="17"/>
      <c r="J65"/>
      <c r="K65"/>
      <c r="L65"/>
    </row>
    <row r="66" spans="2:12">
      <c r="B66" s="274"/>
      <c r="C66" s="274"/>
      <c r="D66" s="264"/>
      <c r="E66" s="264"/>
      <c r="F66" s="264"/>
      <c r="G66" s="276"/>
      <c r="H66" s="17"/>
      <c r="J66"/>
      <c r="K66"/>
      <c r="L66"/>
    </row>
    <row r="67" spans="2:12">
      <c r="B67" s="274"/>
      <c r="C67" s="274"/>
      <c r="D67" s="264"/>
      <c r="E67" s="264"/>
      <c r="F67" s="264"/>
      <c r="G67" s="276"/>
      <c r="H67" s="17"/>
      <c r="J67"/>
      <c r="K67"/>
      <c r="L67"/>
    </row>
    <row r="68" spans="2:12">
      <c r="B68" s="274"/>
      <c r="C68" s="274"/>
      <c r="D68" s="264"/>
      <c r="E68" s="264"/>
      <c r="F68" s="264"/>
      <c r="G68" s="276"/>
      <c r="H68" s="17"/>
      <c r="J68"/>
      <c r="K68"/>
      <c r="L68"/>
    </row>
    <row r="69" spans="2:12">
      <c r="B69" s="274"/>
      <c r="C69" s="274"/>
      <c r="D69" s="264"/>
      <c r="E69" s="264"/>
      <c r="F69" s="264"/>
      <c r="G69" s="276"/>
      <c r="H69" s="17"/>
      <c r="J69"/>
      <c r="K69"/>
      <c r="L69"/>
    </row>
    <row r="70" spans="2:12">
      <c r="B70" s="274"/>
      <c r="C70" s="274"/>
      <c r="D70" s="264"/>
      <c r="E70" s="264"/>
      <c r="F70" s="264"/>
      <c r="G70" s="276"/>
      <c r="H70" s="17"/>
      <c r="J70"/>
      <c r="K70"/>
      <c r="L70"/>
    </row>
    <row r="71" spans="2:12">
      <c r="B71" s="274"/>
      <c r="C71" s="274"/>
      <c r="D71" s="264"/>
      <c r="E71" s="264"/>
      <c r="F71" s="264"/>
      <c r="G71" s="276"/>
      <c r="H71" s="17"/>
      <c r="J71"/>
      <c r="K71"/>
      <c r="L71"/>
    </row>
    <row r="72" spans="2:12">
      <c r="B72" s="274"/>
      <c r="C72" s="274"/>
      <c r="D72" s="264"/>
      <c r="E72" s="264"/>
      <c r="F72" s="264"/>
      <c r="G72" s="276"/>
      <c r="H72" s="17"/>
      <c r="J72"/>
      <c r="K72"/>
      <c r="L72"/>
    </row>
    <row r="73" spans="2:12">
      <c r="B73" s="274"/>
      <c r="C73" s="274"/>
      <c r="D73" s="264"/>
      <c r="E73" s="264"/>
      <c r="F73" s="264"/>
      <c r="G73" s="276"/>
      <c r="H73" s="17"/>
      <c r="J73"/>
      <c r="K73"/>
      <c r="L73"/>
    </row>
    <row r="74" spans="2:12">
      <c r="B74" s="274"/>
      <c r="C74" s="274"/>
      <c r="D74" s="264"/>
      <c r="E74" s="264"/>
      <c r="F74" s="264"/>
      <c r="G74" s="276"/>
      <c r="H74" s="17"/>
      <c r="J74"/>
      <c r="K74"/>
      <c r="L74"/>
    </row>
    <row r="75" spans="2:12">
      <c r="B75" s="274"/>
      <c r="C75" s="274"/>
      <c r="D75" s="264"/>
      <c r="E75" s="264"/>
      <c r="F75" s="264"/>
      <c r="G75" s="276"/>
      <c r="H75" s="17"/>
      <c r="J75"/>
      <c r="K75"/>
      <c r="L75"/>
    </row>
    <row r="76" spans="2:12">
      <c r="B76" s="274"/>
      <c r="C76" s="274"/>
      <c r="D76" s="264"/>
      <c r="E76" s="264"/>
      <c r="F76" s="264"/>
      <c r="G76" s="276"/>
      <c r="H76" s="17"/>
      <c r="J76"/>
      <c r="K76"/>
      <c r="L76"/>
    </row>
    <row r="77" spans="2:12">
      <c r="B77" s="274"/>
      <c r="C77" s="274"/>
      <c r="D77" s="264"/>
      <c r="E77" s="264"/>
      <c r="F77" s="264"/>
      <c r="G77" s="276"/>
      <c r="H77" s="17"/>
      <c r="J77"/>
      <c r="K77"/>
      <c r="L77"/>
    </row>
    <row r="78" spans="2:12">
      <c r="B78" s="274"/>
      <c r="C78" s="274"/>
      <c r="D78" s="264"/>
      <c r="E78" s="264"/>
      <c r="F78" s="264"/>
      <c r="G78" s="276"/>
      <c r="H78" s="17"/>
      <c r="J78"/>
      <c r="K78"/>
      <c r="L78"/>
    </row>
    <row r="79" spans="2:12">
      <c r="B79" s="274"/>
      <c r="C79" s="274"/>
      <c r="D79" s="264"/>
      <c r="E79" s="264"/>
      <c r="F79" s="264"/>
      <c r="G79" s="276"/>
      <c r="H79" s="17"/>
      <c r="J79"/>
      <c r="K79"/>
      <c r="L79"/>
    </row>
    <row r="80" spans="2:12">
      <c r="B80" s="274"/>
      <c r="C80" s="274"/>
      <c r="D80" s="264"/>
      <c r="E80" s="264"/>
      <c r="F80" s="264"/>
      <c r="G80" s="276"/>
      <c r="H80" s="17"/>
      <c r="J80"/>
      <c r="K80"/>
      <c r="L80"/>
    </row>
    <row r="81" spans="2:20">
      <c r="J81"/>
      <c r="K81"/>
      <c r="L81"/>
      <c r="O81"/>
    </row>
    <row r="82" spans="2:20">
      <c r="B82" s="263" t="s">
        <v>3</v>
      </c>
      <c r="C82" s="263" t="s">
        <v>619</v>
      </c>
      <c r="D82" s="263" t="s">
        <v>623</v>
      </c>
      <c r="E82" s="263" t="s">
        <v>501</v>
      </c>
      <c r="F82" s="263" t="s">
        <v>513</v>
      </c>
      <c r="G82" s="263" t="s">
        <v>514</v>
      </c>
      <c r="J82"/>
      <c r="K82"/>
      <c r="L82"/>
    </row>
    <row r="83" spans="2:20" ht="42" customHeight="1">
      <c r="B83" s="281" t="s">
        <v>597</v>
      </c>
      <c r="C83" s="295" t="s">
        <v>620</v>
      </c>
      <c r="D83" s="295">
        <v>1</v>
      </c>
      <c r="E83" s="308">
        <v>63151268</v>
      </c>
      <c r="F83" s="308">
        <v>53139704</v>
      </c>
      <c r="G83" s="308">
        <v>10011564</v>
      </c>
      <c r="J83"/>
      <c r="K83"/>
      <c r="L83"/>
      <c r="M83"/>
      <c r="N83"/>
      <c r="O83"/>
      <c r="P83"/>
      <c r="Q83"/>
      <c r="R83"/>
      <c r="S83"/>
      <c r="T83"/>
    </row>
    <row r="84" spans="2:20" ht="45" customHeight="1">
      <c r="B84" s="281" t="s">
        <v>597</v>
      </c>
      <c r="C84" s="295" t="s">
        <v>621</v>
      </c>
      <c r="D84" s="295">
        <v>2</v>
      </c>
      <c r="E84" s="308">
        <v>34083084</v>
      </c>
      <c r="F84" s="308">
        <v>30308232</v>
      </c>
      <c r="G84" s="308">
        <v>3774852</v>
      </c>
      <c r="J84"/>
      <c r="K84"/>
      <c r="L84"/>
      <c r="M84"/>
      <c r="N84"/>
      <c r="O84"/>
      <c r="P84"/>
      <c r="Q84"/>
      <c r="R84"/>
      <c r="S84"/>
      <c r="T84"/>
    </row>
    <row r="85" spans="2:20" ht="45" customHeight="1">
      <c r="B85" s="281" t="s">
        <v>597</v>
      </c>
      <c r="C85" s="295" t="s">
        <v>622</v>
      </c>
      <c r="D85" s="295">
        <v>3</v>
      </c>
      <c r="E85" s="308">
        <v>104109324</v>
      </c>
      <c r="F85" s="308">
        <v>85025350</v>
      </c>
      <c r="G85" s="308">
        <v>19083974</v>
      </c>
      <c r="J85"/>
      <c r="K85"/>
      <c r="L85"/>
      <c r="M85"/>
      <c r="N85"/>
      <c r="O85"/>
      <c r="P85"/>
      <c r="Q85"/>
      <c r="R85"/>
      <c r="S85"/>
      <c r="T85"/>
    </row>
    <row r="86" spans="2:20">
      <c r="J86"/>
      <c r="K86"/>
      <c r="L86"/>
      <c r="M86"/>
      <c r="N86"/>
      <c r="O86"/>
      <c r="P86"/>
      <c r="Q86"/>
      <c r="R86"/>
      <c r="S86"/>
    </row>
    <row r="87" spans="2:20">
      <c r="B87" s="265"/>
      <c r="I87"/>
      <c r="J87"/>
      <c r="K87"/>
      <c r="L87"/>
      <c r="M87"/>
      <c r="N87"/>
      <c r="O87"/>
      <c r="P87"/>
    </row>
    <row r="88" spans="2:20" ht="19.5">
      <c r="B88" s="273" t="s">
        <v>627</v>
      </c>
      <c r="I88"/>
      <c r="J88"/>
      <c r="K88"/>
      <c r="L88"/>
      <c r="M88"/>
      <c r="N88"/>
      <c r="O88"/>
      <c r="P88"/>
    </row>
    <row r="89" spans="2:20" ht="15.75">
      <c r="B89" s="309"/>
      <c r="I89"/>
      <c r="J89"/>
      <c r="K89"/>
      <c r="L89"/>
      <c r="M89"/>
      <c r="N89"/>
      <c r="O89"/>
      <c r="P89"/>
    </row>
    <row r="90" spans="2:20" ht="15.75">
      <c r="B90" s="309"/>
      <c r="I90"/>
      <c r="J90"/>
      <c r="K90"/>
      <c r="L90"/>
      <c r="M90"/>
      <c r="N90"/>
      <c r="O90"/>
      <c r="P90"/>
    </row>
    <row r="91" spans="2:20" ht="15.75">
      <c r="B91" s="309"/>
      <c r="I91"/>
      <c r="J91"/>
      <c r="K91"/>
      <c r="L91"/>
      <c r="M91"/>
      <c r="N91"/>
      <c r="O91"/>
      <c r="P91"/>
    </row>
    <row r="92" spans="2:20" ht="15.75">
      <c r="B92" s="309"/>
      <c r="I92"/>
      <c r="J92"/>
      <c r="K92"/>
      <c r="L92"/>
      <c r="M92"/>
      <c r="N92"/>
      <c r="O92"/>
      <c r="P92"/>
    </row>
    <row r="93" spans="2:20" ht="15.75">
      <c r="B93" s="309"/>
      <c r="I93"/>
      <c r="J93"/>
      <c r="K93"/>
      <c r="L93"/>
      <c r="M93"/>
      <c r="N93"/>
      <c r="O93"/>
      <c r="P93"/>
    </row>
    <row r="94" spans="2:20" ht="15.75">
      <c r="B94" s="309"/>
      <c r="I94"/>
      <c r="J94"/>
      <c r="K94"/>
      <c r="L94"/>
      <c r="M94"/>
      <c r="N94"/>
      <c r="O94"/>
      <c r="P94"/>
    </row>
    <row r="95" spans="2:20" ht="15.75">
      <c r="B95" s="309"/>
      <c r="I95"/>
      <c r="J95"/>
      <c r="K95"/>
      <c r="L95"/>
      <c r="M95"/>
      <c r="N95"/>
      <c r="O95"/>
      <c r="P95"/>
    </row>
    <row r="96" spans="2:20" ht="15.75">
      <c r="B96" s="309"/>
      <c r="I96"/>
      <c r="J96"/>
      <c r="K96"/>
      <c r="L96"/>
      <c r="M96"/>
      <c r="N96"/>
      <c r="O96"/>
      <c r="P96"/>
    </row>
    <row r="97" spans="2:16" ht="15.75">
      <c r="B97" s="309"/>
      <c r="I97"/>
      <c r="J97"/>
      <c r="K97"/>
      <c r="L97"/>
      <c r="M97"/>
      <c r="N97"/>
      <c r="O97"/>
      <c r="P97"/>
    </row>
    <row r="98" spans="2:16" ht="15.75">
      <c r="B98" s="309"/>
      <c r="I98"/>
      <c r="J98"/>
      <c r="K98"/>
      <c r="L98"/>
      <c r="M98"/>
      <c r="N98"/>
      <c r="O98"/>
      <c r="P98"/>
    </row>
    <row r="99" spans="2:16" ht="15.75">
      <c r="B99" s="309"/>
      <c r="I99"/>
      <c r="J99"/>
      <c r="K99"/>
      <c r="L99"/>
      <c r="M99"/>
      <c r="N99"/>
      <c r="O99"/>
      <c r="P99"/>
    </row>
    <row r="100" spans="2:16" ht="15.75">
      <c r="B100" s="309"/>
      <c r="I100"/>
      <c r="J100"/>
      <c r="K100"/>
      <c r="L100"/>
      <c r="M100"/>
      <c r="N100"/>
      <c r="O100"/>
      <c r="P100"/>
    </row>
    <row r="101" spans="2:16" ht="15.75">
      <c r="B101" s="309"/>
      <c r="I101"/>
      <c r="J101"/>
      <c r="K101"/>
      <c r="L101"/>
      <c r="M101"/>
      <c r="N101"/>
      <c r="O101"/>
      <c r="P101"/>
    </row>
    <row r="102" spans="2:16" ht="15.75">
      <c r="B102" s="309"/>
      <c r="I102"/>
      <c r="J102"/>
      <c r="K102"/>
      <c r="L102"/>
      <c r="M102"/>
      <c r="N102"/>
      <c r="O102"/>
      <c r="P102"/>
    </row>
    <row r="103" spans="2:16" ht="15.75">
      <c r="B103" s="309"/>
      <c r="I103"/>
      <c r="J103"/>
      <c r="K103"/>
      <c r="L103"/>
      <c r="M103"/>
      <c r="N103"/>
      <c r="O103"/>
      <c r="P103"/>
    </row>
    <row r="104" spans="2:16" ht="15.75">
      <c r="B104" s="309"/>
      <c r="I104"/>
      <c r="J104"/>
      <c r="K104"/>
      <c r="L104"/>
      <c r="M104"/>
      <c r="N104"/>
      <c r="O104"/>
      <c r="P104"/>
    </row>
    <row r="105" spans="2:16" ht="15.75">
      <c r="B105" s="309"/>
      <c r="I105"/>
      <c r="J105"/>
      <c r="K105"/>
      <c r="L105"/>
      <c r="M105"/>
      <c r="N105"/>
      <c r="O105"/>
      <c r="P105"/>
    </row>
    <row r="106" spans="2:16" ht="15.75">
      <c r="B106" s="309"/>
      <c r="I106"/>
      <c r="J106"/>
      <c r="K106"/>
      <c r="L106"/>
      <c r="M106"/>
      <c r="N106"/>
      <c r="O106"/>
      <c r="P106"/>
    </row>
    <row r="107" spans="2:16" ht="15.75">
      <c r="B107" s="309"/>
      <c r="I107"/>
      <c r="J107"/>
      <c r="K107"/>
      <c r="L107"/>
      <c r="M107"/>
      <c r="N107"/>
      <c r="O107"/>
      <c r="P107"/>
    </row>
    <row r="108" spans="2:16" ht="15.75">
      <c r="B108" s="309"/>
      <c r="I108"/>
      <c r="J108"/>
      <c r="K108"/>
      <c r="L108"/>
      <c r="M108"/>
      <c r="N108"/>
      <c r="O108"/>
      <c r="P108"/>
    </row>
    <row r="109" spans="2:16" ht="15.75">
      <c r="B109" s="309"/>
      <c r="I109"/>
      <c r="J109"/>
      <c r="K109"/>
      <c r="L109"/>
      <c r="M109"/>
      <c r="N109"/>
      <c r="O109"/>
      <c r="P109"/>
    </row>
    <row r="110" spans="2:16" ht="15.75">
      <c r="B110" s="309"/>
      <c r="I110"/>
      <c r="J110"/>
      <c r="K110"/>
      <c r="L110"/>
      <c r="M110"/>
      <c r="N110"/>
      <c r="O110"/>
      <c r="P110"/>
    </row>
    <row r="111" spans="2:16" ht="15.75">
      <c r="B111" s="309"/>
      <c r="I111"/>
      <c r="J111"/>
      <c r="K111"/>
      <c r="L111"/>
      <c r="M111"/>
      <c r="N111"/>
      <c r="O111"/>
      <c r="P111"/>
    </row>
    <row r="112" spans="2:16" ht="15.75">
      <c r="B112" s="309"/>
      <c r="I112"/>
      <c r="J112"/>
      <c r="K112"/>
      <c r="L112"/>
      <c r="M112"/>
      <c r="N112"/>
      <c r="O112"/>
      <c r="P112"/>
    </row>
    <row r="113" spans="2:19" ht="15.75">
      <c r="B113" s="309"/>
      <c r="I113"/>
      <c r="J113"/>
      <c r="K113"/>
      <c r="L113"/>
      <c r="M113"/>
      <c r="N113"/>
      <c r="O113"/>
      <c r="P113"/>
    </row>
    <row r="114" spans="2:19" ht="15.75">
      <c r="B114" s="309"/>
      <c r="I114"/>
      <c r="J114"/>
      <c r="K114"/>
      <c r="L114"/>
      <c r="M114"/>
      <c r="N114"/>
      <c r="O114"/>
      <c r="P114"/>
    </row>
    <row r="115" spans="2:19" ht="15.75">
      <c r="B115" s="309"/>
      <c r="I115"/>
      <c r="J115"/>
      <c r="K115"/>
      <c r="L115"/>
      <c r="M115"/>
      <c r="N115"/>
      <c r="O115"/>
      <c r="P115"/>
    </row>
    <row r="116" spans="2:19" ht="15.75">
      <c r="B116" s="309"/>
      <c r="I116"/>
      <c r="J116"/>
      <c r="K116"/>
      <c r="L116"/>
      <c r="M116"/>
      <c r="N116"/>
      <c r="O116"/>
      <c r="P116"/>
    </row>
    <row r="117" spans="2:19" ht="15.75">
      <c r="B117" s="309"/>
      <c r="I117"/>
      <c r="J117"/>
      <c r="K117"/>
      <c r="L117"/>
      <c r="M117"/>
      <c r="N117"/>
      <c r="O117"/>
      <c r="P117"/>
    </row>
    <row r="118" spans="2:19" ht="15.75">
      <c r="B118" s="309"/>
      <c r="I118"/>
      <c r="J118"/>
      <c r="K118"/>
      <c r="L118"/>
      <c r="M118"/>
      <c r="N118"/>
      <c r="O118"/>
      <c r="P118"/>
    </row>
    <row r="119" spans="2:19" ht="15.75">
      <c r="B119" s="309"/>
      <c r="I119"/>
      <c r="J119"/>
      <c r="K119"/>
      <c r="L119"/>
      <c r="M119"/>
      <c r="N119"/>
      <c r="O119"/>
      <c r="P119"/>
    </row>
    <row r="120" spans="2:19" ht="18.75">
      <c r="B120" s="83"/>
      <c r="J120"/>
      <c r="K120"/>
      <c r="L120"/>
      <c r="M120"/>
      <c r="N120"/>
      <c r="O120"/>
      <c r="P120"/>
      <c r="Q120"/>
      <c r="R120"/>
      <c r="S120"/>
    </row>
    <row r="121" spans="2:19" ht="19.5">
      <c r="B121" s="273" t="s">
        <v>598</v>
      </c>
      <c r="J121"/>
      <c r="K121"/>
      <c r="L121"/>
      <c r="M121"/>
      <c r="N121"/>
      <c r="O121"/>
      <c r="P121"/>
      <c r="Q121"/>
      <c r="R121"/>
      <c r="S121"/>
    </row>
    <row r="122" spans="2:19" ht="18.75">
      <c r="B122" s="83"/>
      <c r="J122"/>
      <c r="K122"/>
      <c r="L122"/>
      <c r="M122"/>
      <c r="N122"/>
      <c r="O122"/>
      <c r="P122"/>
      <c r="Q122"/>
      <c r="R122"/>
      <c r="S122"/>
    </row>
    <row r="123" spans="2:19" ht="18.75">
      <c r="B123" s="83"/>
      <c r="J123"/>
      <c r="K123"/>
      <c r="L123"/>
      <c r="M123"/>
      <c r="N123"/>
      <c r="O123"/>
      <c r="P123"/>
      <c r="Q123"/>
      <c r="R123"/>
      <c r="S123"/>
    </row>
    <row r="124" spans="2:19" ht="18.75">
      <c r="B124" s="83"/>
      <c r="J124"/>
      <c r="K124"/>
      <c r="L124"/>
      <c r="M124"/>
      <c r="N124"/>
      <c r="O124"/>
      <c r="P124"/>
      <c r="Q124"/>
      <c r="R124"/>
      <c r="S124"/>
    </row>
    <row r="125" spans="2:19" ht="18.75">
      <c r="B125" s="83"/>
      <c r="J125"/>
      <c r="K125"/>
      <c r="L125"/>
      <c r="M125"/>
      <c r="N125"/>
      <c r="O125"/>
      <c r="P125"/>
      <c r="Q125"/>
      <c r="R125"/>
      <c r="S125"/>
    </row>
    <row r="126" spans="2:19" ht="18.75">
      <c r="B126" s="83"/>
      <c r="J126"/>
      <c r="K126"/>
      <c r="L126"/>
      <c r="M126"/>
      <c r="N126"/>
      <c r="O126"/>
      <c r="P126"/>
      <c r="Q126"/>
      <c r="R126"/>
      <c r="S126"/>
    </row>
    <row r="127" spans="2:19" ht="18.75">
      <c r="B127" s="83"/>
      <c r="J127"/>
      <c r="K127"/>
      <c r="L127"/>
      <c r="M127"/>
      <c r="N127"/>
      <c r="O127"/>
      <c r="P127"/>
      <c r="Q127"/>
      <c r="R127"/>
      <c r="S127"/>
    </row>
    <row r="129" spans="2:27" ht="84.95" customHeight="1">
      <c r="B129" s="245" t="s">
        <v>499</v>
      </c>
      <c r="C129" s="245" t="s">
        <v>120</v>
      </c>
      <c r="D129" s="245" t="s">
        <v>500</v>
      </c>
      <c r="E129" s="245" t="s">
        <v>198</v>
      </c>
      <c r="F129" s="245" t="s">
        <v>280</v>
      </c>
      <c r="G129" s="246" t="s">
        <v>599</v>
      </c>
      <c r="H129" s="246" t="s">
        <v>600</v>
      </c>
      <c r="I129" s="246" t="s">
        <v>601</v>
      </c>
      <c r="J129" s="246" t="s">
        <v>506</v>
      </c>
      <c r="K129" s="246" t="s">
        <v>602</v>
      </c>
      <c r="L129" s="246" t="s">
        <v>603</v>
      </c>
      <c r="M129" s="246" t="s">
        <v>604</v>
      </c>
      <c r="N129" s="246" t="s">
        <v>594</v>
      </c>
      <c r="O129" s="247" t="s">
        <v>595</v>
      </c>
      <c r="P129" s="247" t="s">
        <v>596</v>
      </c>
      <c r="Q129" s="246" t="s">
        <v>364</v>
      </c>
      <c r="R129" s="246" t="s">
        <v>631</v>
      </c>
      <c r="S129" s="246" t="s">
        <v>632</v>
      </c>
      <c r="T129" s="248" t="s">
        <v>633</v>
      </c>
      <c r="U129"/>
      <c r="V129"/>
      <c r="W129"/>
      <c r="X129"/>
      <c r="Z129"/>
      <c r="AA129"/>
    </row>
    <row r="130" spans="2:27">
      <c r="B130" s="249" t="s">
        <v>501</v>
      </c>
      <c r="C130" s="250" t="s">
        <v>242</v>
      </c>
      <c r="D130" s="250" t="s">
        <v>502</v>
      </c>
      <c r="E130" s="251">
        <v>1</v>
      </c>
      <c r="F130" s="251" t="s">
        <v>281</v>
      </c>
      <c r="G130" s="253">
        <v>63466799</v>
      </c>
      <c r="H130" s="253">
        <v>34253341</v>
      </c>
      <c r="I130" s="253">
        <v>104629575</v>
      </c>
      <c r="J130" s="252">
        <v>-6.6000000000000003E-2</v>
      </c>
      <c r="K130" s="253">
        <v>56639973</v>
      </c>
      <c r="L130" s="253">
        <v>30010649</v>
      </c>
      <c r="M130" s="253">
        <v>94421417</v>
      </c>
      <c r="N130" s="253">
        <v>6826826</v>
      </c>
      <c r="O130" s="253">
        <v>4242692</v>
      </c>
      <c r="P130" s="253">
        <v>10208158</v>
      </c>
      <c r="Q130" s="253">
        <v>977845</v>
      </c>
      <c r="R130" s="285">
        <v>6981.5009765625</v>
      </c>
      <c r="S130" s="285">
        <v>4338.818359375</v>
      </c>
      <c r="T130" s="286">
        <v>10439.443359375</v>
      </c>
      <c r="U130"/>
      <c r="V130"/>
      <c r="W130"/>
      <c r="X130"/>
      <c r="Z130"/>
      <c r="AA130"/>
    </row>
    <row r="131" spans="2:27">
      <c r="B131" s="249" t="s">
        <v>501</v>
      </c>
      <c r="C131" s="250" t="s">
        <v>242</v>
      </c>
      <c r="D131" s="250" t="s">
        <v>502</v>
      </c>
      <c r="E131" s="251">
        <v>2</v>
      </c>
      <c r="F131" s="251" t="s">
        <v>281</v>
      </c>
      <c r="G131" s="253">
        <v>63784156</v>
      </c>
      <c r="H131" s="253">
        <v>34424628</v>
      </c>
      <c r="I131" s="253">
        <v>105152764</v>
      </c>
      <c r="J131" s="252">
        <v>-6.6000000000000003E-2</v>
      </c>
      <c r="K131" s="253">
        <v>53165739</v>
      </c>
      <c r="L131" s="253">
        <v>28281993</v>
      </c>
      <c r="M131" s="253">
        <v>88677175</v>
      </c>
      <c r="N131" s="253">
        <v>10618417</v>
      </c>
      <c r="O131" s="253">
        <v>6142635</v>
      </c>
      <c r="P131" s="253">
        <v>16475589</v>
      </c>
      <c r="Q131" s="253">
        <v>1239352</v>
      </c>
      <c r="R131" s="285">
        <v>8567.716796875</v>
      </c>
      <c r="S131" s="285">
        <v>4956.328125</v>
      </c>
      <c r="T131" s="286">
        <v>13293.712890625</v>
      </c>
      <c r="U131"/>
      <c r="V131"/>
      <c r="W131"/>
      <c r="X131"/>
      <c r="Z131"/>
      <c r="AA131"/>
    </row>
    <row r="132" spans="2:27">
      <c r="B132" s="249" t="s">
        <v>501</v>
      </c>
      <c r="C132" s="250" t="s">
        <v>242</v>
      </c>
      <c r="D132" s="250" t="s">
        <v>502</v>
      </c>
      <c r="E132" s="251">
        <v>3</v>
      </c>
      <c r="F132" s="251" t="s">
        <v>281</v>
      </c>
      <c r="G132" s="253">
        <v>64103066</v>
      </c>
      <c r="H132" s="253">
        <v>34596732</v>
      </c>
      <c r="I132" s="253">
        <v>105678517</v>
      </c>
      <c r="J132" s="252">
        <v>-6.6000000000000003E-2</v>
      </c>
      <c r="K132" s="253">
        <v>49960758</v>
      </c>
      <c r="L132" s="253">
        <v>26563028</v>
      </c>
      <c r="M132" s="253">
        <v>83280339</v>
      </c>
      <c r="N132" s="253">
        <v>14142308</v>
      </c>
      <c r="O132" s="253">
        <v>8033704</v>
      </c>
      <c r="P132" s="253">
        <v>22398178</v>
      </c>
      <c r="Q132" s="253">
        <v>837959</v>
      </c>
      <c r="R132" s="285">
        <v>16877.087890625</v>
      </c>
      <c r="S132" s="285">
        <v>9587.2275390625</v>
      </c>
      <c r="T132" s="286">
        <v>26729.4453125</v>
      </c>
      <c r="U132"/>
      <c r="V132"/>
      <c r="W132"/>
      <c r="X132"/>
      <c r="Z132"/>
      <c r="AA132"/>
    </row>
    <row r="133" spans="2:27">
      <c r="B133" s="249" t="s">
        <v>501</v>
      </c>
      <c r="C133" s="250" t="s">
        <v>242</v>
      </c>
      <c r="D133" s="250" t="s">
        <v>502</v>
      </c>
      <c r="E133" s="251">
        <v>4</v>
      </c>
      <c r="F133" s="251" t="s">
        <v>281</v>
      </c>
      <c r="G133" s="253">
        <v>64423567</v>
      </c>
      <c r="H133" s="253">
        <v>34769710</v>
      </c>
      <c r="I133" s="253">
        <v>106206876</v>
      </c>
      <c r="J133" s="252">
        <v>-6.6000000000000003E-2</v>
      </c>
      <c r="K133" s="253">
        <v>46871256</v>
      </c>
      <c r="L133" s="253">
        <v>24900629</v>
      </c>
      <c r="M133" s="253">
        <v>78115734</v>
      </c>
      <c r="N133" s="253">
        <v>17552312</v>
      </c>
      <c r="O133" s="253">
        <v>9869081</v>
      </c>
      <c r="P133" s="253">
        <v>28091142</v>
      </c>
      <c r="Q133" s="253">
        <v>855330</v>
      </c>
      <c r="R133" s="285">
        <v>20521.099609375</v>
      </c>
      <c r="S133" s="285">
        <v>11538.3310546875</v>
      </c>
      <c r="T133" s="286">
        <v>32842.4609375</v>
      </c>
      <c r="U133"/>
      <c r="V133"/>
      <c r="W133"/>
      <c r="X133"/>
      <c r="Z133"/>
      <c r="AA133"/>
    </row>
    <row r="134" spans="2:27">
      <c r="B134" s="249" t="s">
        <v>501</v>
      </c>
      <c r="C134" s="250" t="s">
        <v>242</v>
      </c>
      <c r="D134" s="250" t="s">
        <v>502</v>
      </c>
      <c r="E134" s="251">
        <v>5</v>
      </c>
      <c r="F134" s="251" t="s">
        <v>281</v>
      </c>
      <c r="G134" s="253">
        <v>64745714</v>
      </c>
      <c r="H134" s="253">
        <v>34943589</v>
      </c>
      <c r="I134" s="253">
        <v>106737953</v>
      </c>
      <c r="J134" s="252">
        <v>-6.6000000000000003E-2</v>
      </c>
      <c r="K134" s="253">
        <v>43917858</v>
      </c>
      <c r="L134" s="253">
        <v>23351792</v>
      </c>
      <c r="M134" s="253">
        <v>73018885</v>
      </c>
      <c r="N134" s="253">
        <v>20827856</v>
      </c>
      <c r="O134" s="253">
        <v>11591797</v>
      </c>
      <c r="P134" s="253">
        <v>33719068</v>
      </c>
      <c r="Q134" s="253">
        <v>837959</v>
      </c>
      <c r="R134" s="285">
        <v>24855.458984375</v>
      </c>
      <c r="S134" s="285">
        <v>13833.3701171875</v>
      </c>
      <c r="T134" s="286">
        <v>40239.51953125</v>
      </c>
      <c r="U134"/>
      <c r="V134"/>
      <c r="W134"/>
      <c r="X134"/>
      <c r="Z134"/>
      <c r="AA134"/>
    </row>
    <row r="135" spans="2:27">
      <c r="B135" s="249" t="s">
        <v>501</v>
      </c>
      <c r="C135" s="250" t="s">
        <v>242</v>
      </c>
      <c r="D135" s="250" t="s">
        <v>201</v>
      </c>
      <c r="E135" s="251">
        <v>6</v>
      </c>
      <c r="F135" s="251" t="s">
        <v>281</v>
      </c>
      <c r="G135" s="253">
        <v>65069283</v>
      </c>
      <c r="H135" s="253">
        <v>35118184</v>
      </c>
      <c r="I135" s="253">
        <v>107271458</v>
      </c>
      <c r="J135" s="252">
        <v>-1.24E-2</v>
      </c>
      <c r="K135" s="253">
        <v>43648797</v>
      </c>
      <c r="L135" s="253">
        <v>23196031</v>
      </c>
      <c r="M135" s="253">
        <v>72669831</v>
      </c>
      <c r="N135" s="253">
        <v>21420486</v>
      </c>
      <c r="O135" s="253">
        <v>11922153</v>
      </c>
      <c r="P135" s="253">
        <v>34601628</v>
      </c>
      <c r="Q135" s="253">
        <v>661371</v>
      </c>
      <c r="R135" s="285">
        <v>32388.00390625</v>
      </c>
      <c r="S135" s="285">
        <v>18026.421875</v>
      </c>
      <c r="T135" s="286">
        <v>52318.03125</v>
      </c>
      <c r="U135"/>
      <c r="V135"/>
      <c r="W135"/>
      <c r="X135"/>
      <c r="Z135"/>
      <c r="AA135"/>
    </row>
    <row r="136" spans="2:27">
      <c r="B136" s="249" t="s">
        <v>501</v>
      </c>
      <c r="C136" s="250" t="s">
        <v>242</v>
      </c>
      <c r="D136" s="250" t="s">
        <v>201</v>
      </c>
      <c r="E136" s="251">
        <v>7</v>
      </c>
      <c r="F136" s="251" t="s">
        <v>281</v>
      </c>
      <c r="G136" s="253">
        <v>65394678</v>
      </c>
      <c r="H136" s="253">
        <v>35293800</v>
      </c>
      <c r="I136" s="253">
        <v>107807880</v>
      </c>
      <c r="J136" s="252">
        <v>-1.24E-2</v>
      </c>
      <c r="K136" s="253">
        <v>43347765</v>
      </c>
      <c r="L136" s="253">
        <v>22990998</v>
      </c>
      <c r="M136" s="253">
        <v>72117361</v>
      </c>
      <c r="N136" s="253">
        <v>22046912</v>
      </c>
      <c r="O136" s="253">
        <v>12302802</v>
      </c>
      <c r="P136" s="253">
        <v>35690520</v>
      </c>
      <c r="Q136" s="253">
        <v>504727</v>
      </c>
      <c r="R136" s="285">
        <v>43680.8671875</v>
      </c>
      <c r="S136" s="285">
        <v>24375.162109375</v>
      </c>
      <c r="T136" s="286">
        <v>70712.5234375</v>
      </c>
      <c r="U136"/>
      <c r="V136"/>
      <c r="W136"/>
      <c r="X136"/>
      <c r="Z136"/>
      <c r="AA136"/>
    </row>
    <row r="137" spans="2:27">
      <c r="B137" s="249" t="s">
        <v>501</v>
      </c>
      <c r="C137" s="250" t="s">
        <v>242</v>
      </c>
      <c r="D137" s="250" t="s">
        <v>201</v>
      </c>
      <c r="E137" s="251">
        <v>8</v>
      </c>
      <c r="F137" s="251" t="s">
        <v>281</v>
      </c>
      <c r="G137" s="253">
        <v>65721801</v>
      </c>
      <c r="H137" s="253">
        <v>35470400</v>
      </c>
      <c r="I137" s="253">
        <v>108347093</v>
      </c>
      <c r="J137" s="252">
        <v>-1.24E-2</v>
      </c>
      <c r="K137" s="253">
        <v>43033255</v>
      </c>
      <c r="L137" s="253">
        <v>22878297</v>
      </c>
      <c r="M137" s="253">
        <v>71576617</v>
      </c>
      <c r="N137" s="253">
        <v>22688546</v>
      </c>
      <c r="O137" s="253">
        <v>12592103</v>
      </c>
      <c r="P137" s="253">
        <v>36770476</v>
      </c>
      <c r="Q137" s="253">
        <v>487356</v>
      </c>
      <c r="R137" s="285">
        <v>46554.359375</v>
      </c>
      <c r="S137" s="285">
        <v>25837.587890625</v>
      </c>
      <c r="T137" s="286">
        <v>75448.90625</v>
      </c>
      <c r="U137"/>
      <c r="V137"/>
      <c r="W137"/>
      <c r="X137"/>
      <c r="Z137"/>
      <c r="AA137"/>
    </row>
    <row r="138" spans="2:27">
      <c r="B138" s="249" t="s">
        <v>501</v>
      </c>
      <c r="C138" s="250" t="s">
        <v>242</v>
      </c>
      <c r="D138" s="250" t="s">
        <v>201</v>
      </c>
      <c r="E138" s="251">
        <v>9</v>
      </c>
      <c r="F138" s="251" t="s">
        <v>281</v>
      </c>
      <c r="G138" s="253">
        <v>66050368</v>
      </c>
      <c r="H138" s="253">
        <v>35647711</v>
      </c>
      <c r="I138" s="253">
        <v>108888772</v>
      </c>
      <c r="J138" s="252">
        <v>-1.24E-2</v>
      </c>
      <c r="K138" s="253">
        <v>42819223</v>
      </c>
      <c r="L138" s="253">
        <v>22773329</v>
      </c>
      <c r="M138" s="253">
        <v>71142924</v>
      </c>
      <c r="N138" s="253">
        <v>23231144</v>
      </c>
      <c r="O138" s="253">
        <v>12874382</v>
      </c>
      <c r="P138" s="253">
        <v>37745848</v>
      </c>
      <c r="Q138" s="253">
        <v>487356</v>
      </c>
      <c r="R138" s="285">
        <v>47667.7109375</v>
      </c>
      <c r="S138" s="285">
        <v>26416.791015625</v>
      </c>
      <c r="T138" s="286">
        <v>77450.2578125</v>
      </c>
      <c r="U138"/>
      <c r="V138"/>
      <c r="W138"/>
      <c r="X138"/>
      <c r="Z138"/>
      <c r="AA138"/>
    </row>
    <row r="139" spans="2:27">
      <c r="B139" s="249" t="s">
        <v>501</v>
      </c>
      <c r="C139" s="250" t="s">
        <v>242</v>
      </c>
      <c r="D139" s="250" t="s">
        <v>201</v>
      </c>
      <c r="E139" s="251">
        <v>10</v>
      </c>
      <c r="F139" s="251" t="s">
        <v>281</v>
      </c>
      <c r="G139" s="253">
        <v>66380616</v>
      </c>
      <c r="H139" s="253">
        <v>35825953</v>
      </c>
      <c r="I139" s="253">
        <v>109433221</v>
      </c>
      <c r="J139" s="252">
        <v>-1.24E-2</v>
      </c>
      <c r="K139" s="253">
        <v>42649944</v>
      </c>
      <c r="L139" s="253">
        <v>22647588</v>
      </c>
      <c r="M139" s="253">
        <v>70894808</v>
      </c>
      <c r="N139" s="253">
        <v>23730672</v>
      </c>
      <c r="O139" s="253">
        <v>13178365</v>
      </c>
      <c r="P139" s="253">
        <v>38538412</v>
      </c>
      <c r="Q139" s="253">
        <v>504727</v>
      </c>
      <c r="R139" s="285">
        <v>47016.84375</v>
      </c>
      <c r="S139" s="285">
        <v>26109.888671875</v>
      </c>
      <c r="T139" s="286">
        <v>76354.96875</v>
      </c>
      <c r="U139"/>
      <c r="V139"/>
      <c r="W139"/>
      <c r="X139"/>
      <c r="Z139"/>
      <c r="AA139"/>
    </row>
    <row r="140" spans="2:27">
      <c r="B140" s="249" t="s">
        <v>501</v>
      </c>
      <c r="C140" s="250" t="s">
        <v>242</v>
      </c>
      <c r="D140" s="250" t="s">
        <v>201</v>
      </c>
      <c r="E140" s="251">
        <v>11</v>
      </c>
      <c r="F140" s="251" t="s">
        <v>281</v>
      </c>
      <c r="G140" s="253">
        <v>66712539</v>
      </c>
      <c r="H140" s="253">
        <v>36005105</v>
      </c>
      <c r="I140" s="253">
        <v>109980423</v>
      </c>
      <c r="J140" s="252">
        <v>-1.24E-2</v>
      </c>
      <c r="K140" s="253">
        <v>41485819</v>
      </c>
      <c r="L140" s="253">
        <v>22057692</v>
      </c>
      <c r="M140" s="253">
        <v>69399934</v>
      </c>
      <c r="N140" s="253">
        <v>25226720</v>
      </c>
      <c r="O140" s="253">
        <v>13947413</v>
      </c>
      <c r="P140" s="253">
        <v>40580488</v>
      </c>
      <c r="Q140" s="253">
        <v>661371</v>
      </c>
      <c r="R140" s="285">
        <v>38143.0703125</v>
      </c>
      <c r="S140" s="285">
        <v>21088.63671875</v>
      </c>
      <c r="T140" s="286">
        <v>61358.1328125</v>
      </c>
      <c r="U140"/>
      <c r="V140"/>
      <c r="W140"/>
      <c r="X140"/>
      <c r="Z140"/>
      <c r="AA140"/>
    </row>
    <row r="141" spans="2:27">
      <c r="B141" s="249" t="s">
        <v>501</v>
      </c>
      <c r="C141" s="250" t="s">
        <v>242</v>
      </c>
      <c r="D141" s="250" t="s">
        <v>201</v>
      </c>
      <c r="E141" s="251">
        <v>12</v>
      </c>
      <c r="F141" s="251" t="s">
        <v>281</v>
      </c>
      <c r="G141" s="253">
        <v>67046100</v>
      </c>
      <c r="H141" s="253">
        <v>36185110</v>
      </c>
      <c r="I141" s="253">
        <v>110530303</v>
      </c>
      <c r="J141" s="252">
        <v>-1.24E-2</v>
      </c>
      <c r="K141" s="253">
        <v>41315698</v>
      </c>
      <c r="L141" s="253">
        <v>21916291</v>
      </c>
      <c r="M141" s="253">
        <v>69088661</v>
      </c>
      <c r="N141" s="253">
        <v>25730402</v>
      </c>
      <c r="O141" s="253">
        <v>14268819</v>
      </c>
      <c r="P141" s="253">
        <v>41441640</v>
      </c>
      <c r="Q141" s="253">
        <v>487356</v>
      </c>
      <c r="R141" s="285">
        <v>52795.90625</v>
      </c>
      <c r="S141" s="285">
        <v>29278.021484375</v>
      </c>
      <c r="T141" s="286">
        <v>85033.609375</v>
      </c>
      <c r="U141"/>
      <c r="V141"/>
      <c r="W141"/>
      <c r="X141"/>
      <c r="Z141"/>
      <c r="AA141"/>
    </row>
    <row r="142" spans="2:27">
      <c r="B142" s="249" t="s">
        <v>501</v>
      </c>
      <c r="C142" s="250" t="s">
        <v>242</v>
      </c>
      <c r="D142" s="250" t="s">
        <v>201</v>
      </c>
      <c r="E142" s="251">
        <v>13</v>
      </c>
      <c r="F142" s="251" t="s">
        <v>281</v>
      </c>
      <c r="G142" s="253">
        <v>67381313</v>
      </c>
      <c r="H142" s="253">
        <v>36366011</v>
      </c>
      <c r="I142" s="253">
        <v>111082917</v>
      </c>
      <c r="J142" s="252">
        <v>-1.24E-2</v>
      </c>
      <c r="K142" s="253">
        <v>41133087</v>
      </c>
      <c r="L142" s="253">
        <v>21763160</v>
      </c>
      <c r="M142" s="253">
        <v>68704412</v>
      </c>
      <c r="N142" s="253">
        <v>26248226</v>
      </c>
      <c r="O142" s="253">
        <v>14602851</v>
      </c>
      <c r="P142" s="253">
        <v>42378504</v>
      </c>
      <c r="Q142" s="253">
        <v>504727</v>
      </c>
      <c r="R142" s="285">
        <v>52004.80078125</v>
      </c>
      <c r="S142" s="285">
        <v>28932.17578125</v>
      </c>
      <c r="T142" s="286">
        <v>83963.21875</v>
      </c>
      <c r="U142"/>
      <c r="V142"/>
      <c r="W142"/>
      <c r="X142"/>
      <c r="Z142"/>
      <c r="AA142"/>
    </row>
    <row r="143" spans="2:27">
      <c r="B143" s="249" t="s">
        <v>501</v>
      </c>
      <c r="C143" s="250" t="s">
        <v>242</v>
      </c>
      <c r="D143" s="250" t="s">
        <v>201</v>
      </c>
      <c r="E143" s="251">
        <v>14</v>
      </c>
      <c r="F143" s="251" t="s">
        <v>281</v>
      </c>
      <c r="G143" s="253">
        <v>67718222</v>
      </c>
      <c r="H143" s="253">
        <v>36547863</v>
      </c>
      <c r="I143" s="253">
        <v>111638347</v>
      </c>
      <c r="J143" s="252">
        <v>-1.24E-2</v>
      </c>
      <c r="K143" s="253">
        <v>40703269</v>
      </c>
      <c r="L143" s="253">
        <v>21656899</v>
      </c>
      <c r="M143" s="253">
        <v>68011576</v>
      </c>
      <c r="N143" s="253">
        <v>27014952</v>
      </c>
      <c r="O143" s="253">
        <v>14890964</v>
      </c>
      <c r="P143" s="253">
        <v>43626772</v>
      </c>
      <c r="Q143" s="253">
        <v>487356</v>
      </c>
      <c r="R143" s="285">
        <v>55431.66015625</v>
      </c>
      <c r="S143" s="285">
        <v>30554.591796875</v>
      </c>
      <c r="T143" s="286">
        <v>89517.2578125</v>
      </c>
      <c r="U143"/>
      <c r="V143"/>
      <c r="W143"/>
      <c r="X143"/>
      <c r="Z143"/>
      <c r="AA143"/>
    </row>
    <row r="144" spans="2:27">
      <c r="B144" s="256" t="s">
        <v>501</v>
      </c>
      <c r="C144" s="257" t="s">
        <v>242</v>
      </c>
      <c r="D144" s="257" t="s">
        <v>201</v>
      </c>
      <c r="E144" s="258">
        <v>15</v>
      </c>
      <c r="F144" s="258" t="s">
        <v>281</v>
      </c>
      <c r="G144" s="260">
        <v>68056809</v>
      </c>
      <c r="H144" s="260">
        <v>36730607</v>
      </c>
      <c r="I144" s="260">
        <v>112196551</v>
      </c>
      <c r="J144" s="259">
        <v>-1.24E-2</v>
      </c>
      <c r="K144" s="260">
        <v>40494055</v>
      </c>
      <c r="L144" s="260">
        <v>21539168</v>
      </c>
      <c r="M144" s="260">
        <v>67683420</v>
      </c>
      <c r="N144" s="260">
        <v>27562754</v>
      </c>
      <c r="O144" s="260">
        <v>15191439</v>
      </c>
      <c r="P144" s="260">
        <v>44513132</v>
      </c>
      <c r="Q144" s="260">
        <v>487356</v>
      </c>
      <c r="R144" s="287">
        <v>56555.6875</v>
      </c>
      <c r="S144" s="287">
        <v>31171.1328125</v>
      </c>
      <c r="T144" s="288">
        <v>91335.96875</v>
      </c>
      <c r="U144"/>
      <c r="V144"/>
      <c r="W144"/>
      <c r="X144"/>
      <c r="Z144"/>
      <c r="AA144"/>
    </row>
    <row r="145" spans="2:20">
      <c r="B145" s="249" t="s">
        <v>501</v>
      </c>
      <c r="C145" s="250" t="s">
        <v>282</v>
      </c>
      <c r="D145" s="250" t="s">
        <v>502</v>
      </c>
      <c r="E145" s="251">
        <v>1</v>
      </c>
      <c r="F145" s="251" t="s">
        <v>281</v>
      </c>
      <c r="G145" s="253">
        <v>63466799</v>
      </c>
      <c r="H145" s="253">
        <v>34253341</v>
      </c>
      <c r="I145" s="253">
        <v>104629575</v>
      </c>
      <c r="J145" s="252">
        <v>-3.6400000000000002E-2</v>
      </c>
      <c r="K145" s="253">
        <v>58170299</v>
      </c>
      <c r="L145" s="253">
        <v>30780392</v>
      </c>
      <c r="M145" s="253">
        <v>97124673</v>
      </c>
      <c r="N145" s="253">
        <v>5296500</v>
      </c>
      <c r="O145" s="253">
        <v>3472949</v>
      </c>
      <c r="P145" s="253">
        <v>7504902</v>
      </c>
      <c r="Q145" s="253">
        <v>420165</v>
      </c>
      <c r="R145" s="285">
        <v>12605.7626953125</v>
      </c>
      <c r="S145" s="285">
        <v>8265.6796875</v>
      </c>
      <c r="T145" s="286">
        <v>17861.796875</v>
      </c>
    </row>
    <row r="146" spans="2:20">
      <c r="B146" s="249" t="s">
        <v>501</v>
      </c>
      <c r="C146" s="250" t="s">
        <v>282</v>
      </c>
      <c r="D146" s="250" t="s">
        <v>502</v>
      </c>
      <c r="E146" s="251">
        <v>2</v>
      </c>
      <c r="F146" s="251" t="s">
        <v>281</v>
      </c>
      <c r="G146" s="253">
        <v>63784156</v>
      </c>
      <c r="H146" s="253">
        <v>34424628</v>
      </c>
      <c r="I146" s="253">
        <v>105152764</v>
      </c>
      <c r="J146" s="252">
        <v>-3.6400000000000002E-2</v>
      </c>
      <c r="K146" s="253">
        <v>56600857</v>
      </c>
      <c r="L146" s="253">
        <v>29939682</v>
      </c>
      <c r="M146" s="253">
        <v>94138349</v>
      </c>
      <c r="N146" s="253">
        <v>7183299</v>
      </c>
      <c r="O146" s="253">
        <v>4484946</v>
      </c>
      <c r="P146" s="253">
        <v>11014415</v>
      </c>
      <c r="Q146" s="253">
        <v>188719</v>
      </c>
      <c r="R146" s="285">
        <v>38063.46484375</v>
      </c>
      <c r="S146" s="285">
        <v>23765.20703125</v>
      </c>
      <c r="T146" s="286">
        <v>58364.1015625</v>
      </c>
    </row>
    <row r="147" spans="2:20">
      <c r="B147" s="249" t="s">
        <v>501</v>
      </c>
      <c r="C147" s="250" t="s">
        <v>282</v>
      </c>
      <c r="D147" s="250" t="s">
        <v>502</v>
      </c>
      <c r="E147" s="251">
        <v>3</v>
      </c>
      <c r="F147" s="251" t="s">
        <v>281</v>
      </c>
      <c r="G147" s="253">
        <v>64103066</v>
      </c>
      <c r="H147" s="253">
        <v>34596732</v>
      </c>
      <c r="I147" s="253">
        <v>105678517</v>
      </c>
      <c r="J147" s="252">
        <v>-3.6400000000000002E-2</v>
      </c>
      <c r="K147" s="253">
        <v>54838387</v>
      </c>
      <c r="L147" s="253">
        <v>29126801</v>
      </c>
      <c r="M147" s="253">
        <v>91378880</v>
      </c>
      <c r="N147" s="253">
        <v>9264679</v>
      </c>
      <c r="O147" s="253">
        <v>5469931</v>
      </c>
      <c r="P147" s="253">
        <v>14299637</v>
      </c>
      <c r="Q147" s="253">
        <v>155920</v>
      </c>
      <c r="R147" s="285">
        <v>59419.44140625</v>
      </c>
      <c r="S147" s="285">
        <v>35081.6484375</v>
      </c>
      <c r="T147" s="286">
        <v>91711.375</v>
      </c>
    </row>
    <row r="148" spans="2:20">
      <c r="B148" s="249" t="s">
        <v>501</v>
      </c>
      <c r="C148" s="250" t="s">
        <v>282</v>
      </c>
      <c r="D148" s="250" t="s">
        <v>502</v>
      </c>
      <c r="E148" s="251">
        <v>4</v>
      </c>
      <c r="F148" s="251" t="s">
        <v>281</v>
      </c>
      <c r="G148" s="253">
        <v>64423567</v>
      </c>
      <c r="H148" s="253">
        <v>34769710</v>
      </c>
      <c r="I148" s="253">
        <v>106206876</v>
      </c>
      <c r="J148" s="252">
        <v>-3.6400000000000002E-2</v>
      </c>
      <c r="K148" s="253">
        <v>53215033</v>
      </c>
      <c r="L148" s="253">
        <v>28267846</v>
      </c>
      <c r="M148" s="253">
        <v>88561560</v>
      </c>
      <c r="N148" s="253">
        <v>11208534</v>
      </c>
      <c r="O148" s="253">
        <v>6501864</v>
      </c>
      <c r="P148" s="253">
        <v>17645316</v>
      </c>
      <c r="Q148" s="253">
        <v>155920</v>
      </c>
      <c r="R148" s="285">
        <v>71886.4453125</v>
      </c>
      <c r="S148" s="285">
        <v>41700</v>
      </c>
      <c r="T148" s="286">
        <v>113169.0390625</v>
      </c>
    </row>
    <row r="149" spans="2:20">
      <c r="B149" s="249" t="s">
        <v>501</v>
      </c>
      <c r="C149" s="250" t="s">
        <v>282</v>
      </c>
      <c r="D149" s="250" t="s">
        <v>502</v>
      </c>
      <c r="E149" s="251">
        <v>5</v>
      </c>
      <c r="F149" s="251" t="s">
        <v>281</v>
      </c>
      <c r="G149" s="253">
        <v>64745714</v>
      </c>
      <c r="H149" s="253">
        <v>34943589</v>
      </c>
      <c r="I149" s="253">
        <v>106737953</v>
      </c>
      <c r="J149" s="252">
        <v>-3.6400000000000002E-2</v>
      </c>
      <c r="K149" s="253">
        <v>51396446</v>
      </c>
      <c r="L149" s="253">
        <v>27287401</v>
      </c>
      <c r="M149" s="253">
        <v>85601612</v>
      </c>
      <c r="N149" s="253">
        <v>13349268</v>
      </c>
      <c r="O149" s="253">
        <v>7656188</v>
      </c>
      <c r="P149" s="253">
        <v>21136340</v>
      </c>
      <c r="Q149" s="253">
        <v>155920</v>
      </c>
      <c r="R149" s="285">
        <v>85616.1328125</v>
      </c>
      <c r="S149" s="285">
        <v>49103.30859375</v>
      </c>
      <c r="T149" s="286">
        <v>135558.890625</v>
      </c>
    </row>
    <row r="150" spans="2:20">
      <c r="B150" s="249" t="s">
        <v>501</v>
      </c>
      <c r="C150" s="250" t="s">
        <v>282</v>
      </c>
      <c r="D150" s="250" t="s">
        <v>201</v>
      </c>
      <c r="E150" s="251">
        <v>6</v>
      </c>
      <c r="F150" s="251" t="s">
        <v>281</v>
      </c>
      <c r="G150" s="253">
        <v>65069283</v>
      </c>
      <c r="H150" s="253">
        <v>35118184</v>
      </c>
      <c r="I150" s="253">
        <v>107271458</v>
      </c>
      <c r="J150" s="252">
        <v>-9.1000000000000004E-3</v>
      </c>
      <c r="K150" s="253">
        <v>51277526</v>
      </c>
      <c r="L150" s="253">
        <v>27170111</v>
      </c>
      <c r="M150" s="253">
        <v>85390642</v>
      </c>
      <c r="N150" s="253">
        <v>13791757</v>
      </c>
      <c r="O150" s="253">
        <v>7948073</v>
      </c>
      <c r="P150" s="253">
        <v>21880816</v>
      </c>
      <c r="Q150" s="253">
        <v>188016</v>
      </c>
      <c r="R150" s="285">
        <v>73354.1640625</v>
      </c>
      <c r="S150" s="285">
        <v>42273.38671875</v>
      </c>
      <c r="T150" s="286">
        <v>116377.4140625</v>
      </c>
    </row>
    <row r="151" spans="2:20">
      <c r="B151" s="249" t="s">
        <v>501</v>
      </c>
      <c r="C151" s="250" t="s">
        <v>282</v>
      </c>
      <c r="D151" s="250" t="s">
        <v>201</v>
      </c>
      <c r="E151" s="251">
        <v>7</v>
      </c>
      <c r="F151" s="251" t="s">
        <v>281</v>
      </c>
      <c r="G151" s="253">
        <v>65394678</v>
      </c>
      <c r="H151" s="253">
        <v>35293800</v>
      </c>
      <c r="I151" s="253">
        <v>107807880</v>
      </c>
      <c r="J151" s="252">
        <v>-9.1000000000000004E-3</v>
      </c>
      <c r="K151" s="253">
        <v>51033529</v>
      </c>
      <c r="L151" s="253">
        <v>27117138</v>
      </c>
      <c r="M151" s="253">
        <v>85081176</v>
      </c>
      <c r="N151" s="253">
        <v>14361149</v>
      </c>
      <c r="O151" s="253">
        <v>8176662</v>
      </c>
      <c r="P151" s="253">
        <v>22726704</v>
      </c>
      <c r="Q151" s="253">
        <v>143207</v>
      </c>
      <c r="R151" s="285">
        <v>100282.4453125</v>
      </c>
      <c r="S151" s="285">
        <v>57096.8046875</v>
      </c>
      <c r="T151" s="286">
        <v>158698.265625</v>
      </c>
    </row>
    <row r="152" spans="2:20">
      <c r="B152" s="249" t="s">
        <v>501</v>
      </c>
      <c r="C152" s="250" t="s">
        <v>282</v>
      </c>
      <c r="D152" s="250" t="s">
        <v>201</v>
      </c>
      <c r="E152" s="251">
        <v>8</v>
      </c>
      <c r="F152" s="251" t="s">
        <v>281</v>
      </c>
      <c r="G152" s="253">
        <v>65721801</v>
      </c>
      <c r="H152" s="253">
        <v>35470400</v>
      </c>
      <c r="I152" s="253">
        <v>108347093</v>
      </c>
      <c r="J152" s="252">
        <v>-9.1000000000000004E-3</v>
      </c>
      <c r="K152" s="253">
        <v>50947194</v>
      </c>
      <c r="L152" s="253">
        <v>27081998</v>
      </c>
      <c r="M152" s="253">
        <v>84709609</v>
      </c>
      <c r="N152" s="253">
        <v>14774607</v>
      </c>
      <c r="O152" s="253">
        <v>8388402</v>
      </c>
      <c r="P152" s="253">
        <v>23637484</v>
      </c>
      <c r="Q152" s="253">
        <v>143207</v>
      </c>
      <c r="R152" s="285">
        <v>103169.5859375</v>
      </c>
      <c r="S152" s="285">
        <v>58575.36328125</v>
      </c>
      <c r="T152" s="286">
        <v>165058.171875</v>
      </c>
    </row>
    <row r="153" spans="2:20">
      <c r="B153" s="249" t="s">
        <v>501</v>
      </c>
      <c r="C153" s="250" t="s">
        <v>282</v>
      </c>
      <c r="D153" s="250" t="s">
        <v>201</v>
      </c>
      <c r="E153" s="251">
        <v>9</v>
      </c>
      <c r="F153" s="251" t="s">
        <v>281</v>
      </c>
      <c r="G153" s="253">
        <v>66050368</v>
      </c>
      <c r="H153" s="253">
        <v>35647711</v>
      </c>
      <c r="I153" s="253">
        <v>108888772</v>
      </c>
      <c r="J153" s="252">
        <v>-9.1000000000000004E-3</v>
      </c>
      <c r="K153" s="253">
        <v>50868125</v>
      </c>
      <c r="L153" s="253">
        <v>27017118</v>
      </c>
      <c r="M153" s="253">
        <v>84608614</v>
      </c>
      <c r="N153" s="253">
        <v>15182243</v>
      </c>
      <c r="O153" s="253">
        <v>8630593</v>
      </c>
      <c r="P153" s="253">
        <v>24280158</v>
      </c>
      <c r="Q153" s="253">
        <v>143207</v>
      </c>
      <c r="R153" s="285">
        <v>106016.0703125</v>
      </c>
      <c r="S153" s="285">
        <v>60266.55859375</v>
      </c>
      <c r="T153" s="286">
        <v>169545.890625</v>
      </c>
    </row>
    <row r="154" spans="2:20">
      <c r="B154" s="249" t="s">
        <v>501</v>
      </c>
      <c r="C154" s="250" t="s">
        <v>282</v>
      </c>
      <c r="D154" s="250" t="s">
        <v>201</v>
      </c>
      <c r="E154" s="251">
        <v>10</v>
      </c>
      <c r="F154" s="251" t="s">
        <v>281</v>
      </c>
      <c r="G154" s="253">
        <v>66380616</v>
      </c>
      <c r="H154" s="253">
        <v>35825953</v>
      </c>
      <c r="I154" s="253">
        <v>109433221</v>
      </c>
      <c r="J154" s="252">
        <v>-9.1000000000000004E-3</v>
      </c>
      <c r="K154" s="253">
        <v>50346140</v>
      </c>
      <c r="L154" s="253">
        <v>26653820</v>
      </c>
      <c r="M154" s="253">
        <v>83871953</v>
      </c>
      <c r="N154" s="253">
        <v>16034476</v>
      </c>
      <c r="O154" s="253">
        <v>9172133</v>
      </c>
      <c r="P154" s="253">
        <v>25561268</v>
      </c>
      <c r="Q154" s="253">
        <v>143207</v>
      </c>
      <c r="R154" s="285">
        <v>111967.125</v>
      </c>
      <c r="S154" s="285">
        <v>64048.08203125</v>
      </c>
      <c r="T154" s="286">
        <v>178491.75</v>
      </c>
    </row>
    <row r="155" spans="2:20">
      <c r="B155" s="249" t="s">
        <v>501</v>
      </c>
      <c r="C155" s="250" t="s">
        <v>282</v>
      </c>
      <c r="D155" s="250" t="s">
        <v>201</v>
      </c>
      <c r="E155" s="251">
        <v>11</v>
      </c>
      <c r="F155" s="251" t="s">
        <v>281</v>
      </c>
      <c r="G155" s="253">
        <v>66712539</v>
      </c>
      <c r="H155" s="253">
        <v>36005105</v>
      </c>
      <c r="I155" s="253">
        <v>109980423</v>
      </c>
      <c r="J155" s="252">
        <v>-9.1000000000000004E-3</v>
      </c>
      <c r="K155" s="253">
        <v>50183696</v>
      </c>
      <c r="L155" s="253">
        <v>26575191</v>
      </c>
      <c r="M155" s="253">
        <v>83626711</v>
      </c>
      <c r="N155" s="253">
        <v>16528843</v>
      </c>
      <c r="O155" s="253">
        <v>9429914</v>
      </c>
      <c r="P155" s="253">
        <v>26353712</v>
      </c>
      <c r="Q155" s="253">
        <v>188016</v>
      </c>
      <c r="R155" s="285">
        <v>87911.8984375</v>
      </c>
      <c r="S155" s="285">
        <v>50154.8515625</v>
      </c>
      <c r="T155" s="286">
        <v>140167.390625</v>
      </c>
    </row>
    <row r="156" spans="2:20">
      <c r="B156" s="249" t="s">
        <v>501</v>
      </c>
      <c r="C156" s="250" t="s">
        <v>282</v>
      </c>
      <c r="D156" s="250" t="s">
        <v>201</v>
      </c>
      <c r="E156" s="251">
        <v>12</v>
      </c>
      <c r="F156" s="251" t="s">
        <v>281</v>
      </c>
      <c r="G156" s="253">
        <v>67046100</v>
      </c>
      <c r="H156" s="253">
        <v>36185110</v>
      </c>
      <c r="I156" s="253">
        <v>110530303</v>
      </c>
      <c r="J156" s="252">
        <v>-9.1000000000000004E-3</v>
      </c>
      <c r="K156" s="253">
        <v>50057074</v>
      </c>
      <c r="L156" s="253">
        <v>26543498</v>
      </c>
      <c r="M156" s="253">
        <v>83231694</v>
      </c>
      <c r="N156" s="253">
        <v>16989026</v>
      </c>
      <c r="O156" s="253">
        <v>9641612</v>
      </c>
      <c r="P156" s="253">
        <v>27298608</v>
      </c>
      <c r="Q156" s="253">
        <v>143207</v>
      </c>
      <c r="R156" s="285">
        <v>118632.6484375</v>
      </c>
      <c r="S156" s="285">
        <v>67326.3984375</v>
      </c>
      <c r="T156" s="286">
        <v>190623.40625</v>
      </c>
    </row>
    <row r="157" spans="2:20">
      <c r="B157" s="249" t="s">
        <v>501</v>
      </c>
      <c r="C157" s="250" t="s">
        <v>282</v>
      </c>
      <c r="D157" s="250" t="s">
        <v>201</v>
      </c>
      <c r="E157" s="251">
        <v>13</v>
      </c>
      <c r="F157" s="251" t="s">
        <v>281</v>
      </c>
      <c r="G157" s="253">
        <v>67381313</v>
      </c>
      <c r="H157" s="253">
        <v>36366011</v>
      </c>
      <c r="I157" s="253">
        <v>111082917</v>
      </c>
      <c r="J157" s="252">
        <v>-9.1000000000000004E-3</v>
      </c>
      <c r="K157" s="253">
        <v>49694429</v>
      </c>
      <c r="L157" s="253">
        <v>26413526</v>
      </c>
      <c r="M157" s="253">
        <v>82723600</v>
      </c>
      <c r="N157" s="253">
        <v>17686884</v>
      </c>
      <c r="O157" s="253">
        <v>9952485</v>
      </c>
      <c r="P157" s="253">
        <v>28359316</v>
      </c>
      <c r="Q157" s="253">
        <v>143207</v>
      </c>
      <c r="R157" s="285">
        <v>123505.71875</v>
      </c>
      <c r="S157" s="285">
        <v>69497.203125</v>
      </c>
      <c r="T157" s="286">
        <v>198030.25</v>
      </c>
    </row>
    <row r="158" spans="2:20">
      <c r="B158" s="249" t="s">
        <v>501</v>
      </c>
      <c r="C158" s="250" t="s">
        <v>282</v>
      </c>
      <c r="D158" s="250" t="s">
        <v>201</v>
      </c>
      <c r="E158" s="251">
        <v>14</v>
      </c>
      <c r="F158" s="251" t="s">
        <v>281</v>
      </c>
      <c r="G158" s="253">
        <v>67718222</v>
      </c>
      <c r="H158" s="253">
        <v>36547863</v>
      </c>
      <c r="I158" s="253">
        <v>111638347</v>
      </c>
      <c r="J158" s="252">
        <v>-9.1000000000000004E-3</v>
      </c>
      <c r="K158" s="253">
        <v>49512697</v>
      </c>
      <c r="L158" s="253">
        <v>26291389</v>
      </c>
      <c r="M158" s="253">
        <v>82531019</v>
      </c>
      <c r="N158" s="253">
        <v>18205524</v>
      </c>
      <c r="O158" s="253">
        <v>10256474</v>
      </c>
      <c r="P158" s="253">
        <v>29107328</v>
      </c>
      <c r="Q158" s="253">
        <v>143207</v>
      </c>
      <c r="R158" s="285">
        <v>127127.3359375</v>
      </c>
      <c r="S158" s="285">
        <v>71619.921875</v>
      </c>
      <c r="T158" s="286">
        <v>203253.53125</v>
      </c>
    </row>
    <row r="159" spans="2:20">
      <c r="B159" s="256" t="s">
        <v>501</v>
      </c>
      <c r="C159" s="257" t="s">
        <v>282</v>
      </c>
      <c r="D159" s="257" t="s">
        <v>201</v>
      </c>
      <c r="E159" s="258">
        <v>15</v>
      </c>
      <c r="F159" s="258" t="s">
        <v>281</v>
      </c>
      <c r="G159" s="260">
        <v>68056809</v>
      </c>
      <c r="H159" s="260">
        <v>36730607</v>
      </c>
      <c r="I159" s="260">
        <v>112196551</v>
      </c>
      <c r="J159" s="259">
        <v>-9.1000000000000004E-3</v>
      </c>
      <c r="K159" s="260">
        <v>49377017</v>
      </c>
      <c r="L159" s="260">
        <v>26236135</v>
      </c>
      <c r="M159" s="260">
        <v>82226326</v>
      </c>
      <c r="N159" s="260">
        <v>18679792</v>
      </c>
      <c r="O159" s="260">
        <v>10494472</v>
      </c>
      <c r="P159" s="260">
        <v>29970224</v>
      </c>
      <c r="Q159" s="260">
        <v>143207</v>
      </c>
      <c r="R159" s="287">
        <v>130439.1015625</v>
      </c>
      <c r="S159" s="287">
        <v>73281.8359375</v>
      </c>
      <c r="T159" s="288">
        <v>209279.03125</v>
      </c>
    </row>
    <row r="160" spans="2:20">
      <c r="B160" s="249" t="s">
        <v>501</v>
      </c>
      <c r="C160" s="250" t="s">
        <v>77</v>
      </c>
      <c r="D160" s="250" t="s">
        <v>502</v>
      </c>
      <c r="E160" s="251">
        <v>1</v>
      </c>
      <c r="F160" s="251" t="s">
        <v>281</v>
      </c>
      <c r="G160" s="253">
        <v>63466799</v>
      </c>
      <c r="H160" s="253">
        <v>34253341</v>
      </c>
      <c r="I160" s="253">
        <v>104629575</v>
      </c>
      <c r="J160" s="252">
        <v>-1.0800000000000001E-2</v>
      </c>
      <c r="K160" s="253">
        <v>59306583</v>
      </c>
      <c r="L160" s="253">
        <v>31403517</v>
      </c>
      <c r="M160" s="253">
        <v>99122335</v>
      </c>
      <c r="N160" s="253">
        <v>4160216</v>
      </c>
      <c r="O160" s="253">
        <v>2849824</v>
      </c>
      <c r="P160" s="253">
        <v>5507240</v>
      </c>
      <c r="Q160" s="253">
        <v>291952</v>
      </c>
      <c r="R160" s="285">
        <v>14249.6572265625</v>
      </c>
      <c r="S160" s="285">
        <v>9761.2763671875</v>
      </c>
      <c r="T160" s="286">
        <v>18863.51171875</v>
      </c>
    </row>
    <row r="161" spans="2:20">
      <c r="B161" s="249" t="s">
        <v>501</v>
      </c>
      <c r="C161" s="250" t="s">
        <v>77</v>
      </c>
      <c r="D161" s="250" t="s">
        <v>502</v>
      </c>
      <c r="E161" s="251">
        <v>2</v>
      </c>
      <c r="F161" s="251" t="s">
        <v>281</v>
      </c>
      <c r="G161" s="253">
        <v>63784156</v>
      </c>
      <c r="H161" s="253">
        <v>34424628</v>
      </c>
      <c r="I161" s="253">
        <v>105152764</v>
      </c>
      <c r="J161" s="252">
        <v>-1.0800000000000001E-2</v>
      </c>
      <c r="K161" s="253">
        <v>59133442</v>
      </c>
      <c r="L161" s="253">
        <v>31348718</v>
      </c>
      <c r="M161" s="253">
        <v>98853568</v>
      </c>
      <c r="N161" s="253">
        <v>4650714</v>
      </c>
      <c r="O161" s="253">
        <v>3075910</v>
      </c>
      <c r="P161" s="253">
        <v>6299196</v>
      </c>
      <c r="Q161" s="253">
        <v>503800</v>
      </c>
      <c r="R161" s="285">
        <v>9231.2705078125</v>
      </c>
      <c r="S161" s="285">
        <v>6105.41845703125</v>
      </c>
      <c r="T161" s="286">
        <v>12503.3662109375</v>
      </c>
    </row>
    <row r="162" spans="2:20">
      <c r="B162" s="249" t="s">
        <v>501</v>
      </c>
      <c r="C162" s="250" t="s">
        <v>77</v>
      </c>
      <c r="D162" s="250" t="s">
        <v>502</v>
      </c>
      <c r="E162" s="251">
        <v>3</v>
      </c>
      <c r="F162" s="251" t="s">
        <v>281</v>
      </c>
      <c r="G162" s="253">
        <v>64103066</v>
      </c>
      <c r="H162" s="253">
        <v>34596732</v>
      </c>
      <c r="I162" s="253">
        <v>105678517</v>
      </c>
      <c r="J162" s="252">
        <v>-1.0800000000000001E-2</v>
      </c>
      <c r="K162" s="253">
        <v>58966319</v>
      </c>
      <c r="L162" s="253">
        <v>31200027</v>
      </c>
      <c r="M162" s="253">
        <v>98524087</v>
      </c>
      <c r="N162" s="253">
        <v>5136747</v>
      </c>
      <c r="O162" s="253">
        <v>3396705</v>
      </c>
      <c r="P162" s="253">
        <v>7154430</v>
      </c>
      <c r="Q162" s="253">
        <v>336131</v>
      </c>
      <c r="R162" s="285">
        <v>15281.9794921875</v>
      </c>
      <c r="S162" s="285">
        <v>10105.30078125</v>
      </c>
      <c r="T162" s="286">
        <v>21284.6484375</v>
      </c>
    </row>
    <row r="163" spans="2:20">
      <c r="B163" s="249" t="s">
        <v>501</v>
      </c>
      <c r="C163" s="250" t="s">
        <v>77</v>
      </c>
      <c r="D163" s="250" t="s">
        <v>502</v>
      </c>
      <c r="E163" s="251">
        <v>4</v>
      </c>
      <c r="F163" s="251" t="s">
        <v>281</v>
      </c>
      <c r="G163" s="253">
        <v>64423567</v>
      </c>
      <c r="H163" s="253">
        <v>34769710</v>
      </c>
      <c r="I163" s="253">
        <v>106206876</v>
      </c>
      <c r="J163" s="252">
        <v>-1.0800000000000001E-2</v>
      </c>
      <c r="K163" s="253">
        <v>58712347</v>
      </c>
      <c r="L163" s="253">
        <v>31104876</v>
      </c>
      <c r="M163" s="253">
        <v>98105135</v>
      </c>
      <c r="N163" s="253">
        <v>5711220</v>
      </c>
      <c r="O163" s="253">
        <v>3664834</v>
      </c>
      <c r="P163" s="253">
        <v>8101741</v>
      </c>
      <c r="Q163" s="253">
        <v>353502</v>
      </c>
      <c r="R163" s="285">
        <v>16156.1181640625</v>
      </c>
      <c r="S163" s="285">
        <v>10367.22265625</v>
      </c>
      <c r="T163" s="286">
        <v>22918.515625</v>
      </c>
    </row>
    <row r="164" spans="2:20">
      <c r="B164" s="249" t="s">
        <v>501</v>
      </c>
      <c r="C164" s="250" t="s">
        <v>77</v>
      </c>
      <c r="D164" s="250" t="s">
        <v>502</v>
      </c>
      <c r="E164" s="251">
        <v>5</v>
      </c>
      <c r="F164" s="251" t="s">
        <v>281</v>
      </c>
      <c r="G164" s="253">
        <v>64745714</v>
      </c>
      <c r="H164" s="253">
        <v>34943589</v>
      </c>
      <c r="I164" s="253">
        <v>106737953</v>
      </c>
      <c r="J164" s="252">
        <v>-1.0800000000000001E-2</v>
      </c>
      <c r="K164" s="253">
        <v>58435681</v>
      </c>
      <c r="L164" s="253">
        <v>30961267</v>
      </c>
      <c r="M164" s="253">
        <v>97529984</v>
      </c>
      <c r="N164" s="253">
        <v>6310033</v>
      </c>
      <c r="O164" s="253">
        <v>3982322</v>
      </c>
      <c r="P164" s="253">
        <v>9207969</v>
      </c>
      <c r="Q164" s="253">
        <v>336131</v>
      </c>
      <c r="R164" s="285">
        <v>18772.541015625</v>
      </c>
      <c r="S164" s="285">
        <v>11847.529296875</v>
      </c>
      <c r="T164" s="286">
        <v>27393.990234375</v>
      </c>
    </row>
    <row r="165" spans="2:20">
      <c r="B165" s="249" t="s">
        <v>501</v>
      </c>
      <c r="C165" s="250" t="s">
        <v>77</v>
      </c>
      <c r="D165" s="250" t="s">
        <v>201</v>
      </c>
      <c r="E165" s="251">
        <v>6</v>
      </c>
      <c r="F165" s="251" t="s">
        <v>281</v>
      </c>
      <c r="G165" s="253">
        <v>65069283</v>
      </c>
      <c r="H165" s="253">
        <v>35118184</v>
      </c>
      <c r="I165" s="253">
        <v>107271458</v>
      </c>
      <c r="J165" s="252">
        <v>-8.0000000000000004E-4</v>
      </c>
      <c r="K165" s="253">
        <v>58718355</v>
      </c>
      <c r="L165" s="253">
        <v>31097215</v>
      </c>
      <c r="M165" s="253">
        <v>97989324</v>
      </c>
      <c r="N165" s="253">
        <v>6350928</v>
      </c>
      <c r="O165" s="253">
        <v>4020969</v>
      </c>
      <c r="P165" s="253">
        <v>9282134</v>
      </c>
      <c r="Q165" s="253">
        <v>231478</v>
      </c>
      <c r="R165" s="285">
        <v>27436.421875</v>
      </c>
      <c r="S165" s="285">
        <v>17370.84765625</v>
      </c>
      <c r="T165" s="286">
        <v>40099.421875</v>
      </c>
    </row>
    <row r="166" spans="2:20">
      <c r="B166" s="249" t="s">
        <v>501</v>
      </c>
      <c r="C166" s="250" t="s">
        <v>77</v>
      </c>
      <c r="D166" s="250" t="s">
        <v>201</v>
      </c>
      <c r="E166" s="251">
        <v>7</v>
      </c>
      <c r="F166" s="251" t="s">
        <v>281</v>
      </c>
      <c r="G166" s="253">
        <v>65394678</v>
      </c>
      <c r="H166" s="253">
        <v>35293800</v>
      </c>
      <c r="I166" s="253">
        <v>107807880</v>
      </c>
      <c r="J166" s="252">
        <v>-8.0000000000000004E-4</v>
      </c>
      <c r="K166" s="253">
        <v>58974225</v>
      </c>
      <c r="L166" s="253">
        <v>31233838</v>
      </c>
      <c r="M166" s="253">
        <v>98394349</v>
      </c>
      <c r="N166" s="253">
        <v>6420453</v>
      </c>
      <c r="O166" s="253">
        <v>4059962</v>
      </c>
      <c r="P166" s="253">
        <v>9413531</v>
      </c>
      <c r="Q166" s="253">
        <v>177294</v>
      </c>
      <c r="R166" s="285">
        <v>36213.59375</v>
      </c>
      <c r="S166" s="285">
        <v>22899.6015625</v>
      </c>
      <c r="T166" s="286">
        <v>53095.6015625</v>
      </c>
    </row>
    <row r="167" spans="2:20">
      <c r="B167" s="249" t="s">
        <v>501</v>
      </c>
      <c r="C167" s="250" t="s">
        <v>77</v>
      </c>
      <c r="D167" s="250" t="s">
        <v>201</v>
      </c>
      <c r="E167" s="251">
        <v>8</v>
      </c>
      <c r="F167" s="251" t="s">
        <v>281</v>
      </c>
      <c r="G167" s="253">
        <v>65721801</v>
      </c>
      <c r="H167" s="253">
        <v>35470400</v>
      </c>
      <c r="I167" s="253">
        <v>108347093</v>
      </c>
      <c r="J167" s="252">
        <v>-8.0000000000000004E-4</v>
      </c>
      <c r="K167" s="253">
        <v>59231243</v>
      </c>
      <c r="L167" s="253">
        <v>31371099</v>
      </c>
      <c r="M167" s="253">
        <v>98838987</v>
      </c>
      <c r="N167" s="253">
        <v>6490558</v>
      </c>
      <c r="O167" s="253">
        <v>4099301</v>
      </c>
      <c r="P167" s="253">
        <v>9508106</v>
      </c>
      <c r="Q167" s="253">
        <v>159923</v>
      </c>
      <c r="R167" s="285">
        <v>40585.51953125</v>
      </c>
      <c r="S167" s="285">
        <v>25632.966796875</v>
      </c>
      <c r="T167" s="286">
        <v>59454.2734375</v>
      </c>
    </row>
    <row r="168" spans="2:20">
      <c r="B168" s="249" t="s">
        <v>501</v>
      </c>
      <c r="C168" s="250" t="s">
        <v>77</v>
      </c>
      <c r="D168" s="250" t="s">
        <v>201</v>
      </c>
      <c r="E168" s="251">
        <v>9</v>
      </c>
      <c r="F168" s="251" t="s">
        <v>281</v>
      </c>
      <c r="G168" s="253">
        <v>66050368</v>
      </c>
      <c r="H168" s="253">
        <v>35647711</v>
      </c>
      <c r="I168" s="253">
        <v>108888772</v>
      </c>
      <c r="J168" s="252">
        <v>-8.0000000000000004E-4</v>
      </c>
      <c r="K168" s="253">
        <v>59422465</v>
      </c>
      <c r="L168" s="253">
        <v>31470718</v>
      </c>
      <c r="M168" s="253">
        <v>99209164</v>
      </c>
      <c r="N168" s="253">
        <v>6627903</v>
      </c>
      <c r="O168" s="253">
        <v>4176993</v>
      </c>
      <c r="P168" s="253">
        <v>9679608</v>
      </c>
      <c r="Q168" s="253">
        <v>159923</v>
      </c>
      <c r="R168" s="285">
        <v>41444.33984375</v>
      </c>
      <c r="S168" s="285">
        <v>26118.775390625</v>
      </c>
      <c r="T168" s="286">
        <v>60526.6796875</v>
      </c>
    </row>
    <row r="169" spans="2:20">
      <c r="B169" s="249" t="s">
        <v>501</v>
      </c>
      <c r="C169" s="250" t="s">
        <v>77</v>
      </c>
      <c r="D169" s="250" t="s">
        <v>201</v>
      </c>
      <c r="E169" s="251">
        <v>10</v>
      </c>
      <c r="F169" s="251" t="s">
        <v>281</v>
      </c>
      <c r="G169" s="253">
        <v>66380616</v>
      </c>
      <c r="H169" s="253">
        <v>35825953</v>
      </c>
      <c r="I169" s="253">
        <v>109433221</v>
      </c>
      <c r="J169" s="252">
        <v>-8.0000000000000004E-4</v>
      </c>
      <c r="K169" s="253">
        <v>59681237</v>
      </c>
      <c r="L169" s="253">
        <v>31618491</v>
      </c>
      <c r="M169" s="253">
        <v>99628538</v>
      </c>
      <c r="N169" s="253">
        <v>6699379</v>
      </c>
      <c r="O169" s="253">
        <v>4207462</v>
      </c>
      <c r="P169" s="253">
        <v>9804683</v>
      </c>
      <c r="Q169" s="253">
        <v>177294</v>
      </c>
      <c r="R169" s="285">
        <v>37786.8359375</v>
      </c>
      <c r="S169" s="285">
        <v>23731.5546875</v>
      </c>
      <c r="T169" s="286">
        <v>55301.83203125</v>
      </c>
    </row>
    <row r="170" spans="2:20">
      <c r="B170" s="249" t="s">
        <v>501</v>
      </c>
      <c r="C170" s="250" t="s">
        <v>77</v>
      </c>
      <c r="D170" s="250" t="s">
        <v>201</v>
      </c>
      <c r="E170" s="251">
        <v>11</v>
      </c>
      <c r="F170" s="251" t="s">
        <v>281</v>
      </c>
      <c r="G170" s="253">
        <v>66712539</v>
      </c>
      <c r="H170" s="253">
        <v>36005105</v>
      </c>
      <c r="I170" s="253">
        <v>109980423</v>
      </c>
      <c r="J170" s="252">
        <v>-8.0000000000000004E-4</v>
      </c>
      <c r="K170" s="253">
        <v>59950759</v>
      </c>
      <c r="L170" s="253">
        <v>31757325</v>
      </c>
      <c r="M170" s="253">
        <v>100078528</v>
      </c>
      <c r="N170" s="253">
        <v>6761780</v>
      </c>
      <c r="O170" s="253">
        <v>4247780</v>
      </c>
      <c r="P170" s="253">
        <v>9901895</v>
      </c>
      <c r="Q170" s="253">
        <v>231478</v>
      </c>
      <c r="R170" s="285">
        <v>29211.328125</v>
      </c>
      <c r="S170" s="285">
        <v>18350.685546875</v>
      </c>
      <c r="T170" s="286">
        <v>42776.828125</v>
      </c>
    </row>
    <row r="171" spans="2:20">
      <c r="B171" s="249" t="s">
        <v>501</v>
      </c>
      <c r="C171" s="250" t="s">
        <v>77</v>
      </c>
      <c r="D171" s="250" t="s">
        <v>201</v>
      </c>
      <c r="E171" s="251">
        <v>12</v>
      </c>
      <c r="F171" s="251" t="s">
        <v>281</v>
      </c>
      <c r="G171" s="253">
        <v>67046100</v>
      </c>
      <c r="H171" s="253">
        <v>36185110</v>
      </c>
      <c r="I171" s="253">
        <v>110530303</v>
      </c>
      <c r="J171" s="252">
        <v>-8.0000000000000004E-4</v>
      </c>
      <c r="K171" s="253">
        <v>60221477</v>
      </c>
      <c r="L171" s="253">
        <v>31896748</v>
      </c>
      <c r="M171" s="253">
        <v>100540196</v>
      </c>
      <c r="N171" s="253">
        <v>6824623</v>
      </c>
      <c r="O171" s="253">
        <v>4288362</v>
      </c>
      <c r="P171" s="253">
        <v>9990107</v>
      </c>
      <c r="Q171" s="253">
        <v>159923</v>
      </c>
      <c r="R171" s="285">
        <v>42674.4296875</v>
      </c>
      <c r="S171" s="285">
        <v>26815.166015625</v>
      </c>
      <c r="T171" s="286">
        <v>62468.23046875</v>
      </c>
    </row>
    <row r="172" spans="2:20">
      <c r="B172" s="249" t="s">
        <v>501</v>
      </c>
      <c r="C172" s="250" t="s">
        <v>77</v>
      </c>
      <c r="D172" s="250" t="s">
        <v>201</v>
      </c>
      <c r="E172" s="251">
        <v>13</v>
      </c>
      <c r="F172" s="251" t="s">
        <v>281</v>
      </c>
      <c r="G172" s="253">
        <v>67381313</v>
      </c>
      <c r="H172" s="253">
        <v>36366011</v>
      </c>
      <c r="I172" s="253">
        <v>111082917</v>
      </c>
      <c r="J172" s="252">
        <v>-8.0000000000000004E-4</v>
      </c>
      <c r="K172" s="253">
        <v>60473926</v>
      </c>
      <c r="L172" s="253">
        <v>32007576</v>
      </c>
      <c r="M172" s="253">
        <v>100906700</v>
      </c>
      <c r="N172" s="253">
        <v>6907387</v>
      </c>
      <c r="O172" s="253">
        <v>4358435</v>
      </c>
      <c r="P172" s="253">
        <v>10176217</v>
      </c>
      <c r="Q172" s="253">
        <v>177294</v>
      </c>
      <c r="R172" s="285">
        <v>38960.0703125</v>
      </c>
      <c r="S172" s="285">
        <v>24583.09375</v>
      </c>
      <c r="T172" s="286">
        <v>57397.4140625</v>
      </c>
    </row>
    <row r="173" spans="2:20">
      <c r="B173" s="249" t="s">
        <v>501</v>
      </c>
      <c r="C173" s="250" t="s">
        <v>77</v>
      </c>
      <c r="D173" s="250" t="s">
        <v>201</v>
      </c>
      <c r="E173" s="251">
        <v>14</v>
      </c>
      <c r="F173" s="251" t="s">
        <v>281</v>
      </c>
      <c r="G173" s="253">
        <v>67718222</v>
      </c>
      <c r="H173" s="253">
        <v>36547863</v>
      </c>
      <c r="I173" s="253">
        <v>111638347</v>
      </c>
      <c r="J173" s="252">
        <v>-8.0000000000000004E-4</v>
      </c>
      <c r="K173" s="253">
        <v>60746963</v>
      </c>
      <c r="L173" s="253">
        <v>32157833</v>
      </c>
      <c r="M173" s="253">
        <v>101362336</v>
      </c>
      <c r="N173" s="253">
        <v>6971259</v>
      </c>
      <c r="O173" s="253">
        <v>4390030</v>
      </c>
      <c r="P173" s="253">
        <v>10276011</v>
      </c>
      <c r="Q173" s="253">
        <v>159923</v>
      </c>
      <c r="R173" s="285">
        <v>43591.34765625</v>
      </c>
      <c r="S173" s="285">
        <v>27450.8984375</v>
      </c>
      <c r="T173" s="286">
        <v>64255.98828125</v>
      </c>
    </row>
    <row r="174" spans="2:20">
      <c r="B174" s="256" t="s">
        <v>501</v>
      </c>
      <c r="C174" s="257" t="s">
        <v>77</v>
      </c>
      <c r="D174" s="257" t="s">
        <v>201</v>
      </c>
      <c r="E174" s="258">
        <v>15</v>
      </c>
      <c r="F174" s="258" t="s">
        <v>281</v>
      </c>
      <c r="G174" s="260">
        <v>68056809</v>
      </c>
      <c r="H174" s="260">
        <v>36730607</v>
      </c>
      <c r="I174" s="260">
        <v>112196551</v>
      </c>
      <c r="J174" s="259">
        <v>-8.0000000000000004E-4</v>
      </c>
      <c r="K174" s="260">
        <v>61011389</v>
      </c>
      <c r="L174" s="260">
        <v>32308802</v>
      </c>
      <c r="M174" s="260">
        <v>101839671</v>
      </c>
      <c r="N174" s="260">
        <v>7045420</v>
      </c>
      <c r="O174" s="260">
        <v>4421805</v>
      </c>
      <c r="P174" s="260">
        <v>10356880</v>
      </c>
      <c r="Q174" s="260">
        <v>159923</v>
      </c>
      <c r="R174" s="287">
        <v>44055.078125</v>
      </c>
      <c r="S174" s="287">
        <v>27649.587890625</v>
      </c>
      <c r="T174" s="288">
        <v>64761.6640625</v>
      </c>
    </row>
    <row r="175" spans="2:20">
      <c r="B175" s="249" t="s">
        <v>501</v>
      </c>
      <c r="C175" s="250" t="s">
        <v>121</v>
      </c>
      <c r="D175" s="250" t="s">
        <v>502</v>
      </c>
      <c r="E175" s="251">
        <v>1</v>
      </c>
      <c r="F175" s="251" t="s">
        <v>281</v>
      </c>
      <c r="G175" s="253">
        <v>63466799</v>
      </c>
      <c r="H175" s="253">
        <v>34253341</v>
      </c>
      <c r="I175" s="253">
        <v>104629575</v>
      </c>
      <c r="J175" s="252">
        <v>-0.02</v>
      </c>
      <c r="K175" s="253">
        <v>58921711</v>
      </c>
      <c r="L175" s="253">
        <v>31238574</v>
      </c>
      <c r="M175" s="253">
        <v>98499210</v>
      </c>
      <c r="N175" s="253">
        <v>4545088</v>
      </c>
      <c r="O175" s="253">
        <v>3014767</v>
      </c>
      <c r="P175" s="253">
        <v>6130365</v>
      </c>
      <c r="Q175" s="253">
        <v>133969</v>
      </c>
      <c r="R175" s="285">
        <v>33926.4140625</v>
      </c>
      <c r="S175" s="285">
        <v>22503.466796875</v>
      </c>
      <c r="T175" s="286">
        <v>45759.578125</v>
      </c>
    </row>
    <row r="176" spans="2:20">
      <c r="B176" s="249" t="s">
        <v>501</v>
      </c>
      <c r="C176" s="250" t="s">
        <v>121</v>
      </c>
      <c r="D176" s="250" t="s">
        <v>502</v>
      </c>
      <c r="E176" s="251">
        <v>2</v>
      </c>
      <c r="F176" s="251" t="s">
        <v>281</v>
      </c>
      <c r="G176" s="253">
        <v>63784156</v>
      </c>
      <c r="H176" s="253">
        <v>34424628</v>
      </c>
      <c r="I176" s="253">
        <v>105152764</v>
      </c>
      <c r="J176" s="252">
        <v>-0.02</v>
      </c>
      <c r="K176" s="253">
        <v>58313804</v>
      </c>
      <c r="L176" s="253">
        <v>30879039</v>
      </c>
      <c r="M176" s="253">
        <v>97389275</v>
      </c>
      <c r="N176" s="253">
        <v>5470352</v>
      </c>
      <c r="O176" s="253">
        <v>3545589</v>
      </c>
      <c r="P176" s="253">
        <v>7763489</v>
      </c>
      <c r="Q176" s="253">
        <v>273304</v>
      </c>
      <c r="R176" s="285">
        <v>20015.630859375</v>
      </c>
      <c r="S176" s="285">
        <v>12973.0595703125</v>
      </c>
      <c r="T176" s="286">
        <v>28406.056640625</v>
      </c>
    </row>
    <row r="177" spans="2:20">
      <c r="B177" s="249" t="s">
        <v>501</v>
      </c>
      <c r="C177" s="250" t="s">
        <v>121</v>
      </c>
      <c r="D177" s="250" t="s">
        <v>502</v>
      </c>
      <c r="E177" s="251">
        <v>3</v>
      </c>
      <c r="F177" s="251" t="s">
        <v>281</v>
      </c>
      <c r="G177" s="253">
        <v>64103066</v>
      </c>
      <c r="H177" s="253">
        <v>34596732</v>
      </c>
      <c r="I177" s="253">
        <v>105678517</v>
      </c>
      <c r="J177" s="252">
        <v>-0.02</v>
      </c>
      <c r="K177" s="253">
        <v>57559492</v>
      </c>
      <c r="L177" s="253">
        <v>30487357</v>
      </c>
      <c r="M177" s="253">
        <v>96071392</v>
      </c>
      <c r="N177" s="253">
        <v>6543574</v>
      </c>
      <c r="O177" s="253">
        <v>4109375</v>
      </c>
      <c r="P177" s="253">
        <v>9607125</v>
      </c>
      <c r="Q177" s="253">
        <v>170998</v>
      </c>
      <c r="R177" s="285">
        <v>38266.96484375</v>
      </c>
      <c r="S177" s="285">
        <v>24031.712890625</v>
      </c>
      <c r="T177" s="286">
        <v>56182.67578125</v>
      </c>
    </row>
    <row r="178" spans="2:20">
      <c r="B178" s="249" t="s">
        <v>501</v>
      </c>
      <c r="C178" s="250" t="s">
        <v>121</v>
      </c>
      <c r="D178" s="250" t="s">
        <v>502</v>
      </c>
      <c r="E178" s="251">
        <v>4</v>
      </c>
      <c r="F178" s="251" t="s">
        <v>281</v>
      </c>
      <c r="G178" s="253">
        <v>64423567</v>
      </c>
      <c r="H178" s="253">
        <v>34769710</v>
      </c>
      <c r="I178" s="253">
        <v>106206876</v>
      </c>
      <c r="J178" s="252">
        <v>-0.02</v>
      </c>
      <c r="K178" s="253">
        <v>56777593</v>
      </c>
      <c r="L178" s="253">
        <v>30072381</v>
      </c>
      <c r="M178" s="253">
        <v>94561173</v>
      </c>
      <c r="N178" s="253">
        <v>7645974</v>
      </c>
      <c r="O178" s="253">
        <v>4697329</v>
      </c>
      <c r="P178" s="253">
        <v>11645703</v>
      </c>
      <c r="Q178" s="253">
        <v>170998</v>
      </c>
      <c r="R178" s="285">
        <v>44713.8203125</v>
      </c>
      <c r="S178" s="285">
        <v>27470.08203125</v>
      </c>
      <c r="T178" s="286">
        <v>68104.328125</v>
      </c>
    </row>
    <row r="179" spans="2:20">
      <c r="B179" s="249" t="s">
        <v>501</v>
      </c>
      <c r="C179" s="250" t="s">
        <v>121</v>
      </c>
      <c r="D179" s="250" t="s">
        <v>502</v>
      </c>
      <c r="E179" s="251">
        <v>5</v>
      </c>
      <c r="F179" s="251" t="s">
        <v>281</v>
      </c>
      <c r="G179" s="253">
        <v>64745714</v>
      </c>
      <c r="H179" s="253">
        <v>34943589</v>
      </c>
      <c r="I179" s="253">
        <v>106737953</v>
      </c>
      <c r="J179" s="252">
        <v>-0.02</v>
      </c>
      <c r="K179" s="253">
        <v>56042532</v>
      </c>
      <c r="L179" s="253">
        <v>29764697</v>
      </c>
      <c r="M179" s="253">
        <v>93276522</v>
      </c>
      <c r="N179" s="253">
        <v>8703182</v>
      </c>
      <c r="O179" s="253">
        <v>5178892</v>
      </c>
      <c r="P179" s="253">
        <v>13461431</v>
      </c>
      <c r="Q179" s="253">
        <v>170998</v>
      </c>
      <c r="R179" s="285">
        <v>50896.3984375</v>
      </c>
      <c r="S179" s="285">
        <v>30286.271484375</v>
      </c>
      <c r="T179" s="286">
        <v>78722.7421875</v>
      </c>
    </row>
    <row r="180" spans="2:20">
      <c r="B180" s="249" t="s">
        <v>501</v>
      </c>
      <c r="C180" s="250" t="s">
        <v>121</v>
      </c>
      <c r="D180" s="250" t="s">
        <v>201</v>
      </c>
      <c r="E180" s="251">
        <v>6</v>
      </c>
      <c r="F180" s="251" t="s">
        <v>281</v>
      </c>
      <c r="G180" s="253">
        <v>65069283</v>
      </c>
      <c r="H180" s="253">
        <v>35118184</v>
      </c>
      <c r="I180" s="253">
        <v>107271458</v>
      </c>
      <c r="J180" s="252">
        <v>-2E-3</v>
      </c>
      <c r="K180" s="253">
        <v>56219290</v>
      </c>
      <c r="L180" s="253">
        <v>29866471</v>
      </c>
      <c r="M180" s="253">
        <v>93601863</v>
      </c>
      <c r="N180" s="253">
        <v>8849993</v>
      </c>
      <c r="O180" s="253">
        <v>5251713</v>
      </c>
      <c r="P180" s="253">
        <v>13669595</v>
      </c>
      <c r="Q180" s="253">
        <v>123966</v>
      </c>
      <c r="R180" s="285">
        <v>71390.484375</v>
      </c>
      <c r="S180" s="285">
        <v>42364.140625</v>
      </c>
      <c r="T180" s="286">
        <v>110268.90625</v>
      </c>
    </row>
    <row r="181" spans="2:20">
      <c r="B181" s="249" t="s">
        <v>501</v>
      </c>
      <c r="C181" s="250" t="s">
        <v>121</v>
      </c>
      <c r="D181" s="250" t="s">
        <v>201</v>
      </c>
      <c r="E181" s="251">
        <v>7</v>
      </c>
      <c r="F181" s="251" t="s">
        <v>281</v>
      </c>
      <c r="G181" s="253">
        <v>65394678</v>
      </c>
      <c r="H181" s="253">
        <v>35293800</v>
      </c>
      <c r="I181" s="253">
        <v>107807880</v>
      </c>
      <c r="J181" s="252">
        <v>-2E-3</v>
      </c>
      <c r="K181" s="253">
        <v>56443774</v>
      </c>
      <c r="L181" s="253">
        <v>29968614</v>
      </c>
      <c r="M181" s="253">
        <v>93937739</v>
      </c>
      <c r="N181" s="253">
        <v>8950904</v>
      </c>
      <c r="O181" s="253">
        <v>5325186</v>
      </c>
      <c r="P181" s="253">
        <v>13870141</v>
      </c>
      <c r="Q181" s="253">
        <v>93727</v>
      </c>
      <c r="R181" s="285">
        <v>95499.7421875</v>
      </c>
      <c r="S181" s="285">
        <v>56815.921875</v>
      </c>
      <c r="T181" s="286">
        <v>147984.484375</v>
      </c>
    </row>
    <row r="182" spans="2:20">
      <c r="B182" s="249" t="s">
        <v>501</v>
      </c>
      <c r="C182" s="250" t="s">
        <v>121</v>
      </c>
      <c r="D182" s="250" t="s">
        <v>201</v>
      </c>
      <c r="E182" s="251">
        <v>8</v>
      </c>
      <c r="F182" s="251" t="s">
        <v>281</v>
      </c>
      <c r="G182" s="253">
        <v>65721801</v>
      </c>
      <c r="H182" s="253">
        <v>35470400</v>
      </c>
      <c r="I182" s="253">
        <v>108347093</v>
      </c>
      <c r="J182" s="252">
        <v>-2E-3</v>
      </c>
      <c r="K182" s="253">
        <v>56479385</v>
      </c>
      <c r="L182" s="253">
        <v>29985684</v>
      </c>
      <c r="M182" s="253">
        <v>94046959</v>
      </c>
      <c r="N182" s="253">
        <v>9242416</v>
      </c>
      <c r="O182" s="253">
        <v>5484716</v>
      </c>
      <c r="P182" s="253">
        <v>14300134</v>
      </c>
      <c r="Q182" s="253">
        <v>93727</v>
      </c>
      <c r="R182" s="285">
        <v>98609.9609375</v>
      </c>
      <c r="S182" s="285">
        <v>58517.9921875</v>
      </c>
      <c r="T182" s="286">
        <v>152572.1875</v>
      </c>
    </row>
    <row r="183" spans="2:20">
      <c r="B183" s="249" t="s">
        <v>501</v>
      </c>
      <c r="C183" s="250" t="s">
        <v>121</v>
      </c>
      <c r="D183" s="250" t="s">
        <v>201</v>
      </c>
      <c r="E183" s="251">
        <v>9</v>
      </c>
      <c r="F183" s="251" t="s">
        <v>281</v>
      </c>
      <c r="G183" s="253">
        <v>66050368</v>
      </c>
      <c r="H183" s="253">
        <v>35647711</v>
      </c>
      <c r="I183" s="253">
        <v>108888772</v>
      </c>
      <c r="J183" s="252">
        <v>-2E-3</v>
      </c>
      <c r="K183" s="253">
        <v>56675910</v>
      </c>
      <c r="L183" s="253">
        <v>30097444</v>
      </c>
      <c r="M183" s="253">
        <v>94393165</v>
      </c>
      <c r="N183" s="253">
        <v>9374458</v>
      </c>
      <c r="O183" s="253">
        <v>5550267</v>
      </c>
      <c r="P183" s="253">
        <v>14495607</v>
      </c>
      <c r="Q183" s="253">
        <v>93727</v>
      </c>
      <c r="R183" s="285">
        <v>100018.75</v>
      </c>
      <c r="S183" s="285">
        <v>59217.375</v>
      </c>
      <c r="T183" s="286">
        <v>154657.75</v>
      </c>
    </row>
    <row r="184" spans="2:20">
      <c r="B184" s="249" t="s">
        <v>501</v>
      </c>
      <c r="C184" s="250" t="s">
        <v>121</v>
      </c>
      <c r="D184" s="250" t="s">
        <v>201</v>
      </c>
      <c r="E184" s="251">
        <v>10</v>
      </c>
      <c r="F184" s="251" t="s">
        <v>281</v>
      </c>
      <c r="G184" s="253">
        <v>66380616</v>
      </c>
      <c r="H184" s="253">
        <v>35825953</v>
      </c>
      <c r="I184" s="253">
        <v>109433221</v>
      </c>
      <c r="J184" s="252">
        <v>-2E-3</v>
      </c>
      <c r="K184" s="253">
        <v>56853883</v>
      </c>
      <c r="L184" s="253">
        <v>30200018</v>
      </c>
      <c r="M184" s="253">
        <v>94711802</v>
      </c>
      <c r="N184" s="253">
        <v>9526733</v>
      </c>
      <c r="O184" s="253">
        <v>5625935</v>
      </c>
      <c r="P184" s="253">
        <v>14721419</v>
      </c>
      <c r="Q184" s="253">
        <v>93727</v>
      </c>
      <c r="R184" s="285">
        <v>101643.421875</v>
      </c>
      <c r="S184" s="285">
        <v>60024.69921875</v>
      </c>
      <c r="T184" s="286">
        <v>157067</v>
      </c>
    </row>
    <row r="185" spans="2:20">
      <c r="B185" s="249" t="s">
        <v>501</v>
      </c>
      <c r="C185" s="250" t="s">
        <v>121</v>
      </c>
      <c r="D185" s="250" t="s">
        <v>201</v>
      </c>
      <c r="E185" s="251">
        <v>11</v>
      </c>
      <c r="F185" s="251" t="s">
        <v>281</v>
      </c>
      <c r="G185" s="253">
        <v>66712539</v>
      </c>
      <c r="H185" s="253">
        <v>36005105</v>
      </c>
      <c r="I185" s="253">
        <v>109980423</v>
      </c>
      <c r="J185" s="252">
        <v>-2E-3</v>
      </c>
      <c r="K185" s="253">
        <v>57061091</v>
      </c>
      <c r="L185" s="253">
        <v>30273966</v>
      </c>
      <c r="M185" s="253">
        <v>95002357</v>
      </c>
      <c r="N185" s="253">
        <v>9651448</v>
      </c>
      <c r="O185" s="253">
        <v>5731139</v>
      </c>
      <c r="P185" s="253">
        <v>14978066</v>
      </c>
      <c r="Q185" s="253">
        <v>123966</v>
      </c>
      <c r="R185" s="285">
        <v>77855.609375</v>
      </c>
      <c r="S185" s="285">
        <v>46231.5390625</v>
      </c>
      <c r="T185" s="286">
        <v>120823.984375</v>
      </c>
    </row>
    <row r="186" spans="2:20">
      <c r="B186" s="249" t="s">
        <v>501</v>
      </c>
      <c r="C186" s="250" t="s">
        <v>121</v>
      </c>
      <c r="D186" s="250" t="s">
        <v>201</v>
      </c>
      <c r="E186" s="251">
        <v>12</v>
      </c>
      <c r="F186" s="251" t="s">
        <v>281</v>
      </c>
      <c r="G186" s="253">
        <v>67046100</v>
      </c>
      <c r="H186" s="253">
        <v>36185110</v>
      </c>
      <c r="I186" s="253">
        <v>110530303</v>
      </c>
      <c r="J186" s="252">
        <v>-2E-3</v>
      </c>
      <c r="K186" s="253">
        <v>57220571</v>
      </c>
      <c r="L186" s="253">
        <v>30386606</v>
      </c>
      <c r="M186" s="253">
        <v>95274093</v>
      </c>
      <c r="N186" s="253">
        <v>9825529</v>
      </c>
      <c r="O186" s="253">
        <v>5798504</v>
      </c>
      <c r="P186" s="253">
        <v>15256210</v>
      </c>
      <c r="Q186" s="253">
        <v>93727</v>
      </c>
      <c r="R186" s="285">
        <v>104831.359375</v>
      </c>
      <c r="S186" s="285">
        <v>61865.88671875</v>
      </c>
      <c r="T186" s="286">
        <v>162772.84375</v>
      </c>
    </row>
    <row r="187" spans="2:20">
      <c r="B187" s="249" t="s">
        <v>501</v>
      </c>
      <c r="C187" s="250" t="s">
        <v>121</v>
      </c>
      <c r="D187" s="250" t="s">
        <v>201</v>
      </c>
      <c r="E187" s="251">
        <v>13</v>
      </c>
      <c r="F187" s="251" t="s">
        <v>281</v>
      </c>
      <c r="G187" s="253">
        <v>67381313</v>
      </c>
      <c r="H187" s="253">
        <v>36366011</v>
      </c>
      <c r="I187" s="253">
        <v>111082917</v>
      </c>
      <c r="J187" s="252">
        <v>-2E-3</v>
      </c>
      <c r="K187" s="253">
        <v>57409366</v>
      </c>
      <c r="L187" s="253">
        <v>30499615</v>
      </c>
      <c r="M187" s="253">
        <v>95643425</v>
      </c>
      <c r="N187" s="253">
        <v>9971947</v>
      </c>
      <c r="O187" s="253">
        <v>5866396</v>
      </c>
      <c r="P187" s="253">
        <v>15439492</v>
      </c>
      <c r="Q187" s="253">
        <v>93727</v>
      </c>
      <c r="R187" s="285">
        <v>106393.5390625</v>
      </c>
      <c r="S187" s="285">
        <v>62590.24609375</v>
      </c>
      <c r="T187" s="286">
        <v>164728.328125</v>
      </c>
    </row>
    <row r="188" spans="2:20">
      <c r="B188" s="249" t="s">
        <v>501</v>
      </c>
      <c r="C188" s="250" t="s">
        <v>121</v>
      </c>
      <c r="D188" s="250" t="s">
        <v>201</v>
      </c>
      <c r="E188" s="251">
        <v>14</v>
      </c>
      <c r="F188" s="251" t="s">
        <v>281</v>
      </c>
      <c r="G188" s="253">
        <v>67718222</v>
      </c>
      <c r="H188" s="253">
        <v>36547863</v>
      </c>
      <c r="I188" s="253">
        <v>111638347</v>
      </c>
      <c r="J188" s="252">
        <v>-2E-3</v>
      </c>
      <c r="K188" s="253">
        <v>57315071</v>
      </c>
      <c r="L188" s="253">
        <v>30554342</v>
      </c>
      <c r="M188" s="253">
        <v>95779415</v>
      </c>
      <c r="N188" s="253">
        <v>10403151</v>
      </c>
      <c r="O188" s="253">
        <v>5993521</v>
      </c>
      <c r="P188" s="253">
        <v>15858932</v>
      </c>
      <c r="Q188" s="253">
        <v>93727</v>
      </c>
      <c r="R188" s="285">
        <v>110994.171875</v>
      </c>
      <c r="S188" s="285">
        <v>63946.578125</v>
      </c>
      <c r="T188" s="286">
        <v>169203.453125</v>
      </c>
    </row>
    <row r="189" spans="2:20">
      <c r="B189" s="256" t="s">
        <v>501</v>
      </c>
      <c r="C189" s="257" t="s">
        <v>121</v>
      </c>
      <c r="D189" s="257" t="s">
        <v>201</v>
      </c>
      <c r="E189" s="258">
        <v>15</v>
      </c>
      <c r="F189" s="258" t="s">
        <v>281</v>
      </c>
      <c r="G189" s="260">
        <v>68056809</v>
      </c>
      <c r="H189" s="260">
        <v>36730607</v>
      </c>
      <c r="I189" s="260">
        <v>112196551</v>
      </c>
      <c r="J189" s="259">
        <v>-2E-3</v>
      </c>
      <c r="K189" s="260">
        <v>57523052</v>
      </c>
      <c r="L189" s="260">
        <v>30657984</v>
      </c>
      <c r="M189" s="260">
        <v>96071630</v>
      </c>
      <c r="N189" s="260">
        <v>10533757</v>
      </c>
      <c r="O189" s="260">
        <v>6072623</v>
      </c>
      <c r="P189" s="260">
        <v>16124921</v>
      </c>
      <c r="Q189" s="260">
        <v>93727</v>
      </c>
      <c r="R189" s="287">
        <v>112387.6484375</v>
      </c>
      <c r="S189" s="287">
        <v>64790.54296875</v>
      </c>
      <c r="T189" s="288">
        <v>172041.359375</v>
      </c>
    </row>
    <row r="190" spans="2:20">
      <c r="B190" s="249" t="s">
        <v>501</v>
      </c>
      <c r="C190" s="250" t="s">
        <v>122</v>
      </c>
      <c r="D190" s="250" t="s">
        <v>502</v>
      </c>
      <c r="E190" s="251">
        <v>1</v>
      </c>
      <c r="F190" s="251" t="s">
        <v>281</v>
      </c>
      <c r="G190" s="253">
        <v>63466799</v>
      </c>
      <c r="H190" s="253">
        <v>34253341</v>
      </c>
      <c r="I190" s="253">
        <v>104629575</v>
      </c>
      <c r="J190" s="252">
        <v>-1.2E-2</v>
      </c>
      <c r="K190" s="253">
        <v>59269929</v>
      </c>
      <c r="L190" s="253">
        <v>31394354</v>
      </c>
      <c r="M190" s="253">
        <v>99067356</v>
      </c>
      <c r="N190" s="253">
        <v>4196870</v>
      </c>
      <c r="O190" s="253">
        <v>2858987</v>
      </c>
      <c r="P190" s="253">
        <v>5562219</v>
      </c>
      <c r="Q190" s="253">
        <v>131759</v>
      </c>
      <c r="R190" s="285">
        <v>31852.625</v>
      </c>
      <c r="S190" s="285">
        <v>21698.609375</v>
      </c>
      <c r="T190" s="286">
        <v>42215.09375</v>
      </c>
    </row>
    <row r="191" spans="2:20">
      <c r="B191" s="249" t="s">
        <v>501</v>
      </c>
      <c r="C191" s="250" t="s">
        <v>122</v>
      </c>
      <c r="D191" s="250" t="s">
        <v>502</v>
      </c>
      <c r="E191" s="251">
        <v>2</v>
      </c>
      <c r="F191" s="251" t="s">
        <v>281</v>
      </c>
      <c r="G191" s="253">
        <v>63784156</v>
      </c>
      <c r="H191" s="253">
        <v>34424628</v>
      </c>
      <c r="I191" s="253">
        <v>105152764</v>
      </c>
      <c r="J191" s="252">
        <v>-1.2E-2</v>
      </c>
      <c r="K191" s="253">
        <v>59059767</v>
      </c>
      <c r="L191" s="253">
        <v>31275042</v>
      </c>
      <c r="M191" s="253">
        <v>98678594</v>
      </c>
      <c r="N191" s="253">
        <v>4724389</v>
      </c>
      <c r="O191" s="253">
        <v>3149586</v>
      </c>
      <c r="P191" s="253">
        <v>6474170</v>
      </c>
      <c r="Q191" s="253">
        <v>273529</v>
      </c>
      <c r="R191" s="285">
        <v>17271.986328125</v>
      </c>
      <c r="S191" s="285">
        <v>11514.6328125</v>
      </c>
      <c r="T191" s="286">
        <v>23669.044921875</v>
      </c>
    </row>
    <row r="192" spans="2:20">
      <c r="B192" s="249" t="s">
        <v>501</v>
      </c>
      <c r="C192" s="250" t="s">
        <v>122</v>
      </c>
      <c r="D192" s="250" t="s">
        <v>502</v>
      </c>
      <c r="E192" s="251">
        <v>3</v>
      </c>
      <c r="F192" s="251" t="s">
        <v>281</v>
      </c>
      <c r="G192" s="253">
        <v>64103066</v>
      </c>
      <c r="H192" s="253">
        <v>34596732</v>
      </c>
      <c r="I192" s="253">
        <v>105678517</v>
      </c>
      <c r="J192" s="252">
        <v>-1.2E-2</v>
      </c>
      <c r="K192" s="253">
        <v>58818234</v>
      </c>
      <c r="L192" s="253">
        <v>31107472</v>
      </c>
      <c r="M192" s="253">
        <v>98190890</v>
      </c>
      <c r="N192" s="253">
        <v>5284832</v>
      </c>
      <c r="O192" s="253">
        <v>3489260</v>
      </c>
      <c r="P192" s="253">
        <v>7487627</v>
      </c>
      <c r="Q192" s="253">
        <v>174910</v>
      </c>
      <c r="R192" s="285">
        <v>30214.578125</v>
      </c>
      <c r="S192" s="285">
        <v>19948.888671875</v>
      </c>
      <c r="T192" s="286">
        <v>42808.45703125</v>
      </c>
    </row>
    <row r="193" spans="2:27">
      <c r="B193" s="249" t="s">
        <v>501</v>
      </c>
      <c r="C193" s="250" t="s">
        <v>122</v>
      </c>
      <c r="D193" s="250" t="s">
        <v>502</v>
      </c>
      <c r="E193" s="251">
        <v>4</v>
      </c>
      <c r="F193" s="251" t="s">
        <v>281</v>
      </c>
      <c r="G193" s="253">
        <v>64423567</v>
      </c>
      <c r="H193" s="253">
        <v>34769710</v>
      </c>
      <c r="I193" s="253">
        <v>106206876</v>
      </c>
      <c r="J193" s="252">
        <v>-1.2E-2</v>
      </c>
      <c r="K193" s="253">
        <v>58507705</v>
      </c>
      <c r="L193" s="253">
        <v>30965351</v>
      </c>
      <c r="M193" s="253">
        <v>97695855</v>
      </c>
      <c r="N193" s="253">
        <v>5915862</v>
      </c>
      <c r="O193" s="253">
        <v>3804359</v>
      </c>
      <c r="P193" s="253">
        <v>8511021</v>
      </c>
      <c r="Q193" s="253">
        <v>174910</v>
      </c>
      <c r="R193" s="285">
        <v>33822.3203125</v>
      </c>
      <c r="S193" s="285">
        <v>21750.37890625</v>
      </c>
      <c r="T193" s="286">
        <v>48659.4296875</v>
      </c>
    </row>
    <row r="194" spans="2:27">
      <c r="B194" s="249" t="s">
        <v>501</v>
      </c>
      <c r="C194" s="250" t="s">
        <v>122</v>
      </c>
      <c r="D194" s="250" t="s">
        <v>502</v>
      </c>
      <c r="E194" s="251">
        <v>5</v>
      </c>
      <c r="F194" s="251" t="s">
        <v>281</v>
      </c>
      <c r="G194" s="253">
        <v>64745714</v>
      </c>
      <c r="H194" s="253">
        <v>34943589</v>
      </c>
      <c r="I194" s="253">
        <v>106737953</v>
      </c>
      <c r="J194" s="252">
        <v>-1.2E-2</v>
      </c>
      <c r="K194" s="253">
        <v>58136535</v>
      </c>
      <c r="L194" s="253">
        <v>30792997</v>
      </c>
      <c r="M194" s="253">
        <v>97034520</v>
      </c>
      <c r="N194" s="253">
        <v>6609179</v>
      </c>
      <c r="O194" s="253">
        <v>4150592</v>
      </c>
      <c r="P194" s="253">
        <v>9703433</v>
      </c>
      <c r="Q194" s="253">
        <v>174910</v>
      </c>
      <c r="R194" s="285">
        <v>37786.171875</v>
      </c>
      <c r="S194" s="285">
        <v>23729.87109375</v>
      </c>
      <c r="T194" s="286">
        <v>55476.71875</v>
      </c>
    </row>
    <row r="195" spans="2:27">
      <c r="B195" s="249" t="s">
        <v>501</v>
      </c>
      <c r="C195" s="250" t="s">
        <v>122</v>
      </c>
      <c r="D195" s="250" t="s">
        <v>201</v>
      </c>
      <c r="E195" s="251">
        <v>6</v>
      </c>
      <c r="F195" s="251" t="s">
        <v>281</v>
      </c>
      <c r="G195" s="253">
        <v>65069283</v>
      </c>
      <c r="H195" s="253">
        <v>35118184</v>
      </c>
      <c r="I195" s="253">
        <v>107271458</v>
      </c>
      <c r="J195" s="252">
        <v>-3.0000000000000001E-3</v>
      </c>
      <c r="K195" s="253">
        <v>58276791</v>
      </c>
      <c r="L195" s="253">
        <v>30862341</v>
      </c>
      <c r="M195" s="253">
        <v>97237724</v>
      </c>
      <c r="N195" s="253">
        <v>6792492</v>
      </c>
      <c r="O195" s="253">
        <v>4255843</v>
      </c>
      <c r="P195" s="253">
        <v>10033734</v>
      </c>
      <c r="Q195" s="253">
        <v>117911</v>
      </c>
      <c r="R195" s="285">
        <v>57606.94140625</v>
      </c>
      <c r="S195" s="285">
        <v>36093.6875</v>
      </c>
      <c r="T195" s="286">
        <v>85095.828125</v>
      </c>
    </row>
    <row r="196" spans="2:27">
      <c r="B196" s="249" t="s">
        <v>501</v>
      </c>
      <c r="C196" s="250" t="s">
        <v>122</v>
      </c>
      <c r="D196" s="250" t="s">
        <v>201</v>
      </c>
      <c r="E196" s="251">
        <v>7</v>
      </c>
      <c r="F196" s="251" t="s">
        <v>281</v>
      </c>
      <c r="G196" s="253">
        <v>65394678</v>
      </c>
      <c r="H196" s="253">
        <v>35293800</v>
      </c>
      <c r="I196" s="253">
        <v>107807880</v>
      </c>
      <c r="J196" s="252">
        <v>-3.0000000000000001E-3</v>
      </c>
      <c r="K196" s="253">
        <v>58436032</v>
      </c>
      <c r="L196" s="253">
        <v>30950578</v>
      </c>
      <c r="M196" s="253">
        <v>97431267</v>
      </c>
      <c r="N196" s="253">
        <v>6958646</v>
      </c>
      <c r="O196" s="253">
        <v>4343222</v>
      </c>
      <c r="P196" s="253">
        <v>10376613</v>
      </c>
      <c r="Q196" s="253">
        <v>90500</v>
      </c>
      <c r="R196" s="285">
        <v>76891.109375</v>
      </c>
      <c r="S196" s="285">
        <v>47991.40234375</v>
      </c>
      <c r="T196" s="286">
        <v>114658.703125</v>
      </c>
    </row>
    <row r="197" spans="2:27">
      <c r="B197" s="249" t="s">
        <v>501</v>
      </c>
      <c r="C197" s="250" t="s">
        <v>122</v>
      </c>
      <c r="D197" s="250" t="s">
        <v>201</v>
      </c>
      <c r="E197" s="251">
        <v>8</v>
      </c>
      <c r="F197" s="251" t="s">
        <v>281</v>
      </c>
      <c r="G197" s="253">
        <v>65721801</v>
      </c>
      <c r="H197" s="253">
        <v>35470400</v>
      </c>
      <c r="I197" s="253">
        <v>108347093</v>
      </c>
      <c r="J197" s="252">
        <v>-3.0000000000000001E-3</v>
      </c>
      <c r="K197" s="253">
        <v>58585981</v>
      </c>
      <c r="L197" s="253">
        <v>31010514</v>
      </c>
      <c r="M197" s="253">
        <v>97595909</v>
      </c>
      <c r="N197" s="253">
        <v>7135820</v>
      </c>
      <c r="O197" s="253">
        <v>4459886</v>
      </c>
      <c r="P197" s="253">
        <v>10751184</v>
      </c>
      <c r="Q197" s="253">
        <v>90500</v>
      </c>
      <c r="R197" s="285">
        <v>78848.8359375</v>
      </c>
      <c r="S197" s="285">
        <v>49280.51171875</v>
      </c>
      <c r="T197" s="286">
        <v>118797.6171875</v>
      </c>
    </row>
    <row r="198" spans="2:27">
      <c r="B198" s="249" t="s">
        <v>501</v>
      </c>
      <c r="C198" s="250" t="s">
        <v>122</v>
      </c>
      <c r="D198" s="250" t="s">
        <v>201</v>
      </c>
      <c r="E198" s="251">
        <v>9</v>
      </c>
      <c r="F198" s="251" t="s">
        <v>281</v>
      </c>
      <c r="G198" s="253">
        <v>66050368</v>
      </c>
      <c r="H198" s="253">
        <v>35647711</v>
      </c>
      <c r="I198" s="253">
        <v>108888772</v>
      </c>
      <c r="J198" s="252">
        <v>-3.0000000000000001E-3</v>
      </c>
      <c r="K198" s="253">
        <v>58716757</v>
      </c>
      <c r="L198" s="253">
        <v>31060642</v>
      </c>
      <c r="M198" s="253">
        <v>97816812</v>
      </c>
      <c r="N198" s="253">
        <v>7333611</v>
      </c>
      <c r="O198" s="253">
        <v>4587069</v>
      </c>
      <c r="P198" s="253">
        <v>11071960</v>
      </c>
      <c r="Q198" s="253">
        <v>90500</v>
      </c>
      <c r="R198" s="285">
        <v>81034.375</v>
      </c>
      <c r="S198" s="285">
        <v>50685.84375</v>
      </c>
      <c r="T198" s="286">
        <v>122342.1015625</v>
      </c>
    </row>
    <row r="199" spans="2:27">
      <c r="B199" s="249" t="s">
        <v>501</v>
      </c>
      <c r="C199" s="250" t="s">
        <v>122</v>
      </c>
      <c r="D199" s="250" t="s">
        <v>201</v>
      </c>
      <c r="E199" s="251">
        <v>10</v>
      </c>
      <c r="F199" s="251" t="s">
        <v>281</v>
      </c>
      <c r="G199" s="253">
        <v>66380616</v>
      </c>
      <c r="H199" s="253">
        <v>35825953</v>
      </c>
      <c r="I199" s="253">
        <v>109433221</v>
      </c>
      <c r="J199" s="252">
        <v>-3.0000000000000001E-3</v>
      </c>
      <c r="K199" s="253">
        <v>58876159</v>
      </c>
      <c r="L199" s="253">
        <v>31158444</v>
      </c>
      <c r="M199" s="253">
        <v>97912950</v>
      </c>
      <c r="N199" s="253">
        <v>7504457</v>
      </c>
      <c r="O199" s="253">
        <v>4667509</v>
      </c>
      <c r="P199" s="253">
        <v>11520271</v>
      </c>
      <c r="Q199" s="253">
        <v>90500</v>
      </c>
      <c r="R199" s="285">
        <v>82922.1796875</v>
      </c>
      <c r="S199" s="285">
        <v>51574.68359375</v>
      </c>
      <c r="T199" s="286">
        <v>127295.8125</v>
      </c>
    </row>
    <row r="200" spans="2:27">
      <c r="B200" s="249" t="s">
        <v>501</v>
      </c>
      <c r="C200" s="250" t="s">
        <v>122</v>
      </c>
      <c r="D200" s="250" t="s">
        <v>201</v>
      </c>
      <c r="E200" s="251">
        <v>11</v>
      </c>
      <c r="F200" s="251" t="s">
        <v>281</v>
      </c>
      <c r="G200" s="253">
        <v>66712539</v>
      </c>
      <c r="H200" s="253">
        <v>36005105</v>
      </c>
      <c r="I200" s="253">
        <v>109980423</v>
      </c>
      <c r="J200" s="252">
        <v>-3.0000000000000001E-3</v>
      </c>
      <c r="K200" s="253">
        <v>58987537</v>
      </c>
      <c r="L200" s="253">
        <v>31237183</v>
      </c>
      <c r="M200" s="253">
        <v>98152084</v>
      </c>
      <c r="N200" s="253">
        <v>7725002</v>
      </c>
      <c r="O200" s="253">
        <v>4767922</v>
      </c>
      <c r="P200" s="253">
        <v>11828339</v>
      </c>
      <c r="Q200" s="253">
        <v>117911</v>
      </c>
      <c r="R200" s="285">
        <v>65515.53515625</v>
      </c>
      <c r="S200" s="285">
        <v>40436.6171875</v>
      </c>
      <c r="T200" s="286">
        <v>100315.828125</v>
      </c>
    </row>
    <row r="201" spans="2:27">
      <c r="B201" s="249" t="s">
        <v>501</v>
      </c>
      <c r="C201" s="250" t="s">
        <v>122</v>
      </c>
      <c r="D201" s="250" t="s">
        <v>201</v>
      </c>
      <c r="E201" s="251">
        <v>12</v>
      </c>
      <c r="F201" s="251" t="s">
        <v>281</v>
      </c>
      <c r="G201" s="253">
        <v>67046100</v>
      </c>
      <c r="H201" s="253">
        <v>36185110</v>
      </c>
      <c r="I201" s="253">
        <v>110530303</v>
      </c>
      <c r="J201" s="252">
        <v>-3.0000000000000001E-3</v>
      </c>
      <c r="K201" s="253">
        <v>59069516</v>
      </c>
      <c r="L201" s="253">
        <v>31296561</v>
      </c>
      <c r="M201" s="253">
        <v>98371802</v>
      </c>
      <c r="N201" s="253">
        <v>7976584</v>
      </c>
      <c r="O201" s="253">
        <v>4888549</v>
      </c>
      <c r="P201" s="253">
        <v>12158501</v>
      </c>
      <c r="Q201" s="253">
        <v>90500</v>
      </c>
      <c r="R201" s="285">
        <v>88139.0546875</v>
      </c>
      <c r="S201" s="285">
        <v>54017.1171875</v>
      </c>
      <c r="T201" s="286">
        <v>134348.078125</v>
      </c>
    </row>
    <row r="202" spans="2:27">
      <c r="B202" s="249" t="s">
        <v>501</v>
      </c>
      <c r="C202" s="250" t="s">
        <v>122</v>
      </c>
      <c r="D202" s="250" t="s">
        <v>201</v>
      </c>
      <c r="E202" s="251">
        <v>13</v>
      </c>
      <c r="F202" s="251" t="s">
        <v>281</v>
      </c>
      <c r="G202" s="253">
        <v>67381313</v>
      </c>
      <c r="H202" s="253">
        <v>36366011</v>
      </c>
      <c r="I202" s="253">
        <v>111082917</v>
      </c>
      <c r="J202" s="252">
        <v>-3.0000000000000001E-3</v>
      </c>
      <c r="K202" s="253">
        <v>59257831</v>
      </c>
      <c r="L202" s="253">
        <v>31414122</v>
      </c>
      <c r="M202" s="253">
        <v>98669079</v>
      </c>
      <c r="N202" s="253">
        <v>8123482</v>
      </c>
      <c r="O202" s="253">
        <v>4951889</v>
      </c>
      <c r="P202" s="253">
        <v>12413838</v>
      </c>
      <c r="Q202" s="253">
        <v>90500</v>
      </c>
      <c r="R202" s="285">
        <v>89762.2265625</v>
      </c>
      <c r="S202" s="285">
        <v>54717.0078125</v>
      </c>
      <c r="T202" s="286">
        <v>137169.484375</v>
      </c>
    </row>
    <row r="203" spans="2:27">
      <c r="B203" s="249" t="s">
        <v>501</v>
      </c>
      <c r="C203" s="250" t="s">
        <v>122</v>
      </c>
      <c r="D203" s="250" t="s">
        <v>201</v>
      </c>
      <c r="E203" s="251">
        <v>14</v>
      </c>
      <c r="F203" s="251" t="s">
        <v>281</v>
      </c>
      <c r="G203" s="253">
        <v>67718222</v>
      </c>
      <c r="H203" s="253">
        <v>36547863</v>
      </c>
      <c r="I203" s="253">
        <v>111638347</v>
      </c>
      <c r="J203" s="252">
        <v>-3.0000000000000001E-3</v>
      </c>
      <c r="K203" s="253">
        <v>59290128</v>
      </c>
      <c r="L203" s="253">
        <v>31453862</v>
      </c>
      <c r="M203" s="253">
        <v>98829978</v>
      </c>
      <c r="N203" s="253">
        <v>8428094</v>
      </c>
      <c r="O203" s="253">
        <v>5094001</v>
      </c>
      <c r="P203" s="253">
        <v>12808369</v>
      </c>
      <c r="Q203" s="253">
        <v>90500</v>
      </c>
      <c r="R203" s="285">
        <v>93128.109375</v>
      </c>
      <c r="S203" s="285">
        <v>56287.3046875</v>
      </c>
      <c r="T203" s="286">
        <v>141528.953125</v>
      </c>
    </row>
    <row r="204" spans="2:27">
      <c r="B204" s="256" t="s">
        <v>501</v>
      </c>
      <c r="C204" s="257" t="s">
        <v>122</v>
      </c>
      <c r="D204" s="257" t="s">
        <v>201</v>
      </c>
      <c r="E204" s="258">
        <v>15</v>
      </c>
      <c r="F204" s="258" t="s">
        <v>281</v>
      </c>
      <c r="G204" s="260">
        <v>68056809</v>
      </c>
      <c r="H204" s="260">
        <v>36730607</v>
      </c>
      <c r="I204" s="260">
        <v>112196551</v>
      </c>
      <c r="J204" s="259">
        <v>-3.0000000000000001E-3</v>
      </c>
      <c r="K204" s="260">
        <v>59458840</v>
      </c>
      <c r="L204" s="260">
        <v>31542354</v>
      </c>
      <c r="M204" s="260">
        <v>99058823</v>
      </c>
      <c r="N204" s="260">
        <v>8597969</v>
      </c>
      <c r="O204" s="260">
        <v>5188253</v>
      </c>
      <c r="P204" s="260">
        <v>13137728</v>
      </c>
      <c r="Q204" s="260">
        <v>90500</v>
      </c>
      <c r="R204" s="287">
        <v>95005.1796875</v>
      </c>
      <c r="S204" s="287">
        <v>57328.76171875</v>
      </c>
      <c r="T204" s="288">
        <v>145168.265625</v>
      </c>
    </row>
    <row r="205" spans="2:27">
      <c r="B205" s="249" t="s">
        <v>513</v>
      </c>
      <c r="C205" s="250" t="s">
        <v>242</v>
      </c>
      <c r="D205" s="250" t="s">
        <v>502</v>
      </c>
      <c r="E205" s="251">
        <v>1</v>
      </c>
      <c r="F205" s="251" t="s">
        <v>281</v>
      </c>
      <c r="G205" s="253">
        <v>53405233</v>
      </c>
      <c r="H205" s="253">
        <v>30459655</v>
      </c>
      <c r="I205" s="253">
        <v>85450251</v>
      </c>
      <c r="J205" s="252">
        <v>-6.6000000000000003E-2</v>
      </c>
      <c r="K205" s="253">
        <v>47907115</v>
      </c>
      <c r="L205" s="253">
        <v>26968361</v>
      </c>
      <c r="M205" s="253">
        <v>77276393</v>
      </c>
      <c r="N205" s="253">
        <v>5498118</v>
      </c>
      <c r="O205" s="253">
        <v>3491294</v>
      </c>
      <c r="P205" s="253">
        <v>8173858</v>
      </c>
      <c r="Q205" s="253">
        <v>977845</v>
      </c>
      <c r="R205" s="285">
        <v>5622.68896484375</v>
      </c>
      <c r="S205" s="285">
        <v>3570.396240234375</v>
      </c>
      <c r="T205" s="286">
        <v>8359.052734375</v>
      </c>
      <c r="U205"/>
      <c r="V205"/>
      <c r="W205"/>
      <c r="X205"/>
      <c r="Y205"/>
      <c r="Z205"/>
      <c r="AA205"/>
    </row>
    <row r="206" spans="2:27">
      <c r="B206" s="249" t="s">
        <v>513</v>
      </c>
      <c r="C206" s="250" t="s">
        <v>242</v>
      </c>
      <c r="D206" s="250" t="s">
        <v>502</v>
      </c>
      <c r="E206" s="251">
        <v>2</v>
      </c>
      <c r="F206" s="251" t="s">
        <v>281</v>
      </c>
      <c r="G206" s="253">
        <v>53672278</v>
      </c>
      <c r="H206" s="253">
        <v>30611964</v>
      </c>
      <c r="I206" s="253">
        <v>85877536</v>
      </c>
      <c r="J206" s="252">
        <v>-6.6000000000000003E-2</v>
      </c>
      <c r="K206" s="253">
        <v>44997033</v>
      </c>
      <c r="L206" s="253">
        <v>25381050</v>
      </c>
      <c r="M206" s="253">
        <v>72588393</v>
      </c>
      <c r="N206" s="253">
        <v>8675245</v>
      </c>
      <c r="O206" s="253">
        <v>5230914</v>
      </c>
      <c r="P206" s="253">
        <v>13289143</v>
      </c>
      <c r="Q206" s="253">
        <v>1239352</v>
      </c>
      <c r="R206" s="285">
        <v>6999.8232421875</v>
      </c>
      <c r="S206" s="285">
        <v>4220.6845703125</v>
      </c>
      <c r="T206" s="286">
        <v>10722.654296875</v>
      </c>
      <c r="U206"/>
      <c r="V206"/>
      <c r="W206"/>
      <c r="X206"/>
      <c r="Y206"/>
      <c r="Z206"/>
      <c r="AA206"/>
    </row>
    <row r="207" spans="2:27">
      <c r="B207" s="249" t="s">
        <v>513</v>
      </c>
      <c r="C207" s="250" t="s">
        <v>242</v>
      </c>
      <c r="D207" s="250" t="s">
        <v>502</v>
      </c>
      <c r="E207" s="251">
        <v>3</v>
      </c>
      <c r="F207" s="251" t="s">
        <v>281</v>
      </c>
      <c r="G207" s="253">
        <v>53940632</v>
      </c>
      <c r="H207" s="253">
        <v>30765014</v>
      </c>
      <c r="I207" s="253">
        <v>86306916</v>
      </c>
      <c r="J207" s="252">
        <v>-6.6000000000000003E-2</v>
      </c>
      <c r="K207" s="253">
        <v>42269518</v>
      </c>
      <c r="L207" s="253">
        <v>23832700</v>
      </c>
      <c r="M207" s="253">
        <v>68166238</v>
      </c>
      <c r="N207" s="253">
        <v>11671114</v>
      </c>
      <c r="O207" s="253">
        <v>6932314</v>
      </c>
      <c r="P207" s="253">
        <v>18140678</v>
      </c>
      <c r="Q207" s="253">
        <v>837959</v>
      </c>
      <c r="R207" s="285">
        <v>13928.025390625</v>
      </c>
      <c r="S207" s="285">
        <v>8272.85546875</v>
      </c>
      <c r="T207" s="286">
        <v>21648.64453125</v>
      </c>
      <c r="U207"/>
      <c r="V207"/>
      <c r="W207"/>
      <c r="X207"/>
      <c r="Y207"/>
      <c r="Z207"/>
      <c r="AA207"/>
    </row>
    <row r="208" spans="2:27">
      <c r="B208" s="249" t="s">
        <v>513</v>
      </c>
      <c r="C208" s="250" t="s">
        <v>242</v>
      </c>
      <c r="D208" s="250" t="s">
        <v>502</v>
      </c>
      <c r="E208" s="251">
        <v>4</v>
      </c>
      <c r="F208" s="251" t="s">
        <v>281</v>
      </c>
      <c r="G208" s="253">
        <v>54210326</v>
      </c>
      <c r="H208" s="253">
        <v>30918835</v>
      </c>
      <c r="I208" s="253">
        <v>86738425</v>
      </c>
      <c r="J208" s="252">
        <v>-6.6000000000000003E-2</v>
      </c>
      <c r="K208" s="253">
        <v>39634550</v>
      </c>
      <c r="L208" s="253">
        <v>22333375</v>
      </c>
      <c r="M208" s="253">
        <v>63949250</v>
      </c>
      <c r="N208" s="253">
        <v>14575776</v>
      </c>
      <c r="O208" s="253">
        <v>8585460</v>
      </c>
      <c r="P208" s="253">
        <v>22789176</v>
      </c>
      <c r="Q208" s="253">
        <v>855330</v>
      </c>
      <c r="R208" s="285">
        <v>17041.115234375</v>
      </c>
      <c r="S208" s="285">
        <v>10037.599609375</v>
      </c>
      <c r="T208" s="286">
        <v>26643.72265625</v>
      </c>
      <c r="U208"/>
      <c r="V208"/>
      <c r="W208"/>
      <c r="X208"/>
      <c r="Y208"/>
      <c r="Z208"/>
      <c r="AA208"/>
    </row>
    <row r="209" spans="2:27">
      <c r="B209" s="249" t="s">
        <v>513</v>
      </c>
      <c r="C209" s="250" t="s">
        <v>242</v>
      </c>
      <c r="D209" s="250" t="s">
        <v>502</v>
      </c>
      <c r="E209" s="251">
        <v>5</v>
      </c>
      <c r="F209" s="251" t="s">
        <v>281</v>
      </c>
      <c r="G209" s="253">
        <v>54481395</v>
      </c>
      <c r="H209" s="253">
        <v>31073451</v>
      </c>
      <c r="I209" s="253">
        <v>87172149</v>
      </c>
      <c r="J209" s="252">
        <v>-6.6000000000000003E-2</v>
      </c>
      <c r="K209" s="253">
        <v>37205862</v>
      </c>
      <c r="L209" s="253">
        <v>20949320</v>
      </c>
      <c r="M209" s="253">
        <v>59828572</v>
      </c>
      <c r="N209" s="253">
        <v>17275532</v>
      </c>
      <c r="O209" s="253">
        <v>10124131</v>
      </c>
      <c r="P209" s="253">
        <v>27343576</v>
      </c>
      <c r="Q209" s="253">
        <v>837959</v>
      </c>
      <c r="R209" s="285">
        <v>20616.201171875</v>
      </c>
      <c r="S209" s="285">
        <v>12081.892578125</v>
      </c>
      <c r="T209" s="286">
        <v>32631.16015625</v>
      </c>
      <c r="U209"/>
      <c r="V209"/>
      <c r="W209"/>
      <c r="X209"/>
      <c r="Y209"/>
      <c r="Z209"/>
      <c r="AA209"/>
    </row>
    <row r="210" spans="2:27">
      <c r="B210" s="249" t="s">
        <v>513</v>
      </c>
      <c r="C210" s="250" t="s">
        <v>242</v>
      </c>
      <c r="D210" s="250" t="s">
        <v>201</v>
      </c>
      <c r="E210" s="251">
        <v>6</v>
      </c>
      <c r="F210" s="251" t="s">
        <v>281</v>
      </c>
      <c r="G210" s="253">
        <v>54753685</v>
      </c>
      <c r="H210" s="253">
        <v>31228726</v>
      </c>
      <c r="I210" s="253">
        <v>87607868</v>
      </c>
      <c r="J210" s="252">
        <v>-1.24E-2</v>
      </c>
      <c r="K210" s="253">
        <v>36940851</v>
      </c>
      <c r="L210" s="253">
        <v>20790960</v>
      </c>
      <c r="M210" s="253">
        <v>59507549</v>
      </c>
      <c r="N210" s="253">
        <v>17812834</v>
      </c>
      <c r="O210" s="253">
        <v>10437766</v>
      </c>
      <c r="P210" s="253">
        <v>28100320</v>
      </c>
      <c r="Q210" s="253">
        <v>661371</v>
      </c>
      <c r="R210" s="285">
        <v>26933.1953125</v>
      </c>
      <c r="S210" s="285">
        <v>15782.013671875</v>
      </c>
      <c r="T210" s="286">
        <v>42487.984375</v>
      </c>
      <c r="U210"/>
      <c r="V210"/>
      <c r="W210"/>
      <c r="X210"/>
      <c r="Y210"/>
      <c r="Z210"/>
      <c r="AA210"/>
    </row>
    <row r="211" spans="2:27">
      <c r="B211" s="249" t="s">
        <v>513</v>
      </c>
      <c r="C211" s="250" t="s">
        <v>242</v>
      </c>
      <c r="D211" s="250" t="s">
        <v>201</v>
      </c>
      <c r="E211" s="251">
        <v>7</v>
      </c>
      <c r="F211" s="251" t="s">
        <v>281</v>
      </c>
      <c r="G211" s="253">
        <v>55027491</v>
      </c>
      <c r="H211" s="253">
        <v>31384887</v>
      </c>
      <c r="I211" s="253">
        <v>88045955</v>
      </c>
      <c r="J211" s="252">
        <v>-1.24E-2</v>
      </c>
      <c r="K211" s="253">
        <v>36681806</v>
      </c>
      <c r="L211" s="253">
        <v>20621108</v>
      </c>
      <c r="M211" s="253">
        <v>59059210</v>
      </c>
      <c r="N211" s="253">
        <v>18345684</v>
      </c>
      <c r="O211" s="253">
        <v>10763779</v>
      </c>
      <c r="P211" s="253">
        <v>28986744</v>
      </c>
      <c r="Q211" s="253">
        <v>504727</v>
      </c>
      <c r="R211" s="285">
        <v>36347.73828125</v>
      </c>
      <c r="S211" s="285">
        <v>21325.943359375</v>
      </c>
      <c r="T211" s="286">
        <v>57430.5390625</v>
      </c>
      <c r="U211"/>
      <c r="V211"/>
      <c r="W211"/>
      <c r="X211"/>
      <c r="Y211"/>
      <c r="Z211"/>
      <c r="AA211"/>
    </row>
    <row r="212" spans="2:27">
      <c r="B212" s="249" t="s">
        <v>513</v>
      </c>
      <c r="C212" s="250" t="s">
        <v>242</v>
      </c>
      <c r="D212" s="250" t="s">
        <v>201</v>
      </c>
      <c r="E212" s="251">
        <v>8</v>
      </c>
      <c r="F212" s="251" t="s">
        <v>281</v>
      </c>
      <c r="G212" s="253">
        <v>55302735</v>
      </c>
      <c r="H212" s="253">
        <v>31541911</v>
      </c>
      <c r="I212" s="253">
        <v>88486320</v>
      </c>
      <c r="J212" s="252">
        <v>-1.24E-2</v>
      </c>
      <c r="K212" s="253">
        <v>36409846</v>
      </c>
      <c r="L212" s="253">
        <v>20525003</v>
      </c>
      <c r="M212" s="253">
        <v>58595477</v>
      </c>
      <c r="N212" s="253">
        <v>18892888</v>
      </c>
      <c r="O212" s="253">
        <v>11016908</v>
      </c>
      <c r="P212" s="253">
        <v>29890844</v>
      </c>
      <c r="Q212" s="253">
        <v>487356</v>
      </c>
      <c r="R212" s="285">
        <v>38766.09375</v>
      </c>
      <c r="S212" s="285">
        <v>22605.462890625</v>
      </c>
      <c r="T212" s="286">
        <v>61332.66796875</v>
      </c>
      <c r="U212"/>
      <c r="V212"/>
      <c r="W212"/>
      <c r="X212"/>
      <c r="Y212"/>
      <c r="Z212"/>
      <c r="AA212"/>
    </row>
    <row r="213" spans="2:27">
      <c r="B213" s="249" t="s">
        <v>513</v>
      </c>
      <c r="C213" s="250" t="s">
        <v>242</v>
      </c>
      <c r="D213" s="250" t="s">
        <v>201</v>
      </c>
      <c r="E213" s="251">
        <v>9</v>
      </c>
      <c r="F213" s="251" t="s">
        <v>281</v>
      </c>
      <c r="G213" s="253">
        <v>55579220</v>
      </c>
      <c r="H213" s="253">
        <v>31699590</v>
      </c>
      <c r="I213" s="253">
        <v>88928703</v>
      </c>
      <c r="J213" s="252">
        <v>-1.24E-2</v>
      </c>
      <c r="K213" s="253">
        <v>36219926</v>
      </c>
      <c r="L213" s="253">
        <v>20417806</v>
      </c>
      <c r="M213" s="253">
        <v>58239938</v>
      </c>
      <c r="N213" s="253">
        <v>19359294</v>
      </c>
      <c r="O213" s="253">
        <v>11281784</v>
      </c>
      <c r="P213" s="253">
        <v>30688764</v>
      </c>
      <c r="Q213" s="253">
        <v>487356</v>
      </c>
      <c r="R213" s="285">
        <v>39723.10546875</v>
      </c>
      <c r="S213" s="285">
        <v>23148.958984375</v>
      </c>
      <c r="T213" s="286">
        <v>62969.91015625</v>
      </c>
      <c r="U213"/>
      <c r="V213"/>
      <c r="W213"/>
      <c r="X213"/>
      <c r="Y213"/>
      <c r="Z213"/>
      <c r="AA213"/>
    </row>
    <row r="214" spans="2:27">
      <c r="B214" s="249" t="s">
        <v>513</v>
      </c>
      <c r="C214" s="250" t="s">
        <v>242</v>
      </c>
      <c r="D214" s="250" t="s">
        <v>201</v>
      </c>
      <c r="E214" s="251">
        <v>10</v>
      </c>
      <c r="F214" s="251" t="s">
        <v>281</v>
      </c>
      <c r="G214" s="253">
        <v>55857110</v>
      </c>
      <c r="H214" s="253">
        <v>31858091</v>
      </c>
      <c r="I214" s="253">
        <v>89373354</v>
      </c>
      <c r="J214" s="252">
        <v>-1.24E-2</v>
      </c>
      <c r="K214" s="253">
        <v>36055991</v>
      </c>
      <c r="L214" s="253">
        <v>20289876</v>
      </c>
      <c r="M214" s="253">
        <v>57994401</v>
      </c>
      <c r="N214" s="253">
        <v>19801120</v>
      </c>
      <c r="O214" s="253">
        <v>11568215</v>
      </c>
      <c r="P214" s="253">
        <v>31378952</v>
      </c>
      <c r="Q214" s="253">
        <v>504727</v>
      </c>
      <c r="R214" s="285">
        <v>39231.34765625</v>
      </c>
      <c r="S214" s="285">
        <v>22919.74609375</v>
      </c>
      <c r="T214" s="286">
        <v>62170.1484375</v>
      </c>
      <c r="U214"/>
      <c r="V214"/>
      <c r="W214"/>
      <c r="X214"/>
      <c r="Y214"/>
      <c r="Z214"/>
      <c r="AA214"/>
    </row>
    <row r="215" spans="2:27">
      <c r="B215" s="249" t="s">
        <v>513</v>
      </c>
      <c r="C215" s="250" t="s">
        <v>242</v>
      </c>
      <c r="D215" s="250" t="s">
        <v>201</v>
      </c>
      <c r="E215" s="251">
        <v>11</v>
      </c>
      <c r="F215" s="251" t="s">
        <v>281</v>
      </c>
      <c r="G215" s="253">
        <v>56136414</v>
      </c>
      <c r="H215" s="253">
        <v>32017396</v>
      </c>
      <c r="I215" s="253">
        <v>89820249</v>
      </c>
      <c r="J215" s="252">
        <v>-1.24E-2</v>
      </c>
      <c r="K215" s="253">
        <v>35138222</v>
      </c>
      <c r="L215" s="253">
        <v>19851932</v>
      </c>
      <c r="M215" s="253">
        <v>56839572</v>
      </c>
      <c r="N215" s="253">
        <v>20998192</v>
      </c>
      <c r="O215" s="253">
        <v>12165464</v>
      </c>
      <c r="P215" s="253">
        <v>32980676</v>
      </c>
      <c r="Q215" s="253">
        <v>661371</v>
      </c>
      <c r="R215" s="285">
        <v>31749.490234375</v>
      </c>
      <c r="S215" s="285">
        <v>18394.3125</v>
      </c>
      <c r="T215" s="286">
        <v>49867.1328125</v>
      </c>
      <c r="U215"/>
      <c r="V215"/>
      <c r="W215"/>
      <c r="X215"/>
      <c r="Y215"/>
      <c r="Z215"/>
      <c r="AA215"/>
    </row>
    <row r="216" spans="2:27">
      <c r="B216" s="249" t="s">
        <v>513</v>
      </c>
      <c r="C216" s="250" t="s">
        <v>242</v>
      </c>
      <c r="D216" s="250" t="s">
        <v>201</v>
      </c>
      <c r="E216" s="251">
        <v>12</v>
      </c>
      <c r="F216" s="251" t="s">
        <v>281</v>
      </c>
      <c r="G216" s="253">
        <v>56417096</v>
      </c>
      <c r="H216" s="253">
        <v>32177466</v>
      </c>
      <c r="I216" s="253">
        <v>90269338</v>
      </c>
      <c r="J216" s="252">
        <v>-1.24E-2</v>
      </c>
      <c r="K216" s="253">
        <v>34965407</v>
      </c>
      <c r="L216" s="253">
        <v>19738225</v>
      </c>
      <c r="M216" s="253">
        <v>56562304</v>
      </c>
      <c r="N216" s="253">
        <v>21451688</v>
      </c>
      <c r="O216" s="253">
        <v>12439241</v>
      </c>
      <c r="P216" s="253">
        <v>33707032</v>
      </c>
      <c r="Q216" s="253">
        <v>487356</v>
      </c>
      <c r="R216" s="285">
        <v>44016.46484375</v>
      </c>
      <c r="S216" s="285">
        <v>25523.931640625</v>
      </c>
      <c r="T216" s="286">
        <v>69163.0625</v>
      </c>
      <c r="U216"/>
      <c r="V216"/>
      <c r="W216"/>
      <c r="X216"/>
      <c r="Y216"/>
      <c r="Z216"/>
      <c r="AA216"/>
    </row>
    <row r="217" spans="2:27">
      <c r="B217" s="249" t="s">
        <v>513</v>
      </c>
      <c r="C217" s="250" t="s">
        <v>242</v>
      </c>
      <c r="D217" s="250" t="s">
        <v>201</v>
      </c>
      <c r="E217" s="251">
        <v>13</v>
      </c>
      <c r="F217" s="251" t="s">
        <v>281</v>
      </c>
      <c r="G217" s="253">
        <v>56699169</v>
      </c>
      <c r="H217" s="253">
        <v>32338338</v>
      </c>
      <c r="I217" s="253">
        <v>90720653</v>
      </c>
      <c r="J217" s="252">
        <v>-1.24E-2</v>
      </c>
      <c r="K217" s="253">
        <v>34789969</v>
      </c>
      <c r="L217" s="253">
        <v>19583943</v>
      </c>
      <c r="M217" s="253">
        <v>56251631</v>
      </c>
      <c r="N217" s="253">
        <v>21909200</v>
      </c>
      <c r="O217" s="253">
        <v>12754395</v>
      </c>
      <c r="P217" s="253">
        <v>34469024</v>
      </c>
      <c r="Q217" s="253">
        <v>504727</v>
      </c>
      <c r="R217" s="285">
        <v>43408.01953125</v>
      </c>
      <c r="S217" s="285">
        <v>25269.888671875</v>
      </c>
      <c r="T217" s="286">
        <v>68292.4140625</v>
      </c>
      <c r="U217"/>
      <c r="V217"/>
      <c r="W217"/>
      <c r="X217"/>
      <c r="Y217"/>
      <c r="Z217"/>
      <c r="AA217"/>
    </row>
    <row r="218" spans="2:27">
      <c r="B218" s="249" t="s">
        <v>513</v>
      </c>
      <c r="C218" s="250" t="s">
        <v>242</v>
      </c>
      <c r="D218" s="250" t="s">
        <v>201</v>
      </c>
      <c r="E218" s="251">
        <v>14</v>
      </c>
      <c r="F218" s="251" t="s">
        <v>281</v>
      </c>
      <c r="G218" s="253">
        <v>56982670</v>
      </c>
      <c r="H218" s="253">
        <v>32500045</v>
      </c>
      <c r="I218" s="253">
        <v>91174269</v>
      </c>
      <c r="J218" s="252">
        <v>-1.24E-2</v>
      </c>
      <c r="K218" s="253">
        <v>34445754</v>
      </c>
      <c r="L218" s="253">
        <v>19466779</v>
      </c>
      <c r="M218" s="253">
        <v>55711624</v>
      </c>
      <c r="N218" s="253">
        <v>22536916</v>
      </c>
      <c r="O218" s="253">
        <v>13033266</v>
      </c>
      <c r="P218" s="253">
        <v>35462644</v>
      </c>
      <c r="Q218" s="253">
        <v>487356</v>
      </c>
      <c r="R218" s="285">
        <v>46243.234375</v>
      </c>
      <c r="S218" s="285">
        <v>26742.802734375</v>
      </c>
      <c r="T218" s="286">
        <v>72765.3828125</v>
      </c>
      <c r="U218"/>
      <c r="V218"/>
      <c r="W218"/>
      <c r="X218"/>
      <c r="Y218"/>
      <c r="Z218"/>
      <c r="AA218"/>
    </row>
    <row r="219" spans="2:27">
      <c r="B219" s="256" t="s">
        <v>513</v>
      </c>
      <c r="C219" s="257" t="s">
        <v>242</v>
      </c>
      <c r="D219" s="257" t="s">
        <v>201</v>
      </c>
      <c r="E219" s="258">
        <v>15</v>
      </c>
      <c r="F219" s="258" t="s">
        <v>281</v>
      </c>
      <c r="G219" s="260">
        <v>57267575</v>
      </c>
      <c r="H219" s="260">
        <v>32662551</v>
      </c>
      <c r="I219" s="260">
        <v>91630145</v>
      </c>
      <c r="J219" s="259">
        <v>-1.24E-2</v>
      </c>
      <c r="K219" s="260">
        <v>34264216</v>
      </c>
      <c r="L219" s="260">
        <v>19367578</v>
      </c>
      <c r="M219" s="260">
        <v>55400582</v>
      </c>
      <c r="N219" s="260">
        <v>23003360</v>
      </c>
      <c r="O219" s="260">
        <v>13294973</v>
      </c>
      <c r="P219" s="260">
        <v>36229564</v>
      </c>
      <c r="Q219" s="260">
        <v>487356</v>
      </c>
      <c r="R219" s="287">
        <v>47200.3203125</v>
      </c>
      <c r="S219" s="287">
        <v>27279.796875</v>
      </c>
      <c r="T219" s="288">
        <v>74339.015625</v>
      </c>
      <c r="U219"/>
      <c r="V219"/>
      <c r="W219"/>
      <c r="X219"/>
      <c r="Y219"/>
      <c r="Z219"/>
      <c r="AA219"/>
    </row>
    <row r="220" spans="2:27">
      <c r="B220" s="249" t="s">
        <v>513</v>
      </c>
      <c r="C220" s="250" t="s">
        <v>282</v>
      </c>
      <c r="D220" s="250" t="s">
        <v>502</v>
      </c>
      <c r="E220" s="251">
        <v>1</v>
      </c>
      <c r="F220" s="251" t="s">
        <v>281</v>
      </c>
      <c r="G220" s="253">
        <v>53405233</v>
      </c>
      <c r="H220" s="253">
        <v>30459655</v>
      </c>
      <c r="I220" s="253">
        <v>85450251</v>
      </c>
      <c r="J220" s="252">
        <v>-3.6400000000000002E-2</v>
      </c>
      <c r="K220" s="253">
        <v>49226676</v>
      </c>
      <c r="L220" s="253">
        <v>27673959</v>
      </c>
      <c r="M220" s="253">
        <v>79530634</v>
      </c>
      <c r="N220" s="253">
        <v>4178557</v>
      </c>
      <c r="O220" s="253">
        <v>2785696</v>
      </c>
      <c r="P220" s="253">
        <v>5919617</v>
      </c>
      <c r="Q220" s="253">
        <v>420165</v>
      </c>
      <c r="R220" s="285">
        <v>9945.0380859375</v>
      </c>
      <c r="S220" s="285">
        <v>6630.0048828125</v>
      </c>
      <c r="T220" s="286">
        <v>14088.791015625</v>
      </c>
    </row>
    <row r="221" spans="2:27">
      <c r="B221" s="249" t="s">
        <v>513</v>
      </c>
      <c r="C221" s="250" t="s">
        <v>282</v>
      </c>
      <c r="D221" s="250" t="s">
        <v>502</v>
      </c>
      <c r="E221" s="251">
        <v>2</v>
      </c>
      <c r="F221" s="251" t="s">
        <v>281</v>
      </c>
      <c r="G221" s="253">
        <v>53672278</v>
      </c>
      <c r="H221" s="253">
        <v>30611964</v>
      </c>
      <c r="I221" s="253">
        <v>85877536</v>
      </c>
      <c r="J221" s="252">
        <v>-3.6400000000000002E-2</v>
      </c>
      <c r="K221" s="253">
        <v>47879585</v>
      </c>
      <c r="L221" s="253">
        <v>26900602</v>
      </c>
      <c r="M221" s="253">
        <v>77119416</v>
      </c>
      <c r="N221" s="253">
        <v>5792693</v>
      </c>
      <c r="O221" s="253">
        <v>3711362</v>
      </c>
      <c r="P221" s="253">
        <v>8758120</v>
      </c>
      <c r="Q221" s="253">
        <v>188719</v>
      </c>
      <c r="R221" s="285">
        <v>30694.8046875</v>
      </c>
      <c r="S221" s="285">
        <v>19666.07421875</v>
      </c>
      <c r="T221" s="286">
        <v>46408.2578125</v>
      </c>
    </row>
    <row r="222" spans="2:27">
      <c r="B222" s="249" t="s">
        <v>513</v>
      </c>
      <c r="C222" s="250" t="s">
        <v>282</v>
      </c>
      <c r="D222" s="250" t="s">
        <v>502</v>
      </c>
      <c r="E222" s="251">
        <v>3</v>
      </c>
      <c r="F222" s="251" t="s">
        <v>281</v>
      </c>
      <c r="G222" s="253">
        <v>53940632</v>
      </c>
      <c r="H222" s="253">
        <v>30765014</v>
      </c>
      <c r="I222" s="253">
        <v>86306916</v>
      </c>
      <c r="J222" s="252">
        <v>-3.6400000000000002E-2</v>
      </c>
      <c r="K222" s="253">
        <v>46388198</v>
      </c>
      <c r="L222" s="253">
        <v>26155825</v>
      </c>
      <c r="M222" s="253">
        <v>74811671</v>
      </c>
      <c r="N222" s="253">
        <v>7552434</v>
      </c>
      <c r="O222" s="253">
        <v>4609189</v>
      </c>
      <c r="P222" s="253">
        <v>11495245</v>
      </c>
      <c r="Q222" s="253">
        <v>155920</v>
      </c>
      <c r="R222" s="285">
        <v>48437.87890625</v>
      </c>
      <c r="S222" s="285">
        <v>29561.2421875</v>
      </c>
      <c r="T222" s="286">
        <v>73725.2734375</v>
      </c>
    </row>
    <row r="223" spans="2:27">
      <c r="B223" s="249" t="s">
        <v>513</v>
      </c>
      <c r="C223" s="250" t="s">
        <v>282</v>
      </c>
      <c r="D223" s="250" t="s">
        <v>502</v>
      </c>
      <c r="E223" s="251">
        <v>4</v>
      </c>
      <c r="F223" s="251" t="s">
        <v>281</v>
      </c>
      <c r="G223" s="253">
        <v>54210326</v>
      </c>
      <c r="H223" s="253">
        <v>30918835</v>
      </c>
      <c r="I223" s="253">
        <v>86738425</v>
      </c>
      <c r="J223" s="252">
        <v>-3.6400000000000002E-2</v>
      </c>
      <c r="K223" s="253">
        <v>45038855</v>
      </c>
      <c r="L223" s="253">
        <v>25375036</v>
      </c>
      <c r="M223" s="253">
        <v>72497528</v>
      </c>
      <c r="N223" s="253">
        <v>9171471</v>
      </c>
      <c r="O223" s="253">
        <v>5543799</v>
      </c>
      <c r="P223" s="253">
        <v>14240897</v>
      </c>
      <c r="Q223" s="253">
        <v>155920</v>
      </c>
      <c r="R223" s="285">
        <v>58821.64453125</v>
      </c>
      <c r="S223" s="285">
        <v>35555.41015625</v>
      </c>
      <c r="T223" s="286">
        <v>91334.640625</v>
      </c>
    </row>
    <row r="224" spans="2:27">
      <c r="B224" s="249" t="s">
        <v>513</v>
      </c>
      <c r="C224" s="250" t="s">
        <v>282</v>
      </c>
      <c r="D224" s="250" t="s">
        <v>502</v>
      </c>
      <c r="E224" s="251">
        <v>5</v>
      </c>
      <c r="F224" s="251" t="s">
        <v>281</v>
      </c>
      <c r="G224" s="253">
        <v>54481395</v>
      </c>
      <c r="H224" s="253">
        <v>31073451</v>
      </c>
      <c r="I224" s="253">
        <v>87172149</v>
      </c>
      <c r="J224" s="252">
        <v>-3.6400000000000002E-2</v>
      </c>
      <c r="K224" s="253">
        <v>43506574</v>
      </c>
      <c r="L224" s="253">
        <v>24492305</v>
      </c>
      <c r="M224" s="253">
        <v>70064889</v>
      </c>
      <c r="N224" s="253">
        <v>10974821</v>
      </c>
      <c r="O224" s="253">
        <v>6581146</v>
      </c>
      <c r="P224" s="253">
        <v>17107260</v>
      </c>
      <c r="Q224" s="253">
        <v>155920</v>
      </c>
      <c r="R224" s="285">
        <v>70387.515625</v>
      </c>
      <c r="S224" s="285">
        <v>42208.4765625</v>
      </c>
      <c r="T224" s="286">
        <v>109718.1875</v>
      </c>
    </row>
    <row r="225" spans="2:20">
      <c r="B225" s="249" t="s">
        <v>513</v>
      </c>
      <c r="C225" s="250" t="s">
        <v>282</v>
      </c>
      <c r="D225" s="250" t="s">
        <v>201</v>
      </c>
      <c r="E225" s="251">
        <v>6</v>
      </c>
      <c r="F225" s="251" t="s">
        <v>281</v>
      </c>
      <c r="G225" s="253">
        <v>54753685</v>
      </c>
      <c r="H225" s="253">
        <v>31228726</v>
      </c>
      <c r="I225" s="253">
        <v>87607868</v>
      </c>
      <c r="J225" s="252">
        <v>-9.1000000000000004E-3</v>
      </c>
      <c r="K225" s="253">
        <v>43385811</v>
      </c>
      <c r="L225" s="253">
        <v>24389240</v>
      </c>
      <c r="M225" s="253">
        <v>69879614</v>
      </c>
      <c r="N225" s="253">
        <v>11367874</v>
      </c>
      <c r="O225" s="253">
        <v>6839486</v>
      </c>
      <c r="P225" s="253">
        <v>17728254</v>
      </c>
      <c r="Q225" s="253">
        <v>188016</v>
      </c>
      <c r="R225" s="285">
        <v>60462.26953125</v>
      </c>
      <c r="S225" s="285">
        <v>36377.1484375</v>
      </c>
      <c r="T225" s="286">
        <v>94291.1953125</v>
      </c>
    </row>
    <row r="226" spans="2:20">
      <c r="B226" s="249" t="s">
        <v>513</v>
      </c>
      <c r="C226" s="250" t="s">
        <v>282</v>
      </c>
      <c r="D226" s="250" t="s">
        <v>201</v>
      </c>
      <c r="E226" s="251">
        <v>7</v>
      </c>
      <c r="F226" s="251" t="s">
        <v>281</v>
      </c>
      <c r="G226" s="253">
        <v>55027491</v>
      </c>
      <c r="H226" s="253">
        <v>31384887</v>
      </c>
      <c r="I226" s="253">
        <v>88045955</v>
      </c>
      <c r="J226" s="252">
        <v>-9.1000000000000004E-3</v>
      </c>
      <c r="K226" s="253">
        <v>43177880</v>
      </c>
      <c r="L226" s="253">
        <v>24331800</v>
      </c>
      <c r="M226" s="253">
        <v>69643650</v>
      </c>
      <c r="N226" s="253">
        <v>11849611</v>
      </c>
      <c r="O226" s="253">
        <v>7053087</v>
      </c>
      <c r="P226" s="253">
        <v>18402304</v>
      </c>
      <c r="Q226" s="253">
        <v>143207</v>
      </c>
      <c r="R226" s="285">
        <v>82744.6328125</v>
      </c>
      <c r="S226" s="285">
        <v>49250.9921875</v>
      </c>
      <c r="T226" s="286">
        <v>128501.4375</v>
      </c>
    </row>
    <row r="227" spans="2:20">
      <c r="B227" s="249" t="s">
        <v>513</v>
      </c>
      <c r="C227" s="250" t="s">
        <v>282</v>
      </c>
      <c r="D227" s="250" t="s">
        <v>201</v>
      </c>
      <c r="E227" s="251">
        <v>8</v>
      </c>
      <c r="F227" s="251" t="s">
        <v>281</v>
      </c>
      <c r="G227" s="253">
        <v>55302735</v>
      </c>
      <c r="H227" s="253">
        <v>31541911</v>
      </c>
      <c r="I227" s="253">
        <v>88486320</v>
      </c>
      <c r="J227" s="252">
        <v>-9.1000000000000004E-3</v>
      </c>
      <c r="K227" s="253">
        <v>43099684</v>
      </c>
      <c r="L227" s="253">
        <v>24301690</v>
      </c>
      <c r="M227" s="253">
        <v>69346692</v>
      </c>
      <c r="N227" s="253">
        <v>12203051</v>
      </c>
      <c r="O227" s="253">
        <v>7240221</v>
      </c>
      <c r="P227" s="253">
        <v>19139628</v>
      </c>
      <c r="Q227" s="253">
        <v>143207</v>
      </c>
      <c r="R227" s="285">
        <v>85212.671875</v>
      </c>
      <c r="S227" s="285">
        <v>50557.73046875</v>
      </c>
      <c r="T227" s="286">
        <v>133650.078125</v>
      </c>
    </row>
    <row r="228" spans="2:20">
      <c r="B228" s="249" t="s">
        <v>513</v>
      </c>
      <c r="C228" s="250" t="s">
        <v>282</v>
      </c>
      <c r="D228" s="250" t="s">
        <v>201</v>
      </c>
      <c r="E228" s="251">
        <v>9</v>
      </c>
      <c r="F228" s="251" t="s">
        <v>281</v>
      </c>
      <c r="G228" s="253">
        <v>55579220</v>
      </c>
      <c r="H228" s="253">
        <v>31699590</v>
      </c>
      <c r="I228" s="253">
        <v>88928703</v>
      </c>
      <c r="J228" s="252">
        <v>-9.1000000000000004E-3</v>
      </c>
      <c r="K228" s="253">
        <v>42990924</v>
      </c>
      <c r="L228" s="253">
        <v>24222914</v>
      </c>
      <c r="M228" s="253">
        <v>69235649</v>
      </c>
      <c r="N228" s="253">
        <v>12588296</v>
      </c>
      <c r="O228" s="253">
        <v>7476676</v>
      </c>
      <c r="P228" s="253">
        <v>19693054</v>
      </c>
      <c r="Q228" s="253">
        <v>143207</v>
      </c>
      <c r="R228" s="285">
        <v>87902.8046875</v>
      </c>
      <c r="S228" s="285">
        <v>52208.875</v>
      </c>
      <c r="T228" s="286">
        <v>137514.609375</v>
      </c>
    </row>
    <row r="229" spans="2:20">
      <c r="B229" s="249" t="s">
        <v>513</v>
      </c>
      <c r="C229" s="250" t="s">
        <v>282</v>
      </c>
      <c r="D229" s="250" t="s">
        <v>201</v>
      </c>
      <c r="E229" s="251">
        <v>10</v>
      </c>
      <c r="F229" s="251" t="s">
        <v>281</v>
      </c>
      <c r="G229" s="253">
        <v>55857110</v>
      </c>
      <c r="H229" s="253">
        <v>31858091</v>
      </c>
      <c r="I229" s="253">
        <v>89373354</v>
      </c>
      <c r="J229" s="252">
        <v>-9.1000000000000004E-3</v>
      </c>
      <c r="K229" s="253">
        <v>42611654</v>
      </c>
      <c r="L229" s="253">
        <v>23922321</v>
      </c>
      <c r="M229" s="253">
        <v>68642560</v>
      </c>
      <c r="N229" s="253">
        <v>13245456</v>
      </c>
      <c r="O229" s="253">
        <v>7935770</v>
      </c>
      <c r="P229" s="253">
        <v>20730794</v>
      </c>
      <c r="Q229" s="253">
        <v>143207</v>
      </c>
      <c r="R229" s="285">
        <v>92491.6796875</v>
      </c>
      <c r="S229" s="285">
        <v>55414.6796875</v>
      </c>
      <c r="T229" s="286">
        <v>144761.03125</v>
      </c>
    </row>
    <row r="230" spans="2:20">
      <c r="B230" s="249" t="s">
        <v>513</v>
      </c>
      <c r="C230" s="250" t="s">
        <v>282</v>
      </c>
      <c r="D230" s="250" t="s">
        <v>201</v>
      </c>
      <c r="E230" s="251">
        <v>11</v>
      </c>
      <c r="F230" s="251" t="s">
        <v>281</v>
      </c>
      <c r="G230" s="253">
        <v>56136414</v>
      </c>
      <c r="H230" s="253">
        <v>32017396</v>
      </c>
      <c r="I230" s="253">
        <v>89820249</v>
      </c>
      <c r="J230" s="252">
        <v>-9.1000000000000004E-3</v>
      </c>
      <c r="K230" s="253">
        <v>42458694</v>
      </c>
      <c r="L230" s="253">
        <v>23849297</v>
      </c>
      <c r="M230" s="253">
        <v>68427119</v>
      </c>
      <c r="N230" s="253">
        <v>13677720</v>
      </c>
      <c r="O230" s="253">
        <v>8168099</v>
      </c>
      <c r="P230" s="253">
        <v>21393130</v>
      </c>
      <c r="Q230" s="253">
        <v>188016</v>
      </c>
      <c r="R230" s="285">
        <v>72747.6328125</v>
      </c>
      <c r="S230" s="285">
        <v>43443.63671875</v>
      </c>
      <c r="T230" s="286">
        <v>113783.5625</v>
      </c>
    </row>
    <row r="231" spans="2:20">
      <c r="B231" s="249" t="s">
        <v>513</v>
      </c>
      <c r="C231" s="250" t="s">
        <v>282</v>
      </c>
      <c r="D231" s="250" t="s">
        <v>201</v>
      </c>
      <c r="E231" s="251">
        <v>12</v>
      </c>
      <c r="F231" s="251" t="s">
        <v>281</v>
      </c>
      <c r="G231" s="253">
        <v>56417096</v>
      </c>
      <c r="H231" s="253">
        <v>32177466</v>
      </c>
      <c r="I231" s="253">
        <v>90269338</v>
      </c>
      <c r="J231" s="252">
        <v>-9.1000000000000004E-3</v>
      </c>
      <c r="K231" s="253">
        <v>42332167</v>
      </c>
      <c r="L231" s="253">
        <v>23823334</v>
      </c>
      <c r="M231" s="253">
        <v>68149711</v>
      </c>
      <c r="N231" s="253">
        <v>14084929</v>
      </c>
      <c r="O231" s="253">
        <v>8354132</v>
      </c>
      <c r="P231" s="253">
        <v>22119628</v>
      </c>
      <c r="Q231" s="253">
        <v>143207</v>
      </c>
      <c r="R231" s="285">
        <v>98353.640625</v>
      </c>
      <c r="S231" s="285">
        <v>58336.05859375</v>
      </c>
      <c r="T231" s="286">
        <v>154459.125</v>
      </c>
    </row>
    <row r="232" spans="2:20">
      <c r="B232" s="249" t="s">
        <v>513</v>
      </c>
      <c r="C232" s="250" t="s">
        <v>282</v>
      </c>
      <c r="D232" s="250" t="s">
        <v>201</v>
      </c>
      <c r="E232" s="251">
        <v>13</v>
      </c>
      <c r="F232" s="251" t="s">
        <v>281</v>
      </c>
      <c r="G232" s="253">
        <v>56699169</v>
      </c>
      <c r="H232" s="253">
        <v>32338338</v>
      </c>
      <c r="I232" s="253">
        <v>90720653</v>
      </c>
      <c r="J232" s="252">
        <v>-9.1000000000000004E-3</v>
      </c>
      <c r="K232" s="253">
        <v>42047650</v>
      </c>
      <c r="L232" s="253">
        <v>23689492</v>
      </c>
      <c r="M232" s="253">
        <v>67731606</v>
      </c>
      <c r="N232" s="253">
        <v>14651519</v>
      </c>
      <c r="O232" s="253">
        <v>8648846</v>
      </c>
      <c r="P232" s="253">
        <v>22989048</v>
      </c>
      <c r="Q232" s="253">
        <v>143207</v>
      </c>
      <c r="R232" s="285">
        <v>102310.0703125</v>
      </c>
      <c r="S232" s="285">
        <v>60394.015625</v>
      </c>
      <c r="T232" s="286">
        <v>160530.203125</v>
      </c>
    </row>
    <row r="233" spans="2:20">
      <c r="B233" s="249" t="s">
        <v>513</v>
      </c>
      <c r="C233" s="250" t="s">
        <v>282</v>
      </c>
      <c r="D233" s="250" t="s">
        <v>201</v>
      </c>
      <c r="E233" s="251">
        <v>14</v>
      </c>
      <c r="F233" s="251" t="s">
        <v>281</v>
      </c>
      <c r="G233" s="253">
        <v>56982670</v>
      </c>
      <c r="H233" s="253">
        <v>32500045</v>
      </c>
      <c r="I233" s="253">
        <v>91174269</v>
      </c>
      <c r="J233" s="252">
        <v>-9.1000000000000004E-3</v>
      </c>
      <c r="K233" s="253">
        <v>41876569</v>
      </c>
      <c r="L233" s="253">
        <v>23583068</v>
      </c>
      <c r="M233" s="253">
        <v>67552059</v>
      </c>
      <c r="N233" s="253">
        <v>15106101</v>
      </c>
      <c r="O233" s="253">
        <v>8916977</v>
      </c>
      <c r="P233" s="253">
        <v>23622210</v>
      </c>
      <c r="Q233" s="253">
        <v>143207</v>
      </c>
      <c r="R233" s="285">
        <v>105484.375</v>
      </c>
      <c r="S233" s="285">
        <v>62266.3515625</v>
      </c>
      <c r="T233" s="286">
        <v>164951.5</v>
      </c>
    </row>
    <row r="234" spans="2:20">
      <c r="B234" s="256" t="s">
        <v>513</v>
      </c>
      <c r="C234" s="257" t="s">
        <v>282</v>
      </c>
      <c r="D234" s="257" t="s">
        <v>201</v>
      </c>
      <c r="E234" s="258">
        <v>15</v>
      </c>
      <c r="F234" s="258" t="s">
        <v>281</v>
      </c>
      <c r="G234" s="260">
        <v>57267575</v>
      </c>
      <c r="H234" s="260">
        <v>32662551</v>
      </c>
      <c r="I234" s="260">
        <v>91630145</v>
      </c>
      <c r="J234" s="259">
        <v>-9.1000000000000004E-3</v>
      </c>
      <c r="K234" s="260">
        <v>41771500</v>
      </c>
      <c r="L234" s="260">
        <v>23524100</v>
      </c>
      <c r="M234" s="260">
        <v>67310046</v>
      </c>
      <c r="N234" s="260">
        <v>15496075</v>
      </c>
      <c r="O234" s="260">
        <v>9138451</v>
      </c>
      <c r="P234" s="260">
        <v>24320100</v>
      </c>
      <c r="Q234" s="260">
        <v>143207</v>
      </c>
      <c r="R234" s="287">
        <v>108207.5234375</v>
      </c>
      <c r="S234" s="287">
        <v>63812.87890625</v>
      </c>
      <c r="T234" s="288">
        <v>169824.796875</v>
      </c>
    </row>
    <row r="235" spans="2:20">
      <c r="B235" s="249" t="s">
        <v>513</v>
      </c>
      <c r="C235" s="250" t="s">
        <v>77</v>
      </c>
      <c r="D235" s="250" t="s">
        <v>502</v>
      </c>
      <c r="E235" s="251">
        <v>1</v>
      </c>
      <c r="F235" s="251" t="s">
        <v>281</v>
      </c>
      <c r="G235" s="253">
        <v>53405233</v>
      </c>
      <c r="H235" s="253">
        <v>30459655</v>
      </c>
      <c r="I235" s="253">
        <v>85450251</v>
      </c>
      <c r="J235" s="252">
        <v>-1.0800000000000001E-2</v>
      </c>
      <c r="K235" s="253">
        <v>50243833</v>
      </c>
      <c r="L235" s="253">
        <v>28269594</v>
      </c>
      <c r="M235" s="253">
        <v>81198409</v>
      </c>
      <c r="N235" s="253">
        <v>3161400</v>
      </c>
      <c r="O235" s="253">
        <v>2190061</v>
      </c>
      <c r="P235" s="253">
        <v>4251842</v>
      </c>
      <c r="Q235" s="253">
        <v>291952</v>
      </c>
      <c r="R235" s="285">
        <v>10828.4921875</v>
      </c>
      <c r="S235" s="285">
        <v>7501.44189453125</v>
      </c>
      <c r="T235" s="286">
        <v>14563.4970703125</v>
      </c>
    </row>
    <row r="236" spans="2:20">
      <c r="B236" s="249" t="s">
        <v>513</v>
      </c>
      <c r="C236" s="250" t="s">
        <v>77</v>
      </c>
      <c r="D236" s="250" t="s">
        <v>502</v>
      </c>
      <c r="E236" s="251">
        <v>2</v>
      </c>
      <c r="F236" s="251" t="s">
        <v>281</v>
      </c>
      <c r="G236" s="253">
        <v>53672278</v>
      </c>
      <c r="H236" s="253">
        <v>30611964</v>
      </c>
      <c r="I236" s="253">
        <v>85877536</v>
      </c>
      <c r="J236" s="252">
        <v>-1.0800000000000001E-2</v>
      </c>
      <c r="K236" s="253">
        <v>50071426</v>
      </c>
      <c r="L236" s="253">
        <v>28199126</v>
      </c>
      <c r="M236" s="253">
        <v>80950533</v>
      </c>
      <c r="N236" s="253">
        <v>3600852</v>
      </c>
      <c r="O236" s="253">
        <v>2412838</v>
      </c>
      <c r="P236" s="253">
        <v>4927003</v>
      </c>
      <c r="Q236" s="253">
        <v>503800</v>
      </c>
      <c r="R236" s="285">
        <v>7147.3837890625</v>
      </c>
      <c r="S236" s="285">
        <v>4789.27734375</v>
      </c>
      <c r="T236" s="286">
        <v>9779.6806640625</v>
      </c>
    </row>
    <row r="237" spans="2:20">
      <c r="B237" s="249" t="s">
        <v>513</v>
      </c>
      <c r="C237" s="250" t="s">
        <v>77</v>
      </c>
      <c r="D237" s="250" t="s">
        <v>502</v>
      </c>
      <c r="E237" s="251">
        <v>3</v>
      </c>
      <c r="F237" s="251" t="s">
        <v>281</v>
      </c>
      <c r="G237" s="253">
        <v>53940632</v>
      </c>
      <c r="H237" s="253">
        <v>30765014</v>
      </c>
      <c r="I237" s="253">
        <v>86306916</v>
      </c>
      <c r="J237" s="252">
        <v>-1.0800000000000001E-2</v>
      </c>
      <c r="K237" s="253">
        <v>49914526</v>
      </c>
      <c r="L237" s="253">
        <v>28062453</v>
      </c>
      <c r="M237" s="253">
        <v>80670370</v>
      </c>
      <c r="N237" s="253">
        <v>4026106</v>
      </c>
      <c r="O237" s="253">
        <v>2702561</v>
      </c>
      <c r="P237" s="253">
        <v>5636546</v>
      </c>
      <c r="Q237" s="253">
        <v>336131</v>
      </c>
      <c r="R237" s="285">
        <v>11977.7880859375</v>
      </c>
      <c r="S237" s="285">
        <v>8040.201171875</v>
      </c>
      <c r="T237" s="286">
        <v>16768.896484375</v>
      </c>
    </row>
    <row r="238" spans="2:20">
      <c r="B238" s="249" t="s">
        <v>513</v>
      </c>
      <c r="C238" s="250" t="s">
        <v>77</v>
      </c>
      <c r="D238" s="250" t="s">
        <v>502</v>
      </c>
      <c r="E238" s="251">
        <v>4</v>
      </c>
      <c r="F238" s="251" t="s">
        <v>281</v>
      </c>
      <c r="G238" s="253">
        <v>54210326</v>
      </c>
      <c r="H238" s="253">
        <v>30918835</v>
      </c>
      <c r="I238" s="253">
        <v>86738425</v>
      </c>
      <c r="J238" s="252">
        <v>-1.0800000000000001E-2</v>
      </c>
      <c r="K238" s="253">
        <v>49699011</v>
      </c>
      <c r="L238" s="253">
        <v>27951614</v>
      </c>
      <c r="M238" s="253">
        <v>80320281</v>
      </c>
      <c r="N238" s="253">
        <v>4511315</v>
      </c>
      <c r="O238" s="253">
        <v>2967221</v>
      </c>
      <c r="P238" s="253">
        <v>6418144</v>
      </c>
      <c r="Q238" s="253">
        <v>353502</v>
      </c>
      <c r="R238" s="285">
        <v>12761.7802734375</v>
      </c>
      <c r="S238" s="285">
        <v>8393.7880859375</v>
      </c>
      <c r="T238" s="286">
        <v>18155.890625</v>
      </c>
    </row>
    <row r="239" spans="2:20">
      <c r="B239" s="249" t="s">
        <v>513</v>
      </c>
      <c r="C239" s="250" t="s">
        <v>77</v>
      </c>
      <c r="D239" s="250" t="s">
        <v>502</v>
      </c>
      <c r="E239" s="251">
        <v>5</v>
      </c>
      <c r="F239" s="251" t="s">
        <v>281</v>
      </c>
      <c r="G239" s="253">
        <v>54481395</v>
      </c>
      <c r="H239" s="253">
        <v>31073451</v>
      </c>
      <c r="I239" s="253">
        <v>87172149</v>
      </c>
      <c r="J239" s="252">
        <v>-1.0800000000000001E-2</v>
      </c>
      <c r="K239" s="253">
        <v>49442715</v>
      </c>
      <c r="L239" s="253">
        <v>27829629</v>
      </c>
      <c r="M239" s="253">
        <v>79861861</v>
      </c>
      <c r="N239" s="253">
        <v>5038680</v>
      </c>
      <c r="O239" s="253">
        <v>3243822</v>
      </c>
      <c r="P239" s="253">
        <v>7310288</v>
      </c>
      <c r="Q239" s="253">
        <v>336131</v>
      </c>
      <c r="R239" s="285">
        <v>14990.2265625</v>
      </c>
      <c r="S239" s="285">
        <v>9650.4697265625</v>
      </c>
      <c r="T239" s="286">
        <v>21748.33203125</v>
      </c>
    </row>
    <row r="240" spans="2:20">
      <c r="B240" s="249" t="s">
        <v>513</v>
      </c>
      <c r="C240" s="250" t="s">
        <v>77</v>
      </c>
      <c r="D240" s="250" t="s">
        <v>201</v>
      </c>
      <c r="E240" s="251">
        <v>6</v>
      </c>
      <c r="F240" s="251" t="s">
        <v>281</v>
      </c>
      <c r="G240" s="253">
        <v>54753685</v>
      </c>
      <c r="H240" s="253">
        <v>31228726</v>
      </c>
      <c r="I240" s="253">
        <v>87607868</v>
      </c>
      <c r="J240" s="252">
        <v>-8.0000000000000004E-4</v>
      </c>
      <c r="K240" s="253">
        <v>49680450</v>
      </c>
      <c r="L240" s="253">
        <v>27949939</v>
      </c>
      <c r="M240" s="253">
        <v>80232892</v>
      </c>
      <c r="N240" s="253">
        <v>5073235</v>
      </c>
      <c r="O240" s="253">
        <v>3278787</v>
      </c>
      <c r="P240" s="253">
        <v>7374976</v>
      </c>
      <c r="Q240" s="253">
        <v>231478</v>
      </c>
      <c r="R240" s="285">
        <v>21916.705078125</v>
      </c>
      <c r="S240" s="285">
        <v>14164.572265625</v>
      </c>
      <c r="T240" s="286">
        <v>31860.376953125</v>
      </c>
    </row>
    <row r="241" spans="2:20">
      <c r="B241" s="249" t="s">
        <v>513</v>
      </c>
      <c r="C241" s="250" t="s">
        <v>77</v>
      </c>
      <c r="D241" s="250" t="s">
        <v>201</v>
      </c>
      <c r="E241" s="251">
        <v>7</v>
      </c>
      <c r="F241" s="251" t="s">
        <v>281</v>
      </c>
      <c r="G241" s="253">
        <v>55027491</v>
      </c>
      <c r="H241" s="253">
        <v>31384887</v>
      </c>
      <c r="I241" s="253">
        <v>88045955</v>
      </c>
      <c r="J241" s="252">
        <v>-8.0000000000000004E-4</v>
      </c>
      <c r="K241" s="253">
        <v>49891120</v>
      </c>
      <c r="L241" s="253">
        <v>28070820</v>
      </c>
      <c r="M241" s="253">
        <v>80568005</v>
      </c>
      <c r="N241" s="253">
        <v>5136371</v>
      </c>
      <c r="O241" s="253">
        <v>3314067</v>
      </c>
      <c r="P241" s="253">
        <v>7477950</v>
      </c>
      <c r="Q241" s="253">
        <v>177294</v>
      </c>
      <c r="R241" s="285">
        <v>28970.923828125</v>
      </c>
      <c r="S241" s="285">
        <v>18692.494140625</v>
      </c>
      <c r="T241" s="286">
        <v>42178.24609375</v>
      </c>
    </row>
    <row r="242" spans="2:20">
      <c r="B242" s="249" t="s">
        <v>513</v>
      </c>
      <c r="C242" s="250" t="s">
        <v>77</v>
      </c>
      <c r="D242" s="250" t="s">
        <v>201</v>
      </c>
      <c r="E242" s="251">
        <v>8</v>
      </c>
      <c r="F242" s="251" t="s">
        <v>281</v>
      </c>
      <c r="G242" s="253">
        <v>55302735</v>
      </c>
      <c r="H242" s="253">
        <v>31541911</v>
      </c>
      <c r="I242" s="253">
        <v>88486320</v>
      </c>
      <c r="J242" s="252">
        <v>-8.0000000000000004E-4</v>
      </c>
      <c r="K242" s="253">
        <v>50102699</v>
      </c>
      <c r="L242" s="253">
        <v>28192249</v>
      </c>
      <c r="M242" s="253">
        <v>80923479</v>
      </c>
      <c r="N242" s="253">
        <v>5200036</v>
      </c>
      <c r="O242" s="253">
        <v>3349662</v>
      </c>
      <c r="P242" s="253">
        <v>7562841</v>
      </c>
      <c r="Q242" s="253">
        <v>159923</v>
      </c>
      <c r="R242" s="285">
        <v>32515.873046875</v>
      </c>
      <c r="S242" s="285">
        <v>20945.466796875</v>
      </c>
      <c r="T242" s="286">
        <v>47290.515625</v>
      </c>
    </row>
    <row r="243" spans="2:20">
      <c r="B243" s="249" t="s">
        <v>513</v>
      </c>
      <c r="C243" s="250" t="s">
        <v>77</v>
      </c>
      <c r="D243" s="250" t="s">
        <v>201</v>
      </c>
      <c r="E243" s="251">
        <v>9</v>
      </c>
      <c r="F243" s="251" t="s">
        <v>281</v>
      </c>
      <c r="G243" s="253">
        <v>55579220</v>
      </c>
      <c r="H243" s="253">
        <v>31699590</v>
      </c>
      <c r="I243" s="253">
        <v>88928703</v>
      </c>
      <c r="J243" s="252">
        <v>-8.0000000000000004E-4</v>
      </c>
      <c r="K243" s="253">
        <v>50276896</v>
      </c>
      <c r="L243" s="253">
        <v>28285512</v>
      </c>
      <c r="M243" s="253">
        <v>81232708</v>
      </c>
      <c r="N243" s="253">
        <v>5302324</v>
      </c>
      <c r="O243" s="253">
        <v>3414078</v>
      </c>
      <c r="P243" s="253">
        <v>7695995</v>
      </c>
      <c r="Q243" s="253">
        <v>159923</v>
      </c>
      <c r="R243" s="285">
        <v>33155.48046875</v>
      </c>
      <c r="S243" s="285">
        <v>21348.26171875</v>
      </c>
      <c r="T243" s="286">
        <v>48123.12890625</v>
      </c>
    </row>
    <row r="244" spans="2:20">
      <c r="B244" s="249" t="s">
        <v>513</v>
      </c>
      <c r="C244" s="250" t="s">
        <v>77</v>
      </c>
      <c r="D244" s="250" t="s">
        <v>201</v>
      </c>
      <c r="E244" s="251">
        <v>10</v>
      </c>
      <c r="F244" s="251" t="s">
        <v>281</v>
      </c>
      <c r="G244" s="253">
        <v>55857110</v>
      </c>
      <c r="H244" s="253">
        <v>31858091</v>
      </c>
      <c r="I244" s="253">
        <v>89373354</v>
      </c>
      <c r="J244" s="252">
        <v>-8.0000000000000004E-4</v>
      </c>
      <c r="K244" s="253">
        <v>50499523</v>
      </c>
      <c r="L244" s="253">
        <v>28417360</v>
      </c>
      <c r="M244" s="253">
        <v>81581361</v>
      </c>
      <c r="N244" s="253">
        <v>5357587</v>
      </c>
      <c r="O244" s="253">
        <v>3440731</v>
      </c>
      <c r="P244" s="253">
        <v>7791993</v>
      </c>
      <c r="Q244" s="253">
        <v>177294</v>
      </c>
      <c r="R244" s="285">
        <v>30218.66015625</v>
      </c>
      <c r="S244" s="285">
        <v>19406.923828125</v>
      </c>
      <c r="T244" s="286">
        <v>43949.55859375</v>
      </c>
    </row>
    <row r="245" spans="2:20">
      <c r="B245" s="249" t="s">
        <v>513</v>
      </c>
      <c r="C245" s="250" t="s">
        <v>77</v>
      </c>
      <c r="D245" s="250" t="s">
        <v>201</v>
      </c>
      <c r="E245" s="251">
        <v>11</v>
      </c>
      <c r="F245" s="251" t="s">
        <v>281</v>
      </c>
      <c r="G245" s="253">
        <v>56136414</v>
      </c>
      <c r="H245" s="253">
        <v>32017396</v>
      </c>
      <c r="I245" s="253">
        <v>89820249</v>
      </c>
      <c r="J245" s="252">
        <v>-8.0000000000000004E-4</v>
      </c>
      <c r="K245" s="253">
        <v>50732763</v>
      </c>
      <c r="L245" s="253">
        <v>28549819</v>
      </c>
      <c r="M245" s="253">
        <v>81941115</v>
      </c>
      <c r="N245" s="253">
        <v>5403651</v>
      </c>
      <c r="O245" s="253">
        <v>3467577</v>
      </c>
      <c r="P245" s="253">
        <v>7879134</v>
      </c>
      <c r="Q245" s="253">
        <v>231478</v>
      </c>
      <c r="R245" s="285">
        <v>23344.123046875</v>
      </c>
      <c r="S245" s="285">
        <v>14980.158203125</v>
      </c>
      <c r="T245" s="286">
        <v>34038.37109375</v>
      </c>
    </row>
    <row r="246" spans="2:20">
      <c r="B246" s="249" t="s">
        <v>513</v>
      </c>
      <c r="C246" s="250" t="s">
        <v>77</v>
      </c>
      <c r="D246" s="250" t="s">
        <v>201</v>
      </c>
      <c r="E246" s="251">
        <v>12</v>
      </c>
      <c r="F246" s="251" t="s">
        <v>281</v>
      </c>
      <c r="G246" s="253">
        <v>56417096</v>
      </c>
      <c r="H246" s="253">
        <v>32177466</v>
      </c>
      <c r="I246" s="253">
        <v>90269338</v>
      </c>
      <c r="J246" s="252">
        <v>-8.0000000000000004E-4</v>
      </c>
      <c r="K246" s="253">
        <v>50957391</v>
      </c>
      <c r="L246" s="253">
        <v>28673207</v>
      </c>
      <c r="M246" s="253">
        <v>82321776</v>
      </c>
      <c r="N246" s="253">
        <v>5459705</v>
      </c>
      <c r="O246" s="253">
        <v>3504259</v>
      </c>
      <c r="P246" s="253">
        <v>7947562</v>
      </c>
      <c r="Q246" s="253">
        <v>159923</v>
      </c>
      <c r="R246" s="285">
        <v>34139.5859375</v>
      </c>
      <c r="S246" s="285">
        <v>21912.1640625</v>
      </c>
      <c r="T246" s="286">
        <v>49696.1796875</v>
      </c>
    </row>
    <row r="247" spans="2:20">
      <c r="B247" s="249" t="s">
        <v>513</v>
      </c>
      <c r="C247" s="250" t="s">
        <v>77</v>
      </c>
      <c r="D247" s="250" t="s">
        <v>201</v>
      </c>
      <c r="E247" s="251">
        <v>13</v>
      </c>
      <c r="F247" s="251" t="s">
        <v>281</v>
      </c>
      <c r="G247" s="253">
        <v>56699169</v>
      </c>
      <c r="H247" s="253">
        <v>32338338</v>
      </c>
      <c r="I247" s="253">
        <v>90720653</v>
      </c>
      <c r="J247" s="252">
        <v>-8.0000000000000004E-4</v>
      </c>
      <c r="K247" s="253">
        <v>51163527</v>
      </c>
      <c r="L247" s="253">
        <v>28767918</v>
      </c>
      <c r="M247" s="253">
        <v>82616647</v>
      </c>
      <c r="N247" s="253">
        <v>5535642</v>
      </c>
      <c r="O247" s="253">
        <v>3570420</v>
      </c>
      <c r="P247" s="253">
        <v>8104006</v>
      </c>
      <c r="Q247" s="253">
        <v>177294</v>
      </c>
      <c r="R247" s="285">
        <v>31222.951171875</v>
      </c>
      <c r="S247" s="285">
        <v>20138.4140625</v>
      </c>
      <c r="T247" s="286">
        <v>45709.41796875</v>
      </c>
    </row>
    <row r="248" spans="2:20">
      <c r="B248" s="249" t="s">
        <v>513</v>
      </c>
      <c r="C248" s="250" t="s">
        <v>77</v>
      </c>
      <c r="D248" s="250" t="s">
        <v>201</v>
      </c>
      <c r="E248" s="251">
        <v>14</v>
      </c>
      <c r="F248" s="251" t="s">
        <v>281</v>
      </c>
      <c r="G248" s="253">
        <v>56982670</v>
      </c>
      <c r="H248" s="253">
        <v>32500045</v>
      </c>
      <c r="I248" s="253">
        <v>91174269</v>
      </c>
      <c r="J248" s="252">
        <v>-8.0000000000000004E-4</v>
      </c>
      <c r="K248" s="253">
        <v>51390012</v>
      </c>
      <c r="L248" s="253">
        <v>28901979</v>
      </c>
      <c r="M248" s="253">
        <v>82990611</v>
      </c>
      <c r="N248" s="253">
        <v>5592658</v>
      </c>
      <c r="O248" s="253">
        <v>3598066</v>
      </c>
      <c r="P248" s="253">
        <v>8183658</v>
      </c>
      <c r="Q248" s="253">
        <v>159923</v>
      </c>
      <c r="R248" s="285">
        <v>34970.9453125</v>
      </c>
      <c r="S248" s="285">
        <v>22498.73828125</v>
      </c>
      <c r="T248" s="286">
        <v>51172.48828125</v>
      </c>
    </row>
    <row r="249" spans="2:20">
      <c r="B249" s="256" t="s">
        <v>513</v>
      </c>
      <c r="C249" s="257" t="s">
        <v>77</v>
      </c>
      <c r="D249" s="257" t="s">
        <v>201</v>
      </c>
      <c r="E249" s="258">
        <v>15</v>
      </c>
      <c r="F249" s="258" t="s">
        <v>281</v>
      </c>
      <c r="G249" s="260">
        <v>57267575</v>
      </c>
      <c r="H249" s="260">
        <v>32662551</v>
      </c>
      <c r="I249" s="260">
        <v>91630145</v>
      </c>
      <c r="J249" s="259">
        <v>-8.0000000000000004E-4</v>
      </c>
      <c r="K249" s="260">
        <v>51617476</v>
      </c>
      <c r="L249" s="260">
        <v>29036668</v>
      </c>
      <c r="M249" s="260">
        <v>83376082</v>
      </c>
      <c r="N249" s="260">
        <v>5650099</v>
      </c>
      <c r="O249" s="260">
        <v>3625883</v>
      </c>
      <c r="P249" s="260">
        <v>8254063</v>
      </c>
      <c r="Q249" s="260">
        <v>159923</v>
      </c>
      <c r="R249" s="287">
        <v>35330.12109375</v>
      </c>
      <c r="S249" s="287">
        <v>22672.6796875</v>
      </c>
      <c r="T249" s="288">
        <v>51612.73046875</v>
      </c>
    </row>
    <row r="250" spans="2:20">
      <c r="B250" s="249" t="s">
        <v>513</v>
      </c>
      <c r="C250" s="250" t="s">
        <v>121</v>
      </c>
      <c r="D250" s="250" t="s">
        <v>502</v>
      </c>
      <c r="E250" s="251">
        <v>1</v>
      </c>
      <c r="F250" s="251" t="s">
        <v>281</v>
      </c>
      <c r="G250" s="253">
        <v>53405233</v>
      </c>
      <c r="H250" s="253">
        <v>30459655</v>
      </c>
      <c r="I250" s="253">
        <v>85450251</v>
      </c>
      <c r="J250" s="252">
        <v>-0.02</v>
      </c>
      <c r="K250" s="253">
        <v>49895614</v>
      </c>
      <c r="L250" s="253">
        <v>28104651</v>
      </c>
      <c r="M250" s="253">
        <v>80666919</v>
      </c>
      <c r="N250" s="253">
        <v>3509619</v>
      </c>
      <c r="O250" s="253">
        <v>2355004</v>
      </c>
      <c r="P250" s="253">
        <v>4783332</v>
      </c>
      <c r="Q250" s="253">
        <v>133969</v>
      </c>
      <c r="R250" s="285">
        <v>26197.24609375</v>
      </c>
      <c r="S250" s="285">
        <v>17578.724609375</v>
      </c>
      <c r="T250" s="286">
        <v>35704.76953125</v>
      </c>
    </row>
    <row r="251" spans="2:20">
      <c r="B251" s="249" t="s">
        <v>513</v>
      </c>
      <c r="C251" s="250" t="s">
        <v>121</v>
      </c>
      <c r="D251" s="250" t="s">
        <v>502</v>
      </c>
      <c r="E251" s="251">
        <v>2</v>
      </c>
      <c r="F251" s="251" t="s">
        <v>281</v>
      </c>
      <c r="G251" s="253">
        <v>53672278</v>
      </c>
      <c r="H251" s="253">
        <v>30611964</v>
      </c>
      <c r="I251" s="253">
        <v>85877536</v>
      </c>
      <c r="J251" s="252">
        <v>-0.02</v>
      </c>
      <c r="K251" s="253">
        <v>49353090</v>
      </c>
      <c r="L251" s="253">
        <v>27757076</v>
      </c>
      <c r="M251" s="253">
        <v>79744103</v>
      </c>
      <c r="N251" s="253">
        <v>4319188</v>
      </c>
      <c r="O251" s="253">
        <v>2854888</v>
      </c>
      <c r="P251" s="253">
        <v>6133433</v>
      </c>
      <c r="Q251" s="253">
        <v>273304</v>
      </c>
      <c r="R251" s="285">
        <v>15803.603515625</v>
      </c>
      <c r="S251" s="285">
        <v>10445.8330078125</v>
      </c>
      <c r="T251" s="286">
        <v>22441.796875</v>
      </c>
    </row>
    <row r="252" spans="2:20">
      <c r="B252" s="249" t="s">
        <v>513</v>
      </c>
      <c r="C252" s="250" t="s">
        <v>121</v>
      </c>
      <c r="D252" s="250" t="s">
        <v>502</v>
      </c>
      <c r="E252" s="251">
        <v>3</v>
      </c>
      <c r="F252" s="251" t="s">
        <v>281</v>
      </c>
      <c r="G252" s="253">
        <v>53940632</v>
      </c>
      <c r="H252" s="253">
        <v>30765014</v>
      </c>
      <c r="I252" s="253">
        <v>86306916</v>
      </c>
      <c r="J252" s="252">
        <v>-0.02</v>
      </c>
      <c r="K252" s="253">
        <v>48702063</v>
      </c>
      <c r="L252" s="253">
        <v>27405317</v>
      </c>
      <c r="M252" s="253">
        <v>78661938</v>
      </c>
      <c r="N252" s="253">
        <v>5238569</v>
      </c>
      <c r="O252" s="253">
        <v>3359697</v>
      </c>
      <c r="P252" s="253">
        <v>7644978</v>
      </c>
      <c r="Q252" s="253">
        <v>170998</v>
      </c>
      <c r="R252" s="285">
        <v>30635.265625</v>
      </c>
      <c r="S252" s="285">
        <v>19647.58203125</v>
      </c>
      <c r="T252" s="286">
        <v>44707.99609375</v>
      </c>
    </row>
    <row r="253" spans="2:20">
      <c r="B253" s="249" t="s">
        <v>513</v>
      </c>
      <c r="C253" s="250" t="s">
        <v>121</v>
      </c>
      <c r="D253" s="250" t="s">
        <v>502</v>
      </c>
      <c r="E253" s="251">
        <v>4</v>
      </c>
      <c r="F253" s="251" t="s">
        <v>281</v>
      </c>
      <c r="G253" s="253">
        <v>54210326</v>
      </c>
      <c r="H253" s="253">
        <v>30918835</v>
      </c>
      <c r="I253" s="253">
        <v>86738425</v>
      </c>
      <c r="J253" s="252">
        <v>-0.02</v>
      </c>
      <c r="K253" s="253">
        <v>48024707</v>
      </c>
      <c r="L253" s="253">
        <v>27012137</v>
      </c>
      <c r="M253" s="253">
        <v>77436743</v>
      </c>
      <c r="N253" s="253">
        <v>6185619</v>
      </c>
      <c r="O253" s="253">
        <v>3906698</v>
      </c>
      <c r="P253" s="253">
        <v>9301682</v>
      </c>
      <c r="Q253" s="253">
        <v>170998</v>
      </c>
      <c r="R253" s="285">
        <v>36173.6328125</v>
      </c>
      <c r="S253" s="285">
        <v>22846.455078125</v>
      </c>
      <c r="T253" s="286">
        <v>54396.4375</v>
      </c>
    </row>
    <row r="254" spans="2:20">
      <c r="B254" s="249" t="s">
        <v>513</v>
      </c>
      <c r="C254" s="250" t="s">
        <v>121</v>
      </c>
      <c r="D254" s="250" t="s">
        <v>502</v>
      </c>
      <c r="E254" s="251">
        <v>5</v>
      </c>
      <c r="F254" s="251" t="s">
        <v>281</v>
      </c>
      <c r="G254" s="253">
        <v>54481395</v>
      </c>
      <c r="H254" s="253">
        <v>31073451</v>
      </c>
      <c r="I254" s="253">
        <v>87172149</v>
      </c>
      <c r="J254" s="252">
        <v>-0.02</v>
      </c>
      <c r="K254" s="253">
        <v>47423495</v>
      </c>
      <c r="L254" s="253">
        <v>26735890</v>
      </c>
      <c r="M254" s="253">
        <v>76384309</v>
      </c>
      <c r="N254" s="253">
        <v>7057900</v>
      </c>
      <c r="O254" s="253">
        <v>4337561</v>
      </c>
      <c r="P254" s="253">
        <v>10787840</v>
      </c>
      <c r="Q254" s="253">
        <v>170998</v>
      </c>
      <c r="R254" s="285">
        <v>41274.75390625</v>
      </c>
      <c r="S254" s="285">
        <v>25366.150390625</v>
      </c>
      <c r="T254" s="286">
        <v>63087.51953125</v>
      </c>
    </row>
    <row r="255" spans="2:20">
      <c r="B255" s="249" t="s">
        <v>513</v>
      </c>
      <c r="C255" s="250" t="s">
        <v>121</v>
      </c>
      <c r="D255" s="250" t="s">
        <v>201</v>
      </c>
      <c r="E255" s="251">
        <v>6</v>
      </c>
      <c r="F255" s="251" t="s">
        <v>281</v>
      </c>
      <c r="G255" s="253">
        <v>54753685</v>
      </c>
      <c r="H255" s="253">
        <v>31228726</v>
      </c>
      <c r="I255" s="253">
        <v>87607868</v>
      </c>
      <c r="J255" s="252">
        <v>-2E-3</v>
      </c>
      <c r="K255" s="253">
        <v>47566580</v>
      </c>
      <c r="L255" s="253">
        <v>26822540</v>
      </c>
      <c r="M255" s="253">
        <v>76662796</v>
      </c>
      <c r="N255" s="253">
        <v>7187105</v>
      </c>
      <c r="O255" s="253">
        <v>4406186</v>
      </c>
      <c r="P255" s="253">
        <v>10945072</v>
      </c>
      <c r="Q255" s="253">
        <v>123966</v>
      </c>
      <c r="R255" s="285">
        <v>57976.421875</v>
      </c>
      <c r="S255" s="285">
        <v>35543.50390625</v>
      </c>
      <c r="T255" s="286">
        <v>88290.9140625</v>
      </c>
    </row>
    <row r="256" spans="2:20">
      <c r="B256" s="249" t="s">
        <v>513</v>
      </c>
      <c r="C256" s="250" t="s">
        <v>121</v>
      </c>
      <c r="D256" s="250" t="s">
        <v>201</v>
      </c>
      <c r="E256" s="251">
        <v>7</v>
      </c>
      <c r="F256" s="251" t="s">
        <v>281</v>
      </c>
      <c r="G256" s="253">
        <v>55027491</v>
      </c>
      <c r="H256" s="253">
        <v>31384887</v>
      </c>
      <c r="I256" s="253">
        <v>88045955</v>
      </c>
      <c r="J256" s="252">
        <v>-2E-3</v>
      </c>
      <c r="K256" s="253">
        <v>47747790</v>
      </c>
      <c r="L256" s="253">
        <v>26909458</v>
      </c>
      <c r="M256" s="253">
        <v>76923406</v>
      </c>
      <c r="N256" s="253">
        <v>7279701</v>
      </c>
      <c r="O256" s="253">
        <v>4475429</v>
      </c>
      <c r="P256" s="253">
        <v>11122549</v>
      </c>
      <c r="Q256" s="253">
        <v>93727</v>
      </c>
      <c r="R256" s="285">
        <v>77669.1953125</v>
      </c>
      <c r="S256" s="285">
        <v>47749.62109375</v>
      </c>
      <c r="T256" s="286">
        <v>118669.640625</v>
      </c>
    </row>
    <row r="257" spans="2:20">
      <c r="B257" s="249" t="s">
        <v>513</v>
      </c>
      <c r="C257" s="250" t="s">
        <v>121</v>
      </c>
      <c r="D257" s="250" t="s">
        <v>201</v>
      </c>
      <c r="E257" s="251">
        <v>8</v>
      </c>
      <c r="F257" s="251" t="s">
        <v>281</v>
      </c>
      <c r="G257" s="253">
        <v>55302735</v>
      </c>
      <c r="H257" s="253">
        <v>31541911</v>
      </c>
      <c r="I257" s="253">
        <v>88486320</v>
      </c>
      <c r="J257" s="252">
        <v>-2E-3</v>
      </c>
      <c r="K257" s="253">
        <v>47806318</v>
      </c>
      <c r="L257" s="253">
        <v>26930192</v>
      </c>
      <c r="M257" s="253">
        <v>76994965</v>
      </c>
      <c r="N257" s="253">
        <v>7496417</v>
      </c>
      <c r="O257" s="253">
        <v>4611719</v>
      </c>
      <c r="P257" s="253">
        <v>11491355</v>
      </c>
      <c r="Q257" s="253">
        <v>93727</v>
      </c>
      <c r="R257" s="285">
        <v>79981.40625</v>
      </c>
      <c r="S257" s="285">
        <v>49203.73828125</v>
      </c>
      <c r="T257" s="286">
        <v>122604.53125</v>
      </c>
    </row>
    <row r="258" spans="2:20">
      <c r="B258" s="249" t="s">
        <v>513</v>
      </c>
      <c r="C258" s="250" t="s">
        <v>121</v>
      </c>
      <c r="D258" s="250" t="s">
        <v>201</v>
      </c>
      <c r="E258" s="251">
        <v>9</v>
      </c>
      <c r="F258" s="251" t="s">
        <v>281</v>
      </c>
      <c r="G258" s="253">
        <v>55579220</v>
      </c>
      <c r="H258" s="253">
        <v>31699590</v>
      </c>
      <c r="I258" s="253">
        <v>88928703</v>
      </c>
      <c r="J258" s="252">
        <v>-2E-3</v>
      </c>
      <c r="K258" s="253">
        <v>47959492</v>
      </c>
      <c r="L258" s="253">
        <v>27026678</v>
      </c>
      <c r="M258" s="253">
        <v>77265468</v>
      </c>
      <c r="N258" s="253">
        <v>7619728</v>
      </c>
      <c r="O258" s="253">
        <v>4672912</v>
      </c>
      <c r="P258" s="253">
        <v>11663235</v>
      </c>
      <c r="Q258" s="253">
        <v>93727</v>
      </c>
      <c r="R258" s="285">
        <v>81297.0390625</v>
      </c>
      <c r="S258" s="285">
        <v>49856.625</v>
      </c>
      <c r="T258" s="286">
        <v>124438.3671875</v>
      </c>
    </row>
    <row r="259" spans="2:20">
      <c r="B259" s="249" t="s">
        <v>513</v>
      </c>
      <c r="C259" s="250" t="s">
        <v>121</v>
      </c>
      <c r="D259" s="250" t="s">
        <v>201</v>
      </c>
      <c r="E259" s="251">
        <v>10</v>
      </c>
      <c r="F259" s="251" t="s">
        <v>281</v>
      </c>
      <c r="G259" s="253">
        <v>55857110</v>
      </c>
      <c r="H259" s="253">
        <v>31858091</v>
      </c>
      <c r="I259" s="253">
        <v>89373354</v>
      </c>
      <c r="J259" s="252">
        <v>-2E-3</v>
      </c>
      <c r="K259" s="253">
        <v>48093875</v>
      </c>
      <c r="L259" s="253">
        <v>27113898</v>
      </c>
      <c r="M259" s="253">
        <v>77546383</v>
      </c>
      <c r="N259" s="253">
        <v>7763235</v>
      </c>
      <c r="O259" s="253">
        <v>4744193</v>
      </c>
      <c r="P259" s="253">
        <v>11826971</v>
      </c>
      <c r="Q259" s="253">
        <v>93727</v>
      </c>
      <c r="R259" s="285">
        <v>82828.1640625</v>
      </c>
      <c r="S259" s="285">
        <v>50617.140625</v>
      </c>
      <c r="T259" s="286">
        <v>126185.3203125</v>
      </c>
    </row>
    <row r="260" spans="2:20">
      <c r="B260" s="249" t="s">
        <v>513</v>
      </c>
      <c r="C260" s="250" t="s">
        <v>121</v>
      </c>
      <c r="D260" s="250" t="s">
        <v>201</v>
      </c>
      <c r="E260" s="251">
        <v>11</v>
      </c>
      <c r="F260" s="251" t="s">
        <v>281</v>
      </c>
      <c r="G260" s="253">
        <v>56136414</v>
      </c>
      <c r="H260" s="253">
        <v>32017396</v>
      </c>
      <c r="I260" s="253">
        <v>89820249</v>
      </c>
      <c r="J260" s="252">
        <v>-2E-3</v>
      </c>
      <c r="K260" s="253">
        <v>48266917</v>
      </c>
      <c r="L260" s="253">
        <v>27182045</v>
      </c>
      <c r="M260" s="253">
        <v>77770371</v>
      </c>
      <c r="N260" s="253">
        <v>7869497</v>
      </c>
      <c r="O260" s="253">
        <v>4835351</v>
      </c>
      <c r="P260" s="253">
        <v>12049878</v>
      </c>
      <c r="Q260" s="253">
        <v>123966</v>
      </c>
      <c r="R260" s="285">
        <v>63481.08984375</v>
      </c>
      <c r="S260" s="285">
        <v>39005.4609375</v>
      </c>
      <c r="T260" s="286">
        <v>97203.0859375</v>
      </c>
    </row>
    <row r="261" spans="2:20">
      <c r="B261" s="249" t="s">
        <v>513</v>
      </c>
      <c r="C261" s="250" t="s">
        <v>121</v>
      </c>
      <c r="D261" s="250" t="s">
        <v>201</v>
      </c>
      <c r="E261" s="251">
        <v>12</v>
      </c>
      <c r="F261" s="251" t="s">
        <v>281</v>
      </c>
      <c r="G261" s="253">
        <v>56417096</v>
      </c>
      <c r="H261" s="253">
        <v>32177466</v>
      </c>
      <c r="I261" s="253">
        <v>90269338</v>
      </c>
      <c r="J261" s="252">
        <v>-2E-3</v>
      </c>
      <c r="K261" s="253">
        <v>48382421</v>
      </c>
      <c r="L261" s="253">
        <v>27279229</v>
      </c>
      <c r="M261" s="253">
        <v>77994663</v>
      </c>
      <c r="N261" s="253">
        <v>8034675</v>
      </c>
      <c r="O261" s="253">
        <v>4898237</v>
      </c>
      <c r="P261" s="253">
        <v>12274675</v>
      </c>
      <c r="Q261" s="253">
        <v>93727</v>
      </c>
      <c r="R261" s="285">
        <v>85724.2265625</v>
      </c>
      <c r="S261" s="285">
        <v>52260.6796875</v>
      </c>
      <c r="T261" s="286">
        <v>130961.9921875</v>
      </c>
    </row>
    <row r="262" spans="2:20">
      <c r="B262" s="249" t="s">
        <v>513</v>
      </c>
      <c r="C262" s="250" t="s">
        <v>121</v>
      </c>
      <c r="D262" s="250" t="s">
        <v>201</v>
      </c>
      <c r="E262" s="251">
        <v>13</v>
      </c>
      <c r="F262" s="251" t="s">
        <v>281</v>
      </c>
      <c r="G262" s="253">
        <v>56699169</v>
      </c>
      <c r="H262" s="253">
        <v>32338338</v>
      </c>
      <c r="I262" s="253">
        <v>90720653</v>
      </c>
      <c r="J262" s="252">
        <v>-2E-3</v>
      </c>
      <c r="K262" s="253">
        <v>48536758</v>
      </c>
      <c r="L262" s="253">
        <v>27376704</v>
      </c>
      <c r="M262" s="253">
        <v>78287334</v>
      </c>
      <c r="N262" s="253">
        <v>8162411</v>
      </c>
      <c r="O262" s="253">
        <v>4961634</v>
      </c>
      <c r="P262" s="253">
        <v>12433319</v>
      </c>
      <c r="Q262" s="253">
        <v>93727</v>
      </c>
      <c r="R262" s="285">
        <v>87087.078125</v>
      </c>
      <c r="S262" s="285">
        <v>52937.0859375</v>
      </c>
      <c r="T262" s="286">
        <v>132654.625</v>
      </c>
    </row>
    <row r="263" spans="2:20">
      <c r="B263" s="249" t="s">
        <v>513</v>
      </c>
      <c r="C263" s="250" t="s">
        <v>121</v>
      </c>
      <c r="D263" s="250" t="s">
        <v>201</v>
      </c>
      <c r="E263" s="251">
        <v>14</v>
      </c>
      <c r="F263" s="251" t="s">
        <v>281</v>
      </c>
      <c r="G263" s="253">
        <v>56982670</v>
      </c>
      <c r="H263" s="253">
        <v>32500045</v>
      </c>
      <c r="I263" s="253">
        <v>91174269</v>
      </c>
      <c r="J263" s="252">
        <v>-2E-3</v>
      </c>
      <c r="K263" s="253">
        <v>48476325</v>
      </c>
      <c r="L263" s="253">
        <v>27425591</v>
      </c>
      <c r="M263" s="253">
        <v>78434321</v>
      </c>
      <c r="N263" s="253">
        <v>8506345</v>
      </c>
      <c r="O263" s="253">
        <v>5074454</v>
      </c>
      <c r="P263" s="253">
        <v>12739948</v>
      </c>
      <c r="Q263" s="253">
        <v>93727</v>
      </c>
      <c r="R263" s="285">
        <v>90756.6171875</v>
      </c>
      <c r="S263" s="285">
        <v>54140.79296875</v>
      </c>
      <c r="T263" s="286">
        <v>135926.125</v>
      </c>
    </row>
    <row r="264" spans="2:20">
      <c r="B264" s="256" t="s">
        <v>513</v>
      </c>
      <c r="C264" s="257" t="s">
        <v>121</v>
      </c>
      <c r="D264" s="257" t="s">
        <v>201</v>
      </c>
      <c r="E264" s="258">
        <v>15</v>
      </c>
      <c r="F264" s="258" t="s">
        <v>281</v>
      </c>
      <c r="G264" s="260">
        <v>57267575</v>
      </c>
      <c r="H264" s="260">
        <v>32662551</v>
      </c>
      <c r="I264" s="260">
        <v>91630145</v>
      </c>
      <c r="J264" s="259">
        <v>-2E-3</v>
      </c>
      <c r="K264" s="260">
        <v>48659760</v>
      </c>
      <c r="L264" s="260">
        <v>27513589</v>
      </c>
      <c r="M264" s="260">
        <v>78659457</v>
      </c>
      <c r="N264" s="260">
        <v>8607815</v>
      </c>
      <c r="O264" s="260">
        <v>5148962</v>
      </c>
      <c r="P264" s="260">
        <v>12970688</v>
      </c>
      <c r="Q264" s="260">
        <v>93727</v>
      </c>
      <c r="R264" s="287">
        <v>91839.2265625</v>
      </c>
      <c r="S264" s="287">
        <v>54935.73828125</v>
      </c>
      <c r="T264" s="288">
        <v>138387.953125</v>
      </c>
    </row>
    <row r="265" spans="2:20">
      <c r="B265" s="249" t="s">
        <v>513</v>
      </c>
      <c r="C265" s="250" t="s">
        <v>122</v>
      </c>
      <c r="D265" s="250" t="s">
        <v>502</v>
      </c>
      <c r="E265" s="251">
        <v>1</v>
      </c>
      <c r="F265" s="251" t="s">
        <v>281</v>
      </c>
      <c r="G265" s="253">
        <v>53405233</v>
      </c>
      <c r="H265" s="253">
        <v>30459655</v>
      </c>
      <c r="I265" s="253">
        <v>85450251</v>
      </c>
      <c r="J265" s="252">
        <v>-1.2E-2</v>
      </c>
      <c r="K265" s="253">
        <v>50216342</v>
      </c>
      <c r="L265" s="253">
        <v>28260431</v>
      </c>
      <c r="M265" s="253">
        <v>81152593</v>
      </c>
      <c r="N265" s="253">
        <v>3188891</v>
      </c>
      <c r="O265" s="253">
        <v>2199224</v>
      </c>
      <c r="P265" s="253">
        <v>4297658</v>
      </c>
      <c r="Q265" s="253">
        <v>131759</v>
      </c>
      <c r="R265" s="285">
        <v>24202.453125</v>
      </c>
      <c r="S265" s="285">
        <v>16691.26171875</v>
      </c>
      <c r="T265" s="286">
        <v>32617.564453125</v>
      </c>
    </row>
    <row r="266" spans="2:20">
      <c r="B266" s="249" t="s">
        <v>513</v>
      </c>
      <c r="C266" s="250" t="s">
        <v>122</v>
      </c>
      <c r="D266" s="250" t="s">
        <v>502</v>
      </c>
      <c r="E266" s="251">
        <v>2</v>
      </c>
      <c r="F266" s="251" t="s">
        <v>281</v>
      </c>
      <c r="G266" s="253">
        <v>53672278</v>
      </c>
      <c r="H266" s="253">
        <v>30611964</v>
      </c>
      <c r="I266" s="253">
        <v>85877536</v>
      </c>
      <c r="J266" s="252">
        <v>-1.2E-2</v>
      </c>
      <c r="K266" s="253">
        <v>50016169</v>
      </c>
      <c r="L266" s="253">
        <v>28134660</v>
      </c>
      <c r="M266" s="253">
        <v>80830813</v>
      </c>
      <c r="N266" s="253">
        <v>3656109</v>
      </c>
      <c r="O266" s="253">
        <v>2477304</v>
      </c>
      <c r="P266" s="253">
        <v>5046723</v>
      </c>
      <c r="Q266" s="253">
        <v>273529</v>
      </c>
      <c r="R266" s="285">
        <v>13366.439453125</v>
      </c>
      <c r="S266" s="285">
        <v>9056.82421875</v>
      </c>
      <c r="T266" s="286">
        <v>18450.412109375</v>
      </c>
    </row>
    <row r="267" spans="2:20">
      <c r="B267" s="249" t="s">
        <v>513</v>
      </c>
      <c r="C267" s="250" t="s">
        <v>122</v>
      </c>
      <c r="D267" s="250" t="s">
        <v>502</v>
      </c>
      <c r="E267" s="251">
        <v>3</v>
      </c>
      <c r="F267" s="251" t="s">
        <v>281</v>
      </c>
      <c r="G267" s="253">
        <v>53940632</v>
      </c>
      <c r="H267" s="253">
        <v>30765014</v>
      </c>
      <c r="I267" s="253">
        <v>86306916</v>
      </c>
      <c r="J267" s="252">
        <v>-1.2E-2</v>
      </c>
      <c r="K267" s="253">
        <v>49784953</v>
      </c>
      <c r="L267" s="253">
        <v>27969898</v>
      </c>
      <c r="M267" s="253">
        <v>80401961</v>
      </c>
      <c r="N267" s="253">
        <v>4155679</v>
      </c>
      <c r="O267" s="253">
        <v>2795116</v>
      </c>
      <c r="P267" s="253">
        <v>5904955</v>
      </c>
      <c r="Q267" s="253">
        <v>174910</v>
      </c>
      <c r="R267" s="285">
        <v>23758.95703125</v>
      </c>
      <c r="S267" s="285">
        <v>15980.3095703125</v>
      </c>
      <c r="T267" s="286">
        <v>33759.96484375</v>
      </c>
    </row>
    <row r="268" spans="2:20">
      <c r="B268" s="249" t="s">
        <v>513</v>
      </c>
      <c r="C268" s="250" t="s">
        <v>122</v>
      </c>
      <c r="D268" s="250" t="s">
        <v>502</v>
      </c>
      <c r="E268" s="251">
        <v>4</v>
      </c>
      <c r="F268" s="251" t="s">
        <v>281</v>
      </c>
      <c r="G268" s="253">
        <v>54210326</v>
      </c>
      <c r="H268" s="253">
        <v>30918835</v>
      </c>
      <c r="I268" s="253">
        <v>86738425</v>
      </c>
      <c r="J268" s="252">
        <v>-1.2E-2</v>
      </c>
      <c r="K268" s="253">
        <v>49512973</v>
      </c>
      <c r="L268" s="253">
        <v>27839995</v>
      </c>
      <c r="M268" s="253">
        <v>79985416</v>
      </c>
      <c r="N268" s="253">
        <v>4697353</v>
      </c>
      <c r="O268" s="253">
        <v>3078840</v>
      </c>
      <c r="P268" s="253">
        <v>6753009</v>
      </c>
      <c r="Q268" s="253">
        <v>174910</v>
      </c>
      <c r="R268" s="285">
        <v>26855.830078125</v>
      </c>
      <c r="S268" s="285">
        <v>17602.423828125</v>
      </c>
      <c r="T268" s="286">
        <v>38608.48046875</v>
      </c>
    </row>
    <row r="269" spans="2:20">
      <c r="B269" s="249" t="s">
        <v>513</v>
      </c>
      <c r="C269" s="250" t="s">
        <v>122</v>
      </c>
      <c r="D269" s="250" t="s">
        <v>502</v>
      </c>
      <c r="E269" s="251">
        <v>5</v>
      </c>
      <c r="F269" s="251" t="s">
        <v>281</v>
      </c>
      <c r="G269" s="253">
        <v>54481395</v>
      </c>
      <c r="H269" s="253">
        <v>31073451</v>
      </c>
      <c r="I269" s="253">
        <v>87172149</v>
      </c>
      <c r="J269" s="252">
        <v>-1.2E-2</v>
      </c>
      <c r="K269" s="253">
        <v>49190311</v>
      </c>
      <c r="L269" s="253">
        <v>27680056</v>
      </c>
      <c r="M269" s="253">
        <v>79450532</v>
      </c>
      <c r="N269" s="253">
        <v>5291084</v>
      </c>
      <c r="O269" s="253">
        <v>3393395</v>
      </c>
      <c r="P269" s="253">
        <v>7721617</v>
      </c>
      <c r="Q269" s="253">
        <v>174910</v>
      </c>
      <c r="R269" s="285">
        <v>30250.322265625</v>
      </c>
      <c r="S269" s="285">
        <v>19400.806640625</v>
      </c>
      <c r="T269" s="286">
        <v>44146.23046875</v>
      </c>
    </row>
    <row r="270" spans="2:20">
      <c r="B270" s="249" t="s">
        <v>513</v>
      </c>
      <c r="C270" s="250" t="s">
        <v>122</v>
      </c>
      <c r="D270" s="250" t="s">
        <v>201</v>
      </c>
      <c r="E270" s="251">
        <v>6</v>
      </c>
      <c r="F270" s="251" t="s">
        <v>281</v>
      </c>
      <c r="G270" s="253">
        <v>54753685</v>
      </c>
      <c r="H270" s="253">
        <v>31228726</v>
      </c>
      <c r="I270" s="253">
        <v>87607868</v>
      </c>
      <c r="J270" s="252">
        <v>-3.0000000000000001E-3</v>
      </c>
      <c r="K270" s="253">
        <v>49304651</v>
      </c>
      <c r="L270" s="253">
        <v>27733855</v>
      </c>
      <c r="M270" s="253">
        <v>79603427</v>
      </c>
      <c r="N270" s="253">
        <v>5449034</v>
      </c>
      <c r="O270" s="253">
        <v>3494871</v>
      </c>
      <c r="P270" s="253">
        <v>8004441</v>
      </c>
      <c r="Q270" s="253">
        <v>117911</v>
      </c>
      <c r="R270" s="285">
        <v>46213.109375</v>
      </c>
      <c r="S270" s="285">
        <v>29639.90625</v>
      </c>
      <c r="T270" s="286">
        <v>67885.4453125</v>
      </c>
    </row>
    <row r="271" spans="2:20">
      <c r="B271" s="249" t="s">
        <v>513</v>
      </c>
      <c r="C271" s="250" t="s">
        <v>122</v>
      </c>
      <c r="D271" s="250" t="s">
        <v>201</v>
      </c>
      <c r="E271" s="251">
        <v>7</v>
      </c>
      <c r="F271" s="251" t="s">
        <v>281</v>
      </c>
      <c r="G271" s="253">
        <v>55027491</v>
      </c>
      <c r="H271" s="253">
        <v>31384887</v>
      </c>
      <c r="I271" s="253">
        <v>88045955</v>
      </c>
      <c r="J271" s="252">
        <v>-3.0000000000000001E-3</v>
      </c>
      <c r="K271" s="253">
        <v>49437904</v>
      </c>
      <c r="L271" s="253">
        <v>27815886</v>
      </c>
      <c r="M271" s="253">
        <v>79746553</v>
      </c>
      <c r="N271" s="253">
        <v>5589587</v>
      </c>
      <c r="O271" s="253">
        <v>3569001</v>
      </c>
      <c r="P271" s="253">
        <v>8299402</v>
      </c>
      <c r="Q271" s="253">
        <v>90500</v>
      </c>
      <c r="R271" s="285">
        <v>61763.39453125</v>
      </c>
      <c r="S271" s="285">
        <v>39436.47265625</v>
      </c>
      <c r="T271" s="286">
        <v>91706.1015625</v>
      </c>
    </row>
    <row r="272" spans="2:20">
      <c r="B272" s="249" t="s">
        <v>513</v>
      </c>
      <c r="C272" s="250" t="s">
        <v>122</v>
      </c>
      <c r="D272" s="250" t="s">
        <v>201</v>
      </c>
      <c r="E272" s="251">
        <v>8</v>
      </c>
      <c r="F272" s="251" t="s">
        <v>281</v>
      </c>
      <c r="G272" s="253">
        <v>55302735</v>
      </c>
      <c r="H272" s="253">
        <v>31541911</v>
      </c>
      <c r="I272" s="253">
        <v>88486320</v>
      </c>
      <c r="J272" s="252">
        <v>-3.0000000000000001E-3</v>
      </c>
      <c r="K272" s="253">
        <v>49571306</v>
      </c>
      <c r="L272" s="253">
        <v>27869620</v>
      </c>
      <c r="M272" s="253">
        <v>79908141</v>
      </c>
      <c r="N272" s="253">
        <v>5731429</v>
      </c>
      <c r="O272" s="253">
        <v>3672291</v>
      </c>
      <c r="P272" s="253">
        <v>8578179</v>
      </c>
      <c r="Q272" s="253">
        <v>90500</v>
      </c>
      <c r="R272" s="285">
        <v>63330.70703125</v>
      </c>
      <c r="S272" s="285">
        <v>40577.80078125</v>
      </c>
      <c r="T272" s="286">
        <v>94786.5078125</v>
      </c>
    </row>
    <row r="273" spans="2:23">
      <c r="B273" s="249" t="s">
        <v>513</v>
      </c>
      <c r="C273" s="250" t="s">
        <v>122</v>
      </c>
      <c r="D273" s="250" t="s">
        <v>201</v>
      </c>
      <c r="E273" s="251">
        <v>9</v>
      </c>
      <c r="F273" s="251" t="s">
        <v>281</v>
      </c>
      <c r="G273" s="253">
        <v>55579220</v>
      </c>
      <c r="H273" s="253">
        <v>31699590</v>
      </c>
      <c r="I273" s="253">
        <v>88928703</v>
      </c>
      <c r="J273" s="252">
        <v>-3.0000000000000001E-3</v>
      </c>
      <c r="K273" s="253">
        <v>49666555</v>
      </c>
      <c r="L273" s="253">
        <v>27913584</v>
      </c>
      <c r="M273" s="253">
        <v>80088310</v>
      </c>
      <c r="N273" s="253">
        <v>5912665</v>
      </c>
      <c r="O273" s="253">
        <v>3786006</v>
      </c>
      <c r="P273" s="253">
        <v>8840393</v>
      </c>
      <c r="Q273" s="253">
        <v>90500</v>
      </c>
      <c r="R273" s="285">
        <v>65333.3125</v>
      </c>
      <c r="S273" s="285">
        <v>41834.3203125</v>
      </c>
      <c r="T273" s="286">
        <v>97683.8984375</v>
      </c>
    </row>
    <row r="274" spans="2:23">
      <c r="B274" s="249" t="s">
        <v>513</v>
      </c>
      <c r="C274" s="250" t="s">
        <v>122</v>
      </c>
      <c r="D274" s="250" t="s">
        <v>201</v>
      </c>
      <c r="E274" s="251">
        <v>10</v>
      </c>
      <c r="F274" s="251" t="s">
        <v>281</v>
      </c>
      <c r="G274" s="253">
        <v>55857110</v>
      </c>
      <c r="H274" s="253">
        <v>31858091</v>
      </c>
      <c r="I274" s="253">
        <v>89373354</v>
      </c>
      <c r="J274" s="252">
        <v>-3.0000000000000001E-3</v>
      </c>
      <c r="K274" s="253">
        <v>49799873</v>
      </c>
      <c r="L274" s="253">
        <v>27995650</v>
      </c>
      <c r="M274" s="253">
        <v>80201223</v>
      </c>
      <c r="N274" s="253">
        <v>6057237</v>
      </c>
      <c r="O274" s="253">
        <v>3862441</v>
      </c>
      <c r="P274" s="253">
        <v>9172131</v>
      </c>
      <c r="Q274" s="253">
        <v>90500</v>
      </c>
      <c r="R274" s="285">
        <v>66930.796875</v>
      </c>
      <c r="S274" s="285">
        <v>42678.90625</v>
      </c>
      <c r="T274" s="286">
        <v>101349.5078125</v>
      </c>
    </row>
    <row r="275" spans="2:23">
      <c r="B275" s="249" t="s">
        <v>513</v>
      </c>
      <c r="C275" s="250" t="s">
        <v>122</v>
      </c>
      <c r="D275" s="250" t="s">
        <v>201</v>
      </c>
      <c r="E275" s="251">
        <v>11</v>
      </c>
      <c r="F275" s="251" t="s">
        <v>281</v>
      </c>
      <c r="G275" s="253">
        <v>56136414</v>
      </c>
      <c r="H275" s="253">
        <v>32017396</v>
      </c>
      <c r="I275" s="253">
        <v>89820249</v>
      </c>
      <c r="J275" s="252">
        <v>-3.0000000000000001E-3</v>
      </c>
      <c r="K275" s="253">
        <v>49904395</v>
      </c>
      <c r="L275" s="253">
        <v>28058574</v>
      </c>
      <c r="M275" s="253">
        <v>80380695</v>
      </c>
      <c r="N275" s="253">
        <v>6232019</v>
      </c>
      <c r="O275" s="253">
        <v>3958822</v>
      </c>
      <c r="P275" s="253">
        <v>9439554</v>
      </c>
      <c r="Q275" s="253">
        <v>117911</v>
      </c>
      <c r="R275" s="285">
        <v>52853.5859375</v>
      </c>
      <c r="S275" s="285">
        <v>33574.66015625</v>
      </c>
      <c r="T275" s="286">
        <v>80056.6015625</v>
      </c>
    </row>
    <row r="276" spans="2:23">
      <c r="B276" s="249" t="s">
        <v>513</v>
      </c>
      <c r="C276" s="250" t="s">
        <v>122</v>
      </c>
      <c r="D276" s="250" t="s">
        <v>201</v>
      </c>
      <c r="E276" s="251">
        <v>12</v>
      </c>
      <c r="F276" s="251" t="s">
        <v>281</v>
      </c>
      <c r="G276" s="253">
        <v>56417096</v>
      </c>
      <c r="H276" s="253">
        <v>32177466</v>
      </c>
      <c r="I276" s="253">
        <v>90269338</v>
      </c>
      <c r="J276" s="252">
        <v>-3.0000000000000001E-3</v>
      </c>
      <c r="K276" s="253">
        <v>49960315</v>
      </c>
      <c r="L276" s="253">
        <v>28111742</v>
      </c>
      <c r="M276" s="253">
        <v>80559955</v>
      </c>
      <c r="N276" s="253">
        <v>6456781</v>
      </c>
      <c r="O276" s="253">
        <v>4065724</v>
      </c>
      <c r="P276" s="253">
        <v>9709383</v>
      </c>
      <c r="Q276" s="253">
        <v>90500</v>
      </c>
      <c r="R276" s="285">
        <v>71345.6484375</v>
      </c>
      <c r="S276" s="285">
        <v>44925.12890625</v>
      </c>
      <c r="T276" s="286">
        <v>107286</v>
      </c>
    </row>
    <row r="277" spans="2:23">
      <c r="B277" s="249" t="s">
        <v>513</v>
      </c>
      <c r="C277" s="250" t="s">
        <v>122</v>
      </c>
      <c r="D277" s="250" t="s">
        <v>201</v>
      </c>
      <c r="E277" s="251">
        <v>13</v>
      </c>
      <c r="F277" s="251" t="s">
        <v>281</v>
      </c>
      <c r="G277" s="253">
        <v>56699169</v>
      </c>
      <c r="H277" s="253">
        <v>32338338</v>
      </c>
      <c r="I277" s="253">
        <v>90720653</v>
      </c>
      <c r="J277" s="252">
        <v>-3.0000000000000001E-3</v>
      </c>
      <c r="K277" s="253">
        <v>50142003</v>
      </c>
      <c r="L277" s="253">
        <v>28223108</v>
      </c>
      <c r="M277" s="253">
        <v>80777906</v>
      </c>
      <c r="N277" s="253">
        <v>6557166</v>
      </c>
      <c r="O277" s="253">
        <v>4115230</v>
      </c>
      <c r="P277" s="253">
        <v>9942747</v>
      </c>
      <c r="Q277" s="253">
        <v>90500</v>
      </c>
      <c r="R277" s="285">
        <v>72454.875</v>
      </c>
      <c r="S277" s="285">
        <v>45472.15625</v>
      </c>
      <c r="T277" s="286">
        <v>109864.609375</v>
      </c>
    </row>
    <row r="278" spans="2:23">
      <c r="B278" s="249" t="s">
        <v>513</v>
      </c>
      <c r="C278" s="250" t="s">
        <v>122</v>
      </c>
      <c r="D278" s="250" t="s">
        <v>201</v>
      </c>
      <c r="E278" s="251">
        <v>14</v>
      </c>
      <c r="F278" s="251" t="s">
        <v>281</v>
      </c>
      <c r="G278" s="253">
        <v>56982670</v>
      </c>
      <c r="H278" s="253">
        <v>32500045</v>
      </c>
      <c r="I278" s="253">
        <v>91174269</v>
      </c>
      <c r="J278" s="252">
        <v>-3.0000000000000001E-3</v>
      </c>
      <c r="K278" s="253">
        <v>50167832</v>
      </c>
      <c r="L278" s="253">
        <v>28246895</v>
      </c>
      <c r="M278" s="253">
        <v>80927569</v>
      </c>
      <c r="N278" s="253">
        <v>6814838</v>
      </c>
      <c r="O278" s="253">
        <v>4253150</v>
      </c>
      <c r="P278" s="253">
        <v>10246700</v>
      </c>
      <c r="Q278" s="253">
        <v>90500</v>
      </c>
      <c r="R278" s="285">
        <v>75302.078125</v>
      </c>
      <c r="S278" s="285">
        <v>46996.1328125</v>
      </c>
      <c r="T278" s="286">
        <v>113223.203125</v>
      </c>
    </row>
    <row r="279" spans="2:23">
      <c r="B279" s="256" t="s">
        <v>513</v>
      </c>
      <c r="C279" s="257" t="s">
        <v>122</v>
      </c>
      <c r="D279" s="257" t="s">
        <v>201</v>
      </c>
      <c r="E279" s="258">
        <v>15</v>
      </c>
      <c r="F279" s="258" t="s">
        <v>281</v>
      </c>
      <c r="G279" s="260">
        <v>57267575</v>
      </c>
      <c r="H279" s="260">
        <v>32662551</v>
      </c>
      <c r="I279" s="260">
        <v>91630145</v>
      </c>
      <c r="J279" s="259">
        <v>-3.0000000000000001E-3</v>
      </c>
      <c r="K279" s="260">
        <v>50310582</v>
      </c>
      <c r="L279" s="260">
        <v>28329176</v>
      </c>
      <c r="M279" s="260">
        <v>81096380</v>
      </c>
      <c r="N279" s="260">
        <v>6956993</v>
      </c>
      <c r="O279" s="260">
        <v>4333375</v>
      </c>
      <c r="P279" s="260">
        <v>10533765</v>
      </c>
      <c r="Q279" s="260">
        <v>90500</v>
      </c>
      <c r="R279" s="287">
        <v>76872.8515625</v>
      </c>
      <c r="S279" s="287">
        <v>47882.59375</v>
      </c>
      <c r="T279" s="288">
        <v>116395.1953125</v>
      </c>
    </row>
    <row r="280" spans="2:23">
      <c r="B280" s="249" t="s">
        <v>514</v>
      </c>
      <c r="C280" s="250" t="s">
        <v>242</v>
      </c>
      <c r="D280" s="250" t="s">
        <v>502</v>
      </c>
      <c r="E280" s="251">
        <v>1</v>
      </c>
      <c r="F280" s="251" t="s">
        <v>281</v>
      </c>
      <c r="G280" s="253">
        <v>10061566</v>
      </c>
      <c r="H280" s="253">
        <v>3793686</v>
      </c>
      <c r="I280" s="253">
        <v>19179324</v>
      </c>
      <c r="J280" s="252">
        <v>-6.6000000000000003E-2</v>
      </c>
      <c r="K280" s="253">
        <v>8732858</v>
      </c>
      <c r="L280" s="253">
        <v>3042288</v>
      </c>
      <c r="M280" s="253">
        <v>17145024</v>
      </c>
      <c r="N280" s="253">
        <v>1328708</v>
      </c>
      <c r="O280" s="253">
        <v>751398</v>
      </c>
      <c r="P280" s="253">
        <v>2034300</v>
      </c>
      <c r="Q280" s="253">
        <v>977845</v>
      </c>
      <c r="R280" s="285">
        <v>1358.8125</v>
      </c>
      <c r="S280" s="285">
        <v>768.42242431640625</v>
      </c>
      <c r="T280" s="286">
        <v>2080.39111328125</v>
      </c>
      <c r="U280"/>
      <c r="V280"/>
      <c r="W280"/>
    </row>
    <row r="281" spans="2:23">
      <c r="B281" s="249" t="s">
        <v>514</v>
      </c>
      <c r="C281" s="250" t="s">
        <v>242</v>
      </c>
      <c r="D281" s="250" t="s">
        <v>502</v>
      </c>
      <c r="E281" s="251">
        <v>2</v>
      </c>
      <c r="F281" s="251" t="s">
        <v>281</v>
      </c>
      <c r="G281" s="253">
        <v>10111878</v>
      </c>
      <c r="H281" s="253">
        <v>3812664</v>
      </c>
      <c r="I281" s="253">
        <v>19275228</v>
      </c>
      <c r="J281" s="252">
        <v>-6.6000000000000003E-2</v>
      </c>
      <c r="K281" s="253">
        <v>8168706</v>
      </c>
      <c r="L281" s="253">
        <v>2900943</v>
      </c>
      <c r="M281" s="253">
        <v>16088782</v>
      </c>
      <c r="N281" s="253">
        <v>1943172</v>
      </c>
      <c r="O281" s="253">
        <v>911721</v>
      </c>
      <c r="P281" s="253">
        <v>3186446</v>
      </c>
      <c r="Q281" s="253">
        <v>1239352</v>
      </c>
      <c r="R281" s="285">
        <v>1567.8935546875</v>
      </c>
      <c r="S281" s="285">
        <v>735.643310546875</v>
      </c>
      <c r="T281" s="286">
        <v>2571.05810546875</v>
      </c>
      <c r="U281"/>
      <c r="V281"/>
      <c r="W281"/>
    </row>
    <row r="282" spans="2:23">
      <c r="B282" s="249" t="s">
        <v>514</v>
      </c>
      <c r="C282" s="250" t="s">
        <v>242</v>
      </c>
      <c r="D282" s="250" t="s">
        <v>502</v>
      </c>
      <c r="E282" s="251">
        <v>3</v>
      </c>
      <c r="F282" s="251" t="s">
        <v>281</v>
      </c>
      <c r="G282" s="253">
        <v>10162434</v>
      </c>
      <c r="H282" s="253">
        <v>3831718</v>
      </c>
      <c r="I282" s="253">
        <v>19371601</v>
      </c>
      <c r="J282" s="252">
        <v>-6.6000000000000003E-2</v>
      </c>
      <c r="K282" s="253">
        <v>7691240</v>
      </c>
      <c r="L282" s="253">
        <v>2730328</v>
      </c>
      <c r="M282" s="253">
        <v>15114101</v>
      </c>
      <c r="N282" s="253">
        <v>2471194</v>
      </c>
      <c r="O282" s="253">
        <v>1101390</v>
      </c>
      <c r="P282" s="253">
        <v>4257500</v>
      </c>
      <c r="Q282" s="253">
        <v>837959</v>
      </c>
      <c r="R282" s="285">
        <v>2949.06298828125</v>
      </c>
      <c r="S282" s="285">
        <v>1314.3721923828125</v>
      </c>
      <c r="T282" s="286">
        <v>5080.7978515625</v>
      </c>
      <c r="U282"/>
      <c r="V282"/>
      <c r="W282"/>
    </row>
    <row r="283" spans="2:23">
      <c r="B283" s="249" t="s">
        <v>514</v>
      </c>
      <c r="C283" s="250" t="s">
        <v>242</v>
      </c>
      <c r="D283" s="250" t="s">
        <v>502</v>
      </c>
      <c r="E283" s="251">
        <v>4</v>
      </c>
      <c r="F283" s="251" t="s">
        <v>281</v>
      </c>
      <c r="G283" s="253">
        <v>10213241</v>
      </c>
      <c r="H283" s="253">
        <v>3850875</v>
      </c>
      <c r="I283" s="253">
        <v>19468451</v>
      </c>
      <c r="J283" s="252">
        <v>-6.6000000000000003E-2</v>
      </c>
      <c r="K283" s="253">
        <v>7236706</v>
      </c>
      <c r="L283" s="253">
        <v>2567254</v>
      </c>
      <c r="M283" s="253">
        <v>14166484</v>
      </c>
      <c r="N283" s="253">
        <v>2976535</v>
      </c>
      <c r="O283" s="253">
        <v>1283621</v>
      </c>
      <c r="P283" s="253">
        <v>5301967</v>
      </c>
      <c r="Q283" s="253">
        <v>855330</v>
      </c>
      <c r="R283" s="285">
        <v>3479.984375</v>
      </c>
      <c r="S283" s="285">
        <v>1500.7318115234375</v>
      </c>
      <c r="T283" s="286">
        <v>6198.73876953125</v>
      </c>
      <c r="U283"/>
      <c r="V283"/>
      <c r="W283"/>
    </row>
    <row r="284" spans="2:23">
      <c r="B284" s="249" t="s">
        <v>514</v>
      </c>
      <c r="C284" s="250" t="s">
        <v>242</v>
      </c>
      <c r="D284" s="250" t="s">
        <v>502</v>
      </c>
      <c r="E284" s="251">
        <v>5</v>
      </c>
      <c r="F284" s="251" t="s">
        <v>281</v>
      </c>
      <c r="G284" s="253">
        <v>10264319</v>
      </c>
      <c r="H284" s="253">
        <v>3870138</v>
      </c>
      <c r="I284" s="253">
        <v>19565804</v>
      </c>
      <c r="J284" s="252">
        <v>-6.6000000000000003E-2</v>
      </c>
      <c r="K284" s="253">
        <v>6711996</v>
      </c>
      <c r="L284" s="253">
        <v>2402472</v>
      </c>
      <c r="M284" s="253">
        <v>13190313</v>
      </c>
      <c r="N284" s="253">
        <v>3552323</v>
      </c>
      <c r="O284" s="253">
        <v>1467666</v>
      </c>
      <c r="P284" s="253">
        <v>6375491</v>
      </c>
      <c r="Q284" s="253">
        <v>837959</v>
      </c>
      <c r="R284" s="285">
        <v>4239.25634765625</v>
      </c>
      <c r="S284" s="285">
        <v>1751.4771728515625</v>
      </c>
      <c r="T284" s="286">
        <v>7608.35693359375</v>
      </c>
      <c r="U284"/>
      <c r="V284"/>
      <c r="W284"/>
    </row>
    <row r="285" spans="2:23">
      <c r="B285" s="249" t="s">
        <v>514</v>
      </c>
      <c r="C285" s="250" t="s">
        <v>242</v>
      </c>
      <c r="D285" s="250" t="s">
        <v>201</v>
      </c>
      <c r="E285" s="251">
        <v>6</v>
      </c>
      <c r="F285" s="251" t="s">
        <v>281</v>
      </c>
      <c r="G285" s="253">
        <v>10315598</v>
      </c>
      <c r="H285" s="253">
        <v>3889458</v>
      </c>
      <c r="I285" s="253">
        <v>19663590</v>
      </c>
      <c r="J285" s="252">
        <v>-1.24E-2</v>
      </c>
      <c r="K285" s="253">
        <v>6707946</v>
      </c>
      <c r="L285" s="253">
        <v>2405071</v>
      </c>
      <c r="M285" s="253">
        <v>13162282</v>
      </c>
      <c r="N285" s="253">
        <v>3607652</v>
      </c>
      <c r="O285" s="253">
        <v>1484387</v>
      </c>
      <c r="P285" s="253">
        <v>6501308</v>
      </c>
      <c r="Q285" s="253">
        <v>661371</v>
      </c>
      <c r="R285" s="285">
        <v>5454.80810546875</v>
      </c>
      <c r="S285" s="285">
        <v>2244.408935546875</v>
      </c>
      <c r="T285" s="286">
        <v>9830.046875</v>
      </c>
      <c r="U285"/>
      <c r="V285"/>
      <c r="W285"/>
    </row>
    <row r="286" spans="2:23">
      <c r="B286" s="249" t="s">
        <v>514</v>
      </c>
      <c r="C286" s="250" t="s">
        <v>242</v>
      </c>
      <c r="D286" s="250" t="s">
        <v>201</v>
      </c>
      <c r="E286" s="251">
        <v>7</v>
      </c>
      <c r="F286" s="251" t="s">
        <v>281</v>
      </c>
      <c r="G286" s="253">
        <v>10367187</v>
      </c>
      <c r="H286" s="253">
        <v>3908913</v>
      </c>
      <c r="I286" s="253">
        <v>19761925</v>
      </c>
      <c r="J286" s="252">
        <v>-1.24E-2</v>
      </c>
      <c r="K286" s="253">
        <v>6665959</v>
      </c>
      <c r="L286" s="253">
        <v>2369890</v>
      </c>
      <c r="M286" s="253">
        <v>13058151</v>
      </c>
      <c r="N286" s="253">
        <v>3701228</v>
      </c>
      <c r="O286" s="253">
        <v>1539023</v>
      </c>
      <c r="P286" s="253">
        <v>6703774</v>
      </c>
      <c r="Q286" s="253">
        <v>504727</v>
      </c>
      <c r="R286" s="285">
        <v>7333.12841796875</v>
      </c>
      <c r="S286" s="285">
        <v>3049.21875</v>
      </c>
      <c r="T286" s="286">
        <v>13281.98046875</v>
      </c>
      <c r="U286"/>
      <c r="V286"/>
      <c r="W286"/>
    </row>
    <row r="287" spans="2:23">
      <c r="B287" s="249" t="s">
        <v>514</v>
      </c>
      <c r="C287" s="250" t="s">
        <v>242</v>
      </c>
      <c r="D287" s="250" t="s">
        <v>201</v>
      </c>
      <c r="E287" s="251">
        <v>8</v>
      </c>
      <c r="F287" s="251" t="s">
        <v>281</v>
      </c>
      <c r="G287" s="253">
        <v>10419066</v>
      </c>
      <c r="H287" s="253">
        <v>3928489</v>
      </c>
      <c r="I287" s="253">
        <v>19860773</v>
      </c>
      <c r="J287" s="252">
        <v>-1.24E-2</v>
      </c>
      <c r="K287" s="253">
        <v>6623409</v>
      </c>
      <c r="L287" s="253">
        <v>2353294</v>
      </c>
      <c r="M287" s="253">
        <v>12981140</v>
      </c>
      <c r="N287" s="253">
        <v>3795657</v>
      </c>
      <c r="O287" s="253">
        <v>1575195</v>
      </c>
      <c r="P287" s="253">
        <v>6879633</v>
      </c>
      <c r="Q287" s="253">
        <v>487356</v>
      </c>
      <c r="R287" s="285">
        <v>7788.263671875</v>
      </c>
      <c r="S287" s="285">
        <v>3232.123779296875</v>
      </c>
      <c r="T287" s="286">
        <v>14116.2373046875</v>
      </c>
      <c r="U287"/>
      <c r="V287"/>
      <c r="W287"/>
    </row>
    <row r="288" spans="2:23">
      <c r="B288" s="249" t="s">
        <v>514</v>
      </c>
      <c r="C288" s="250" t="s">
        <v>242</v>
      </c>
      <c r="D288" s="250" t="s">
        <v>201</v>
      </c>
      <c r="E288" s="251">
        <v>9</v>
      </c>
      <c r="F288" s="251" t="s">
        <v>281</v>
      </c>
      <c r="G288" s="253">
        <v>10471148</v>
      </c>
      <c r="H288" s="253">
        <v>3948121</v>
      </c>
      <c r="I288" s="253">
        <v>19960069</v>
      </c>
      <c r="J288" s="252">
        <v>-1.24E-2</v>
      </c>
      <c r="K288" s="253">
        <v>6599297</v>
      </c>
      <c r="L288" s="253">
        <v>2355523</v>
      </c>
      <c r="M288" s="253">
        <v>12902986</v>
      </c>
      <c r="N288" s="253">
        <v>3871851</v>
      </c>
      <c r="O288" s="253">
        <v>1592598</v>
      </c>
      <c r="P288" s="253">
        <v>7057083</v>
      </c>
      <c r="Q288" s="253">
        <v>487356</v>
      </c>
      <c r="R288" s="285">
        <v>7944.60546875</v>
      </c>
      <c r="S288" s="285">
        <v>3267.8330078125</v>
      </c>
      <c r="T288" s="286">
        <v>14480.3447265625</v>
      </c>
      <c r="U288"/>
      <c r="V288"/>
      <c r="W288"/>
    </row>
    <row r="289" spans="2:23">
      <c r="B289" s="249" t="s">
        <v>514</v>
      </c>
      <c r="C289" s="250" t="s">
        <v>242</v>
      </c>
      <c r="D289" s="250" t="s">
        <v>201</v>
      </c>
      <c r="E289" s="251">
        <v>10</v>
      </c>
      <c r="F289" s="251" t="s">
        <v>281</v>
      </c>
      <c r="G289" s="253">
        <v>10523506</v>
      </c>
      <c r="H289" s="253">
        <v>3967862</v>
      </c>
      <c r="I289" s="253">
        <v>20059867</v>
      </c>
      <c r="J289" s="252">
        <v>-1.24E-2</v>
      </c>
      <c r="K289" s="253">
        <v>6593953</v>
      </c>
      <c r="L289" s="253">
        <v>2357712</v>
      </c>
      <c r="M289" s="253">
        <v>12900407</v>
      </c>
      <c r="N289" s="253">
        <v>3929553</v>
      </c>
      <c r="O289" s="253">
        <v>1610150</v>
      </c>
      <c r="P289" s="253">
        <v>7159460</v>
      </c>
      <c r="Q289" s="253">
        <v>504727</v>
      </c>
      <c r="R289" s="285">
        <v>7785.501953125</v>
      </c>
      <c r="S289" s="285">
        <v>3190.140380859375</v>
      </c>
      <c r="T289" s="286">
        <v>14184.81640625</v>
      </c>
      <c r="U289"/>
      <c r="V289"/>
      <c r="W289"/>
    </row>
    <row r="290" spans="2:23">
      <c r="B290" s="249" t="s">
        <v>514</v>
      </c>
      <c r="C290" s="250" t="s">
        <v>242</v>
      </c>
      <c r="D290" s="250" t="s">
        <v>201</v>
      </c>
      <c r="E290" s="251">
        <v>11</v>
      </c>
      <c r="F290" s="251" t="s">
        <v>281</v>
      </c>
      <c r="G290" s="253">
        <v>10576125</v>
      </c>
      <c r="H290" s="253">
        <v>3987709</v>
      </c>
      <c r="I290" s="253">
        <v>20160174</v>
      </c>
      <c r="J290" s="252">
        <v>-1.24E-2</v>
      </c>
      <c r="K290" s="253">
        <v>6347597</v>
      </c>
      <c r="L290" s="253">
        <v>2205760</v>
      </c>
      <c r="M290" s="253">
        <v>12560362</v>
      </c>
      <c r="N290" s="253">
        <v>4228528</v>
      </c>
      <c r="O290" s="253">
        <v>1781949</v>
      </c>
      <c r="P290" s="253">
        <v>7599812</v>
      </c>
      <c r="Q290" s="253">
        <v>661371</v>
      </c>
      <c r="R290" s="285">
        <v>6393.57958984375</v>
      </c>
      <c r="S290" s="285">
        <v>2694.325927734375</v>
      </c>
      <c r="T290" s="286">
        <v>11490.99609375</v>
      </c>
      <c r="U290"/>
      <c r="V290"/>
      <c r="W290"/>
    </row>
    <row r="291" spans="2:23">
      <c r="B291" s="249" t="s">
        <v>514</v>
      </c>
      <c r="C291" s="250" t="s">
        <v>242</v>
      </c>
      <c r="D291" s="250" t="s">
        <v>201</v>
      </c>
      <c r="E291" s="251">
        <v>12</v>
      </c>
      <c r="F291" s="251" t="s">
        <v>281</v>
      </c>
      <c r="G291" s="253">
        <v>10629004</v>
      </c>
      <c r="H291" s="253">
        <v>4007644</v>
      </c>
      <c r="I291" s="253">
        <v>20260965</v>
      </c>
      <c r="J291" s="252">
        <v>-1.24E-2</v>
      </c>
      <c r="K291" s="253">
        <v>6350291</v>
      </c>
      <c r="L291" s="253">
        <v>2178066</v>
      </c>
      <c r="M291" s="253">
        <v>12526357</v>
      </c>
      <c r="N291" s="253">
        <v>4278713</v>
      </c>
      <c r="O291" s="253">
        <v>1829578</v>
      </c>
      <c r="P291" s="253">
        <v>7734608</v>
      </c>
      <c r="Q291" s="253">
        <v>487356</v>
      </c>
      <c r="R291" s="285">
        <v>8779.4404296875</v>
      </c>
      <c r="S291" s="285">
        <v>3754.08935546875</v>
      </c>
      <c r="T291" s="286">
        <v>15870.5498046875</v>
      </c>
      <c r="U291"/>
      <c r="V291"/>
      <c r="W291"/>
    </row>
    <row r="292" spans="2:23">
      <c r="B292" s="249" t="s">
        <v>514</v>
      </c>
      <c r="C292" s="250" t="s">
        <v>242</v>
      </c>
      <c r="D292" s="250" t="s">
        <v>201</v>
      </c>
      <c r="E292" s="251">
        <v>13</v>
      </c>
      <c r="F292" s="251" t="s">
        <v>281</v>
      </c>
      <c r="G292" s="253">
        <v>10682144</v>
      </c>
      <c r="H292" s="253">
        <v>4027673</v>
      </c>
      <c r="I292" s="253">
        <v>20362264</v>
      </c>
      <c r="J292" s="252">
        <v>-1.24E-2</v>
      </c>
      <c r="K292" s="253">
        <v>6343118</v>
      </c>
      <c r="L292" s="253">
        <v>2179217</v>
      </c>
      <c r="M292" s="253">
        <v>12452781</v>
      </c>
      <c r="N292" s="253">
        <v>4339026</v>
      </c>
      <c r="O292" s="253">
        <v>1848456</v>
      </c>
      <c r="P292" s="253">
        <v>7909483</v>
      </c>
      <c r="Q292" s="253">
        <v>504727</v>
      </c>
      <c r="R292" s="285">
        <v>8596.7783203125</v>
      </c>
      <c r="S292" s="285">
        <v>3662.28857421875</v>
      </c>
      <c r="T292" s="286">
        <v>15670.814453125</v>
      </c>
      <c r="U292"/>
      <c r="V292"/>
      <c r="W292"/>
    </row>
    <row r="293" spans="2:23">
      <c r="B293" s="249" t="s">
        <v>514</v>
      </c>
      <c r="C293" s="250" t="s">
        <v>242</v>
      </c>
      <c r="D293" s="250" t="s">
        <v>201</v>
      </c>
      <c r="E293" s="251">
        <v>14</v>
      </c>
      <c r="F293" s="251" t="s">
        <v>281</v>
      </c>
      <c r="G293" s="253">
        <v>10735552</v>
      </c>
      <c r="H293" s="253">
        <v>4047818</v>
      </c>
      <c r="I293" s="253">
        <v>20464078</v>
      </c>
      <c r="J293" s="252">
        <v>-1.24E-2</v>
      </c>
      <c r="K293" s="253">
        <v>6257515</v>
      </c>
      <c r="L293" s="253">
        <v>2190120</v>
      </c>
      <c r="M293" s="253">
        <v>12299952</v>
      </c>
      <c r="N293" s="253">
        <v>4478037</v>
      </c>
      <c r="O293" s="253">
        <v>1857698</v>
      </c>
      <c r="P293" s="253">
        <v>8164126</v>
      </c>
      <c r="Q293" s="253">
        <v>487356</v>
      </c>
      <c r="R293" s="285">
        <v>9188.4306640625</v>
      </c>
      <c r="S293" s="285">
        <v>3811.78857421875</v>
      </c>
      <c r="T293" s="286">
        <v>16751.873046875</v>
      </c>
      <c r="U293"/>
      <c r="V293"/>
      <c r="W293"/>
    </row>
    <row r="294" spans="2:23">
      <c r="B294" s="256" t="s">
        <v>514</v>
      </c>
      <c r="C294" s="257" t="s">
        <v>242</v>
      </c>
      <c r="D294" s="257" t="s">
        <v>201</v>
      </c>
      <c r="E294" s="258">
        <v>15</v>
      </c>
      <c r="F294" s="258" t="s">
        <v>281</v>
      </c>
      <c r="G294" s="260">
        <v>10789234</v>
      </c>
      <c r="H294" s="260">
        <v>4068056</v>
      </c>
      <c r="I294" s="260">
        <v>20566406</v>
      </c>
      <c r="J294" s="259">
        <v>-1.24E-2</v>
      </c>
      <c r="K294" s="260">
        <v>6229839</v>
      </c>
      <c r="L294" s="260">
        <v>2171590</v>
      </c>
      <c r="M294" s="260">
        <v>12282838</v>
      </c>
      <c r="N294" s="260">
        <v>4559395</v>
      </c>
      <c r="O294" s="260">
        <v>1896466</v>
      </c>
      <c r="P294" s="260">
        <v>8283568</v>
      </c>
      <c r="Q294" s="260">
        <v>487356</v>
      </c>
      <c r="R294" s="287">
        <v>9355.3681640625</v>
      </c>
      <c r="S294" s="287">
        <v>3891.336181640625</v>
      </c>
      <c r="T294" s="288">
        <v>16996.955078125</v>
      </c>
      <c r="U294"/>
      <c r="V294"/>
      <c r="W294"/>
    </row>
    <row r="295" spans="2:23">
      <c r="B295" s="249" t="s">
        <v>514</v>
      </c>
      <c r="C295" s="250" t="s">
        <v>282</v>
      </c>
      <c r="D295" s="250" t="s">
        <v>502</v>
      </c>
      <c r="E295" s="251">
        <v>1</v>
      </c>
      <c r="F295" s="251" t="s">
        <v>281</v>
      </c>
      <c r="G295" s="253">
        <v>10061566</v>
      </c>
      <c r="H295" s="253">
        <v>3793686</v>
      </c>
      <c r="I295" s="253">
        <v>19179324</v>
      </c>
      <c r="J295" s="252">
        <v>-3.6400000000000002E-2</v>
      </c>
      <c r="K295" s="253">
        <v>8943623</v>
      </c>
      <c r="L295" s="253">
        <v>3106433</v>
      </c>
      <c r="M295" s="253">
        <v>17594039</v>
      </c>
      <c r="N295" s="253">
        <v>1117943</v>
      </c>
      <c r="O295" s="253">
        <v>687253</v>
      </c>
      <c r="P295" s="253">
        <v>1585285</v>
      </c>
      <c r="Q295" s="253">
        <v>420165</v>
      </c>
      <c r="R295" s="285">
        <v>2660.7236328125</v>
      </c>
      <c r="S295" s="285">
        <v>1635.674072265625</v>
      </c>
      <c r="T295" s="286">
        <v>3773.005615234375</v>
      </c>
    </row>
    <row r="296" spans="2:23">
      <c r="B296" s="249" t="s">
        <v>514</v>
      </c>
      <c r="C296" s="250" t="s">
        <v>282</v>
      </c>
      <c r="D296" s="250" t="s">
        <v>502</v>
      </c>
      <c r="E296" s="251">
        <v>2</v>
      </c>
      <c r="F296" s="251" t="s">
        <v>281</v>
      </c>
      <c r="G296" s="253">
        <v>10111878</v>
      </c>
      <c r="H296" s="253">
        <v>3812664</v>
      </c>
      <c r="I296" s="253">
        <v>19275228</v>
      </c>
      <c r="J296" s="252">
        <v>-3.6400000000000002E-2</v>
      </c>
      <c r="K296" s="253">
        <v>8721272</v>
      </c>
      <c r="L296" s="253">
        <v>3039080</v>
      </c>
      <c r="M296" s="253">
        <v>17018933</v>
      </c>
      <c r="N296" s="253">
        <v>1390606</v>
      </c>
      <c r="O296" s="253">
        <v>773584</v>
      </c>
      <c r="P296" s="253">
        <v>2256295</v>
      </c>
      <c r="Q296" s="253">
        <v>188719</v>
      </c>
      <c r="R296" s="285">
        <v>7368.6591796875</v>
      </c>
      <c r="S296" s="285">
        <v>4099.13134765625</v>
      </c>
      <c r="T296" s="286">
        <v>11955.8447265625</v>
      </c>
    </row>
    <row r="297" spans="2:23">
      <c r="B297" s="249" t="s">
        <v>514</v>
      </c>
      <c r="C297" s="250" t="s">
        <v>282</v>
      </c>
      <c r="D297" s="250" t="s">
        <v>502</v>
      </c>
      <c r="E297" s="251">
        <v>3</v>
      </c>
      <c r="F297" s="251" t="s">
        <v>281</v>
      </c>
      <c r="G297" s="253">
        <v>10162434</v>
      </c>
      <c r="H297" s="253">
        <v>3831718</v>
      </c>
      <c r="I297" s="253">
        <v>19371601</v>
      </c>
      <c r="J297" s="252">
        <v>-3.6400000000000002E-2</v>
      </c>
      <c r="K297" s="253">
        <v>8450189</v>
      </c>
      <c r="L297" s="253">
        <v>2970976</v>
      </c>
      <c r="M297" s="253">
        <v>16567209</v>
      </c>
      <c r="N297" s="253">
        <v>1712245</v>
      </c>
      <c r="O297" s="253">
        <v>860742</v>
      </c>
      <c r="P297" s="253">
        <v>2804392</v>
      </c>
      <c r="Q297" s="253">
        <v>155920</v>
      </c>
      <c r="R297" s="285">
        <v>10981.560546875</v>
      </c>
      <c r="S297" s="285">
        <v>5520.40771484375</v>
      </c>
      <c r="T297" s="286">
        <v>17986.095703125</v>
      </c>
    </row>
    <row r="298" spans="2:23">
      <c r="B298" s="249" t="s">
        <v>514</v>
      </c>
      <c r="C298" s="250" t="s">
        <v>282</v>
      </c>
      <c r="D298" s="250" t="s">
        <v>502</v>
      </c>
      <c r="E298" s="251">
        <v>4</v>
      </c>
      <c r="F298" s="251" t="s">
        <v>281</v>
      </c>
      <c r="G298" s="253">
        <v>10213241</v>
      </c>
      <c r="H298" s="253">
        <v>3850875</v>
      </c>
      <c r="I298" s="253">
        <v>19468451</v>
      </c>
      <c r="J298" s="252">
        <v>-3.6400000000000002E-2</v>
      </c>
      <c r="K298" s="253">
        <v>8176178</v>
      </c>
      <c r="L298" s="253">
        <v>2892810</v>
      </c>
      <c r="M298" s="253">
        <v>16064032</v>
      </c>
      <c r="N298" s="253">
        <v>2037063</v>
      </c>
      <c r="O298" s="253">
        <v>958065</v>
      </c>
      <c r="P298" s="253">
        <v>3404419</v>
      </c>
      <c r="Q298" s="253">
        <v>155920</v>
      </c>
      <c r="R298" s="285">
        <v>13064.796875</v>
      </c>
      <c r="S298" s="285">
        <v>6144.59326171875</v>
      </c>
      <c r="T298" s="286">
        <v>21834.396484375</v>
      </c>
    </row>
    <row r="299" spans="2:23">
      <c r="B299" s="249" t="s">
        <v>514</v>
      </c>
      <c r="C299" s="250" t="s">
        <v>282</v>
      </c>
      <c r="D299" s="250" t="s">
        <v>502</v>
      </c>
      <c r="E299" s="251">
        <v>5</v>
      </c>
      <c r="F299" s="251" t="s">
        <v>281</v>
      </c>
      <c r="G299" s="253">
        <v>10264319</v>
      </c>
      <c r="H299" s="253">
        <v>3870138</v>
      </c>
      <c r="I299" s="253">
        <v>19565804</v>
      </c>
      <c r="J299" s="252">
        <v>-3.6400000000000002E-2</v>
      </c>
      <c r="K299" s="253">
        <v>7889872</v>
      </c>
      <c r="L299" s="253">
        <v>2795096</v>
      </c>
      <c r="M299" s="253">
        <v>15536723</v>
      </c>
      <c r="N299" s="253">
        <v>2374447</v>
      </c>
      <c r="O299" s="253">
        <v>1075042</v>
      </c>
      <c r="P299" s="253">
        <v>4029081</v>
      </c>
      <c r="Q299" s="253">
        <v>155920</v>
      </c>
      <c r="R299" s="285">
        <v>15228.623046875</v>
      </c>
      <c r="S299" s="285">
        <v>6894.83056640625</v>
      </c>
      <c r="T299" s="286">
        <v>25840.6953125</v>
      </c>
    </row>
    <row r="300" spans="2:23">
      <c r="B300" s="249" t="s">
        <v>514</v>
      </c>
      <c r="C300" s="250" t="s">
        <v>282</v>
      </c>
      <c r="D300" s="250" t="s">
        <v>201</v>
      </c>
      <c r="E300" s="251">
        <v>6</v>
      </c>
      <c r="F300" s="251" t="s">
        <v>281</v>
      </c>
      <c r="G300" s="253">
        <v>10315598</v>
      </c>
      <c r="H300" s="253">
        <v>3889458</v>
      </c>
      <c r="I300" s="253">
        <v>19663590</v>
      </c>
      <c r="J300" s="252">
        <v>-9.1000000000000004E-3</v>
      </c>
      <c r="K300" s="253">
        <v>7891715</v>
      </c>
      <c r="L300" s="253">
        <v>2780871</v>
      </c>
      <c r="M300" s="253">
        <v>15511028</v>
      </c>
      <c r="N300" s="253">
        <v>2423883</v>
      </c>
      <c r="O300" s="253">
        <v>1108587</v>
      </c>
      <c r="P300" s="253">
        <v>4152562</v>
      </c>
      <c r="Q300" s="253">
        <v>188016</v>
      </c>
      <c r="R300" s="285">
        <v>12891.8974609375</v>
      </c>
      <c r="S300" s="285">
        <v>5896.2373046875</v>
      </c>
      <c r="T300" s="286">
        <v>22086.216796875</v>
      </c>
    </row>
    <row r="301" spans="2:23">
      <c r="B301" s="249" t="s">
        <v>514</v>
      </c>
      <c r="C301" s="250" t="s">
        <v>282</v>
      </c>
      <c r="D301" s="250" t="s">
        <v>201</v>
      </c>
      <c r="E301" s="251">
        <v>7</v>
      </c>
      <c r="F301" s="251" t="s">
        <v>281</v>
      </c>
      <c r="G301" s="253">
        <v>10367187</v>
      </c>
      <c r="H301" s="253">
        <v>3908913</v>
      </c>
      <c r="I301" s="253">
        <v>19761925</v>
      </c>
      <c r="J301" s="252">
        <v>-9.1000000000000004E-3</v>
      </c>
      <c r="K301" s="253">
        <v>7855649</v>
      </c>
      <c r="L301" s="253">
        <v>2785338</v>
      </c>
      <c r="M301" s="253">
        <v>15437526</v>
      </c>
      <c r="N301" s="253">
        <v>2511538</v>
      </c>
      <c r="O301" s="253">
        <v>1123575</v>
      </c>
      <c r="P301" s="253">
        <v>4324399</v>
      </c>
      <c r="Q301" s="253">
        <v>143207</v>
      </c>
      <c r="R301" s="285">
        <v>17537.814453125</v>
      </c>
      <c r="S301" s="285">
        <v>7845.810546875</v>
      </c>
      <c r="T301" s="286">
        <v>30196.83984375</v>
      </c>
    </row>
    <row r="302" spans="2:23">
      <c r="B302" s="249" t="s">
        <v>514</v>
      </c>
      <c r="C302" s="250" t="s">
        <v>282</v>
      </c>
      <c r="D302" s="250" t="s">
        <v>201</v>
      </c>
      <c r="E302" s="251">
        <v>8</v>
      </c>
      <c r="F302" s="251" t="s">
        <v>281</v>
      </c>
      <c r="G302" s="253">
        <v>10419066</v>
      </c>
      <c r="H302" s="253">
        <v>3928489</v>
      </c>
      <c r="I302" s="253">
        <v>19860773</v>
      </c>
      <c r="J302" s="252">
        <v>-9.1000000000000004E-3</v>
      </c>
      <c r="K302" s="253">
        <v>7847510</v>
      </c>
      <c r="L302" s="253">
        <v>2780308</v>
      </c>
      <c r="M302" s="253">
        <v>15362917</v>
      </c>
      <c r="N302" s="253">
        <v>2571556</v>
      </c>
      <c r="O302" s="253">
        <v>1148181</v>
      </c>
      <c r="P302" s="253">
        <v>4497856</v>
      </c>
      <c r="Q302" s="253">
        <v>143207</v>
      </c>
      <c r="R302" s="285">
        <v>17956.9140625</v>
      </c>
      <c r="S302" s="285">
        <v>8017.63134765625</v>
      </c>
      <c r="T302" s="286">
        <v>31408.07421875</v>
      </c>
    </row>
    <row r="303" spans="2:23">
      <c r="B303" s="249" t="s">
        <v>514</v>
      </c>
      <c r="C303" s="250" t="s">
        <v>282</v>
      </c>
      <c r="D303" s="250" t="s">
        <v>201</v>
      </c>
      <c r="E303" s="251">
        <v>9</v>
      </c>
      <c r="F303" s="251" t="s">
        <v>281</v>
      </c>
      <c r="G303" s="253">
        <v>10471148</v>
      </c>
      <c r="H303" s="253">
        <v>3948121</v>
      </c>
      <c r="I303" s="253">
        <v>19960069</v>
      </c>
      <c r="J303" s="252">
        <v>-9.1000000000000004E-3</v>
      </c>
      <c r="K303" s="253">
        <v>7877201</v>
      </c>
      <c r="L303" s="253">
        <v>2794204</v>
      </c>
      <c r="M303" s="253">
        <v>15372965</v>
      </c>
      <c r="N303" s="253">
        <v>2593947</v>
      </c>
      <c r="O303" s="253">
        <v>1153917</v>
      </c>
      <c r="P303" s="253">
        <v>4587104</v>
      </c>
      <c r="Q303" s="253">
        <v>143207</v>
      </c>
      <c r="R303" s="285">
        <v>18113.26953125</v>
      </c>
      <c r="S303" s="285">
        <v>8057.68603515625</v>
      </c>
      <c r="T303" s="286">
        <v>32031.28515625</v>
      </c>
    </row>
    <row r="304" spans="2:23">
      <c r="B304" s="249" t="s">
        <v>514</v>
      </c>
      <c r="C304" s="250" t="s">
        <v>282</v>
      </c>
      <c r="D304" s="250" t="s">
        <v>201</v>
      </c>
      <c r="E304" s="251">
        <v>10</v>
      </c>
      <c r="F304" s="251" t="s">
        <v>281</v>
      </c>
      <c r="G304" s="253">
        <v>10523506</v>
      </c>
      <c r="H304" s="253">
        <v>3967862</v>
      </c>
      <c r="I304" s="253">
        <v>20059867</v>
      </c>
      <c r="J304" s="252">
        <v>-9.1000000000000004E-3</v>
      </c>
      <c r="K304" s="253">
        <v>7734486</v>
      </c>
      <c r="L304" s="253">
        <v>2731499</v>
      </c>
      <c r="M304" s="253">
        <v>15229393</v>
      </c>
      <c r="N304" s="253">
        <v>2789020</v>
      </c>
      <c r="O304" s="253">
        <v>1236363</v>
      </c>
      <c r="P304" s="253">
        <v>4830474</v>
      </c>
      <c r="Q304" s="253">
        <v>143207</v>
      </c>
      <c r="R304" s="285">
        <v>19475.4453125</v>
      </c>
      <c r="S304" s="285">
        <v>8633.3984375</v>
      </c>
      <c r="T304" s="286">
        <v>33730.7109375</v>
      </c>
    </row>
    <row r="305" spans="2:20">
      <c r="B305" s="249" t="s">
        <v>514</v>
      </c>
      <c r="C305" s="250" t="s">
        <v>282</v>
      </c>
      <c r="D305" s="250" t="s">
        <v>201</v>
      </c>
      <c r="E305" s="251">
        <v>11</v>
      </c>
      <c r="F305" s="251" t="s">
        <v>281</v>
      </c>
      <c r="G305" s="253">
        <v>10576125</v>
      </c>
      <c r="H305" s="253">
        <v>3987709</v>
      </c>
      <c r="I305" s="253">
        <v>20160174</v>
      </c>
      <c r="J305" s="252">
        <v>-9.1000000000000004E-3</v>
      </c>
      <c r="K305" s="253">
        <v>7725002</v>
      </c>
      <c r="L305" s="253">
        <v>2725894</v>
      </c>
      <c r="M305" s="253">
        <v>15199592</v>
      </c>
      <c r="N305" s="253">
        <v>2851123</v>
      </c>
      <c r="O305" s="253">
        <v>1261815</v>
      </c>
      <c r="P305" s="253">
        <v>4960582</v>
      </c>
      <c r="Q305" s="253">
        <v>188016</v>
      </c>
      <c r="R305" s="285">
        <v>15164.2568359375</v>
      </c>
      <c r="S305" s="285">
        <v>6711.2109375</v>
      </c>
      <c r="T305" s="286">
        <v>26383.830078125</v>
      </c>
    </row>
    <row r="306" spans="2:20">
      <c r="B306" s="249" t="s">
        <v>514</v>
      </c>
      <c r="C306" s="250" t="s">
        <v>282</v>
      </c>
      <c r="D306" s="250" t="s">
        <v>201</v>
      </c>
      <c r="E306" s="251">
        <v>12</v>
      </c>
      <c r="F306" s="251" t="s">
        <v>281</v>
      </c>
      <c r="G306" s="253">
        <v>10629004</v>
      </c>
      <c r="H306" s="253">
        <v>4007644</v>
      </c>
      <c r="I306" s="253">
        <v>20260965</v>
      </c>
      <c r="J306" s="252">
        <v>-9.1000000000000004E-3</v>
      </c>
      <c r="K306" s="253">
        <v>7724907</v>
      </c>
      <c r="L306" s="253">
        <v>2720164</v>
      </c>
      <c r="M306" s="253">
        <v>15081983</v>
      </c>
      <c r="N306" s="253">
        <v>2904097</v>
      </c>
      <c r="O306" s="253">
        <v>1287480</v>
      </c>
      <c r="P306" s="253">
        <v>5178982</v>
      </c>
      <c r="Q306" s="253">
        <v>143207</v>
      </c>
      <c r="R306" s="285">
        <v>20279.015625</v>
      </c>
      <c r="S306" s="285">
        <v>8990.3427734375</v>
      </c>
      <c r="T306" s="286">
        <v>36164.3046875</v>
      </c>
    </row>
    <row r="307" spans="2:20">
      <c r="B307" s="249" t="s">
        <v>514</v>
      </c>
      <c r="C307" s="250" t="s">
        <v>282</v>
      </c>
      <c r="D307" s="250" t="s">
        <v>201</v>
      </c>
      <c r="E307" s="251">
        <v>13</v>
      </c>
      <c r="F307" s="251" t="s">
        <v>281</v>
      </c>
      <c r="G307" s="253">
        <v>10682144</v>
      </c>
      <c r="H307" s="253">
        <v>4027673</v>
      </c>
      <c r="I307" s="253">
        <v>20362264</v>
      </c>
      <c r="J307" s="252">
        <v>-9.1000000000000004E-3</v>
      </c>
      <c r="K307" s="253">
        <v>7646779</v>
      </c>
      <c r="L307" s="253">
        <v>2724034</v>
      </c>
      <c r="M307" s="253">
        <v>14991994</v>
      </c>
      <c r="N307" s="253">
        <v>3035365</v>
      </c>
      <c r="O307" s="253">
        <v>1303639</v>
      </c>
      <c r="P307" s="253">
        <v>5370270</v>
      </c>
      <c r="Q307" s="253">
        <v>143207</v>
      </c>
      <c r="R307" s="285">
        <v>21195.646484375</v>
      </c>
      <c r="S307" s="285">
        <v>9103.1787109375</v>
      </c>
      <c r="T307" s="286">
        <v>37500.0546875</v>
      </c>
    </row>
    <row r="308" spans="2:20">
      <c r="B308" s="249" t="s">
        <v>514</v>
      </c>
      <c r="C308" s="250" t="s">
        <v>282</v>
      </c>
      <c r="D308" s="250" t="s">
        <v>201</v>
      </c>
      <c r="E308" s="251">
        <v>14</v>
      </c>
      <c r="F308" s="251" t="s">
        <v>281</v>
      </c>
      <c r="G308" s="253">
        <v>10735552</v>
      </c>
      <c r="H308" s="253">
        <v>4047818</v>
      </c>
      <c r="I308" s="253">
        <v>20464078</v>
      </c>
      <c r="J308" s="252">
        <v>-9.1000000000000004E-3</v>
      </c>
      <c r="K308" s="253">
        <v>7636128</v>
      </c>
      <c r="L308" s="253">
        <v>2708321</v>
      </c>
      <c r="M308" s="253">
        <v>14978960</v>
      </c>
      <c r="N308" s="253">
        <v>3099424</v>
      </c>
      <c r="O308" s="253">
        <v>1339497</v>
      </c>
      <c r="P308" s="253">
        <v>5485118</v>
      </c>
      <c r="Q308" s="253">
        <v>143207</v>
      </c>
      <c r="R308" s="285">
        <v>21642.96484375</v>
      </c>
      <c r="S308" s="285">
        <v>9353.572265625</v>
      </c>
      <c r="T308" s="286">
        <v>38302.0234375</v>
      </c>
    </row>
    <row r="309" spans="2:20">
      <c r="B309" s="256" t="s">
        <v>514</v>
      </c>
      <c r="C309" s="257" t="s">
        <v>282</v>
      </c>
      <c r="D309" s="257" t="s">
        <v>201</v>
      </c>
      <c r="E309" s="258">
        <v>15</v>
      </c>
      <c r="F309" s="258" t="s">
        <v>281</v>
      </c>
      <c r="G309" s="260">
        <v>10789234</v>
      </c>
      <c r="H309" s="260">
        <v>4068056</v>
      </c>
      <c r="I309" s="260">
        <v>20566406</v>
      </c>
      <c r="J309" s="259">
        <v>-9.1000000000000004E-3</v>
      </c>
      <c r="K309" s="260">
        <v>7605517</v>
      </c>
      <c r="L309" s="260">
        <v>2712035</v>
      </c>
      <c r="M309" s="260">
        <v>14916280</v>
      </c>
      <c r="N309" s="260">
        <v>3183717</v>
      </c>
      <c r="O309" s="260">
        <v>1356021</v>
      </c>
      <c r="P309" s="260">
        <v>5650126</v>
      </c>
      <c r="Q309" s="260">
        <v>143207</v>
      </c>
      <c r="R309" s="287">
        <v>22231.572265625</v>
      </c>
      <c r="S309" s="287">
        <v>9468.9580078125</v>
      </c>
      <c r="T309" s="288">
        <v>39454.2578125</v>
      </c>
    </row>
    <row r="310" spans="2:20">
      <c r="B310" s="249" t="s">
        <v>514</v>
      </c>
      <c r="C310" s="250" t="s">
        <v>77</v>
      </c>
      <c r="D310" s="250" t="s">
        <v>502</v>
      </c>
      <c r="E310" s="251">
        <v>1</v>
      </c>
      <c r="F310" s="251" t="s">
        <v>281</v>
      </c>
      <c r="G310" s="253">
        <v>10061566</v>
      </c>
      <c r="H310" s="253">
        <v>3793686</v>
      </c>
      <c r="I310" s="253">
        <v>19179324</v>
      </c>
      <c r="J310" s="252">
        <v>-1.0800000000000001E-2</v>
      </c>
      <c r="K310" s="253">
        <v>9062750</v>
      </c>
      <c r="L310" s="253">
        <v>3133923</v>
      </c>
      <c r="M310" s="253">
        <v>17923926</v>
      </c>
      <c r="N310" s="253">
        <v>998816</v>
      </c>
      <c r="O310" s="253">
        <v>659763</v>
      </c>
      <c r="P310" s="253">
        <v>1255398</v>
      </c>
      <c r="Q310" s="253">
        <v>291952</v>
      </c>
      <c r="R310" s="285">
        <v>3421.165283203125</v>
      </c>
      <c r="S310" s="285">
        <v>2259.833740234375</v>
      </c>
      <c r="T310" s="286">
        <v>4300.01513671875</v>
      </c>
    </row>
    <row r="311" spans="2:20">
      <c r="B311" s="249" t="s">
        <v>514</v>
      </c>
      <c r="C311" s="250" t="s">
        <v>77</v>
      </c>
      <c r="D311" s="250" t="s">
        <v>502</v>
      </c>
      <c r="E311" s="251">
        <v>2</v>
      </c>
      <c r="F311" s="251" t="s">
        <v>281</v>
      </c>
      <c r="G311" s="253">
        <v>10111878</v>
      </c>
      <c r="H311" s="253">
        <v>3812664</v>
      </c>
      <c r="I311" s="253">
        <v>19275228</v>
      </c>
      <c r="J311" s="252">
        <v>-1.0800000000000001E-2</v>
      </c>
      <c r="K311" s="253">
        <v>9062016</v>
      </c>
      <c r="L311" s="253">
        <v>3149592</v>
      </c>
      <c r="M311" s="253">
        <v>17903035</v>
      </c>
      <c r="N311" s="253">
        <v>1049862</v>
      </c>
      <c r="O311" s="253">
        <v>663072</v>
      </c>
      <c r="P311" s="253">
        <v>1372193</v>
      </c>
      <c r="Q311" s="253">
        <v>503800</v>
      </c>
      <c r="R311" s="285">
        <v>2083.886474609375</v>
      </c>
      <c r="S311" s="285">
        <v>1316.141357421875</v>
      </c>
      <c r="T311" s="286">
        <v>2723.68603515625</v>
      </c>
    </row>
    <row r="312" spans="2:20">
      <c r="B312" s="249" t="s">
        <v>514</v>
      </c>
      <c r="C312" s="250" t="s">
        <v>77</v>
      </c>
      <c r="D312" s="250" t="s">
        <v>502</v>
      </c>
      <c r="E312" s="251">
        <v>3</v>
      </c>
      <c r="F312" s="251" t="s">
        <v>281</v>
      </c>
      <c r="G312" s="253">
        <v>10162434</v>
      </c>
      <c r="H312" s="253">
        <v>3831718</v>
      </c>
      <c r="I312" s="253">
        <v>19371601</v>
      </c>
      <c r="J312" s="252">
        <v>-1.0800000000000001E-2</v>
      </c>
      <c r="K312" s="253">
        <v>9051793</v>
      </c>
      <c r="L312" s="253">
        <v>3137574</v>
      </c>
      <c r="M312" s="253">
        <v>17853717</v>
      </c>
      <c r="N312" s="253">
        <v>1110641</v>
      </c>
      <c r="O312" s="253">
        <v>694144</v>
      </c>
      <c r="P312" s="253">
        <v>1517884</v>
      </c>
      <c r="Q312" s="253">
        <v>336131</v>
      </c>
      <c r="R312" s="285">
        <v>3304.19091796875</v>
      </c>
      <c r="S312" s="285">
        <v>2065.099609375</v>
      </c>
      <c r="T312" s="286">
        <v>4515.75146484375</v>
      </c>
    </row>
    <row r="313" spans="2:20">
      <c r="B313" s="249" t="s">
        <v>514</v>
      </c>
      <c r="C313" s="250" t="s">
        <v>77</v>
      </c>
      <c r="D313" s="250" t="s">
        <v>502</v>
      </c>
      <c r="E313" s="251">
        <v>4</v>
      </c>
      <c r="F313" s="251" t="s">
        <v>281</v>
      </c>
      <c r="G313" s="253">
        <v>10213241</v>
      </c>
      <c r="H313" s="253">
        <v>3850875</v>
      </c>
      <c r="I313" s="253">
        <v>19468451</v>
      </c>
      <c r="J313" s="252">
        <v>-1.0800000000000001E-2</v>
      </c>
      <c r="K313" s="253">
        <v>9013336</v>
      </c>
      <c r="L313" s="253">
        <v>3153262</v>
      </c>
      <c r="M313" s="253">
        <v>17784854</v>
      </c>
      <c r="N313" s="253">
        <v>1199905</v>
      </c>
      <c r="O313" s="253">
        <v>697613</v>
      </c>
      <c r="P313" s="253">
        <v>1683597</v>
      </c>
      <c r="Q313" s="253">
        <v>353502</v>
      </c>
      <c r="R313" s="285">
        <v>3394.337158203125</v>
      </c>
      <c r="S313" s="285">
        <v>1973.434326171875</v>
      </c>
      <c r="T313" s="286">
        <v>4762.6240234375</v>
      </c>
    </row>
    <row r="314" spans="2:20">
      <c r="B314" s="249" t="s">
        <v>514</v>
      </c>
      <c r="C314" s="250" t="s">
        <v>77</v>
      </c>
      <c r="D314" s="250" t="s">
        <v>502</v>
      </c>
      <c r="E314" s="251">
        <v>5</v>
      </c>
      <c r="F314" s="251" t="s">
        <v>281</v>
      </c>
      <c r="G314" s="253">
        <v>10264319</v>
      </c>
      <c r="H314" s="253">
        <v>3870138</v>
      </c>
      <c r="I314" s="253">
        <v>19565804</v>
      </c>
      <c r="J314" s="252">
        <v>-1.0800000000000001E-2</v>
      </c>
      <c r="K314" s="253">
        <v>8992966</v>
      </c>
      <c r="L314" s="253">
        <v>3131638</v>
      </c>
      <c r="M314" s="253">
        <v>17668123</v>
      </c>
      <c r="N314" s="253">
        <v>1271353</v>
      </c>
      <c r="O314" s="253">
        <v>738500</v>
      </c>
      <c r="P314" s="253">
        <v>1897681</v>
      </c>
      <c r="Q314" s="253">
        <v>336131</v>
      </c>
      <c r="R314" s="285">
        <v>3782.31396484375</v>
      </c>
      <c r="S314" s="285">
        <v>2197.06005859375</v>
      </c>
      <c r="T314" s="286">
        <v>5645.6591796875</v>
      </c>
    </row>
    <row r="315" spans="2:20">
      <c r="B315" s="249" t="s">
        <v>514</v>
      </c>
      <c r="C315" s="250" t="s">
        <v>77</v>
      </c>
      <c r="D315" s="250" t="s">
        <v>201</v>
      </c>
      <c r="E315" s="251">
        <v>6</v>
      </c>
      <c r="F315" s="251" t="s">
        <v>281</v>
      </c>
      <c r="G315" s="253">
        <v>10315598</v>
      </c>
      <c r="H315" s="253">
        <v>3889458</v>
      </c>
      <c r="I315" s="253">
        <v>19663590</v>
      </c>
      <c r="J315" s="252">
        <v>-8.0000000000000004E-4</v>
      </c>
      <c r="K315" s="253">
        <v>9037905</v>
      </c>
      <c r="L315" s="253">
        <v>3147276</v>
      </c>
      <c r="M315" s="253">
        <v>17756432</v>
      </c>
      <c r="N315" s="253">
        <v>1277693</v>
      </c>
      <c r="O315" s="253">
        <v>742182</v>
      </c>
      <c r="P315" s="253">
        <v>1907158</v>
      </c>
      <c r="Q315" s="253">
        <v>231478</v>
      </c>
      <c r="R315" s="285">
        <v>5519.716796875</v>
      </c>
      <c r="S315" s="285">
        <v>3206.2744140625</v>
      </c>
      <c r="T315" s="286">
        <v>8239.0458984375</v>
      </c>
    </row>
    <row r="316" spans="2:20">
      <c r="B316" s="249" t="s">
        <v>514</v>
      </c>
      <c r="C316" s="250" t="s">
        <v>77</v>
      </c>
      <c r="D316" s="250" t="s">
        <v>201</v>
      </c>
      <c r="E316" s="251">
        <v>7</v>
      </c>
      <c r="F316" s="251" t="s">
        <v>281</v>
      </c>
      <c r="G316" s="253">
        <v>10367187</v>
      </c>
      <c r="H316" s="253">
        <v>3908913</v>
      </c>
      <c r="I316" s="253">
        <v>19761925</v>
      </c>
      <c r="J316" s="252">
        <v>-8.0000000000000004E-4</v>
      </c>
      <c r="K316" s="253">
        <v>9083105</v>
      </c>
      <c r="L316" s="253">
        <v>3163018</v>
      </c>
      <c r="M316" s="253">
        <v>17826344</v>
      </c>
      <c r="N316" s="253">
        <v>1284082</v>
      </c>
      <c r="O316" s="253">
        <v>745895</v>
      </c>
      <c r="P316" s="253">
        <v>1935581</v>
      </c>
      <c r="Q316" s="253">
        <v>177294</v>
      </c>
      <c r="R316" s="285">
        <v>7242.67041015625</v>
      </c>
      <c r="S316" s="285">
        <v>4207.10791015625</v>
      </c>
      <c r="T316" s="286">
        <v>10917.3515625</v>
      </c>
    </row>
    <row r="317" spans="2:20">
      <c r="B317" s="249" t="s">
        <v>514</v>
      </c>
      <c r="C317" s="250" t="s">
        <v>77</v>
      </c>
      <c r="D317" s="250" t="s">
        <v>201</v>
      </c>
      <c r="E317" s="251">
        <v>8</v>
      </c>
      <c r="F317" s="251" t="s">
        <v>281</v>
      </c>
      <c r="G317" s="253">
        <v>10419066</v>
      </c>
      <c r="H317" s="253">
        <v>3928489</v>
      </c>
      <c r="I317" s="253">
        <v>19860773</v>
      </c>
      <c r="J317" s="252">
        <v>-8.0000000000000004E-4</v>
      </c>
      <c r="K317" s="253">
        <v>9128544</v>
      </c>
      <c r="L317" s="253">
        <v>3178850</v>
      </c>
      <c r="M317" s="253">
        <v>17915508</v>
      </c>
      <c r="N317" s="253">
        <v>1290522</v>
      </c>
      <c r="O317" s="253">
        <v>749639</v>
      </c>
      <c r="P317" s="253">
        <v>1945265</v>
      </c>
      <c r="Q317" s="253">
        <v>159923</v>
      </c>
      <c r="R317" s="285">
        <v>8069.64599609375</v>
      </c>
      <c r="S317" s="285">
        <v>4687.49951171875</v>
      </c>
      <c r="T317" s="286">
        <v>12163.759765625</v>
      </c>
    </row>
    <row r="318" spans="2:20">
      <c r="B318" s="249" t="s">
        <v>514</v>
      </c>
      <c r="C318" s="250" t="s">
        <v>77</v>
      </c>
      <c r="D318" s="250" t="s">
        <v>201</v>
      </c>
      <c r="E318" s="251">
        <v>9</v>
      </c>
      <c r="F318" s="251" t="s">
        <v>281</v>
      </c>
      <c r="G318" s="253">
        <v>10471148</v>
      </c>
      <c r="H318" s="253">
        <v>3948121</v>
      </c>
      <c r="I318" s="253">
        <v>19960069</v>
      </c>
      <c r="J318" s="252">
        <v>-8.0000000000000004E-4</v>
      </c>
      <c r="K318" s="253">
        <v>9145569</v>
      </c>
      <c r="L318" s="253">
        <v>3185206</v>
      </c>
      <c r="M318" s="253">
        <v>17976456</v>
      </c>
      <c r="N318" s="253">
        <v>1325579</v>
      </c>
      <c r="O318" s="253">
        <v>762915</v>
      </c>
      <c r="P318" s="253">
        <v>1983613</v>
      </c>
      <c r="Q318" s="253">
        <v>159923</v>
      </c>
      <c r="R318" s="285">
        <v>8288.857421875</v>
      </c>
      <c r="S318" s="285">
        <v>4770.5146484375</v>
      </c>
      <c r="T318" s="286">
        <v>12403.5498046875</v>
      </c>
    </row>
    <row r="319" spans="2:20">
      <c r="B319" s="249" t="s">
        <v>514</v>
      </c>
      <c r="C319" s="250" t="s">
        <v>77</v>
      </c>
      <c r="D319" s="250" t="s">
        <v>201</v>
      </c>
      <c r="E319" s="251">
        <v>10</v>
      </c>
      <c r="F319" s="251" t="s">
        <v>281</v>
      </c>
      <c r="G319" s="253">
        <v>10523506</v>
      </c>
      <c r="H319" s="253">
        <v>3967862</v>
      </c>
      <c r="I319" s="253">
        <v>20059867</v>
      </c>
      <c r="J319" s="252">
        <v>-8.0000000000000004E-4</v>
      </c>
      <c r="K319" s="253">
        <v>9181714</v>
      </c>
      <c r="L319" s="253">
        <v>3201131</v>
      </c>
      <c r="M319" s="253">
        <v>18047177</v>
      </c>
      <c r="N319" s="253">
        <v>1341792</v>
      </c>
      <c r="O319" s="253">
        <v>766731</v>
      </c>
      <c r="P319" s="253">
        <v>2012690</v>
      </c>
      <c r="Q319" s="253">
        <v>177294</v>
      </c>
      <c r="R319" s="285">
        <v>7568.1748046875</v>
      </c>
      <c r="S319" s="285">
        <v>4324.63037109375</v>
      </c>
      <c r="T319" s="286">
        <v>11352.2744140625</v>
      </c>
    </row>
    <row r="320" spans="2:20">
      <c r="B320" s="249" t="s">
        <v>514</v>
      </c>
      <c r="C320" s="250" t="s">
        <v>77</v>
      </c>
      <c r="D320" s="250" t="s">
        <v>201</v>
      </c>
      <c r="E320" s="251">
        <v>11</v>
      </c>
      <c r="F320" s="251" t="s">
        <v>281</v>
      </c>
      <c r="G320" s="253">
        <v>10576125</v>
      </c>
      <c r="H320" s="253">
        <v>3987709</v>
      </c>
      <c r="I320" s="253">
        <v>20160174</v>
      </c>
      <c r="J320" s="252">
        <v>-8.0000000000000004E-4</v>
      </c>
      <c r="K320" s="253">
        <v>9217996</v>
      </c>
      <c r="L320" s="253">
        <v>3207506</v>
      </c>
      <c r="M320" s="253">
        <v>18137413</v>
      </c>
      <c r="N320" s="253">
        <v>1358129</v>
      </c>
      <c r="O320" s="253">
        <v>780203</v>
      </c>
      <c r="P320" s="253">
        <v>2022761</v>
      </c>
      <c r="Q320" s="253">
        <v>231478</v>
      </c>
      <c r="R320" s="285">
        <v>5867.20556640625</v>
      </c>
      <c r="S320" s="285">
        <v>3370.52783203125</v>
      </c>
      <c r="T320" s="286">
        <v>8738.458984375</v>
      </c>
    </row>
    <row r="321" spans="2:20">
      <c r="B321" s="249" t="s">
        <v>514</v>
      </c>
      <c r="C321" s="250" t="s">
        <v>77</v>
      </c>
      <c r="D321" s="250" t="s">
        <v>201</v>
      </c>
      <c r="E321" s="251">
        <v>12</v>
      </c>
      <c r="F321" s="251" t="s">
        <v>281</v>
      </c>
      <c r="G321" s="253">
        <v>10629004</v>
      </c>
      <c r="H321" s="253">
        <v>4007644</v>
      </c>
      <c r="I321" s="253">
        <v>20260965</v>
      </c>
      <c r="J321" s="252">
        <v>-8.0000000000000004E-4</v>
      </c>
      <c r="K321" s="253">
        <v>9264086</v>
      </c>
      <c r="L321" s="253">
        <v>3223541</v>
      </c>
      <c r="M321" s="253">
        <v>18218420</v>
      </c>
      <c r="N321" s="253">
        <v>1364918</v>
      </c>
      <c r="O321" s="253">
        <v>784103</v>
      </c>
      <c r="P321" s="253">
        <v>2042545</v>
      </c>
      <c r="Q321" s="253">
        <v>159923</v>
      </c>
      <c r="R321" s="285">
        <v>8534.845703125</v>
      </c>
      <c r="S321" s="285">
        <v>4903.00341796875</v>
      </c>
      <c r="T321" s="286">
        <v>12772.052734375</v>
      </c>
    </row>
    <row r="322" spans="2:20">
      <c r="B322" s="249" t="s">
        <v>514</v>
      </c>
      <c r="C322" s="250" t="s">
        <v>77</v>
      </c>
      <c r="D322" s="250" t="s">
        <v>201</v>
      </c>
      <c r="E322" s="251">
        <v>13</v>
      </c>
      <c r="F322" s="251" t="s">
        <v>281</v>
      </c>
      <c r="G322" s="253">
        <v>10682144</v>
      </c>
      <c r="H322" s="253">
        <v>4027673</v>
      </c>
      <c r="I322" s="253">
        <v>20362264</v>
      </c>
      <c r="J322" s="252">
        <v>-8.0000000000000004E-4</v>
      </c>
      <c r="K322" s="253">
        <v>9310399</v>
      </c>
      <c r="L322" s="253">
        <v>3239658</v>
      </c>
      <c r="M322" s="253">
        <v>18290053</v>
      </c>
      <c r="N322" s="253">
        <v>1371745</v>
      </c>
      <c r="O322" s="253">
        <v>788015</v>
      </c>
      <c r="P322" s="253">
        <v>2072211</v>
      </c>
      <c r="Q322" s="253">
        <v>177294</v>
      </c>
      <c r="R322" s="285">
        <v>7737.1201171875</v>
      </c>
      <c r="S322" s="285">
        <v>4444.67919921875</v>
      </c>
      <c r="T322" s="286">
        <v>11687.9931640625</v>
      </c>
    </row>
    <row r="323" spans="2:20">
      <c r="B323" s="249" t="s">
        <v>514</v>
      </c>
      <c r="C323" s="250" t="s">
        <v>77</v>
      </c>
      <c r="D323" s="250" t="s">
        <v>201</v>
      </c>
      <c r="E323" s="251">
        <v>14</v>
      </c>
      <c r="F323" s="251" t="s">
        <v>281</v>
      </c>
      <c r="G323" s="253">
        <v>10735552</v>
      </c>
      <c r="H323" s="253">
        <v>4047818</v>
      </c>
      <c r="I323" s="253">
        <v>20464078</v>
      </c>
      <c r="J323" s="252">
        <v>-8.0000000000000004E-4</v>
      </c>
      <c r="K323" s="253">
        <v>9356951</v>
      </c>
      <c r="L323" s="253">
        <v>3255854</v>
      </c>
      <c r="M323" s="253">
        <v>18371725</v>
      </c>
      <c r="N323" s="253">
        <v>1378601</v>
      </c>
      <c r="O323" s="253">
        <v>791964</v>
      </c>
      <c r="P323" s="253">
        <v>2092353</v>
      </c>
      <c r="Q323" s="253">
        <v>159923</v>
      </c>
      <c r="R323" s="285">
        <v>8620.4052734375</v>
      </c>
      <c r="S323" s="285">
        <v>4952.15869140625</v>
      </c>
      <c r="T323" s="286">
        <v>13083.5029296875</v>
      </c>
    </row>
    <row r="324" spans="2:20">
      <c r="B324" s="256" t="s">
        <v>514</v>
      </c>
      <c r="C324" s="257" t="s">
        <v>77</v>
      </c>
      <c r="D324" s="257" t="s">
        <v>201</v>
      </c>
      <c r="E324" s="258">
        <v>15</v>
      </c>
      <c r="F324" s="258" t="s">
        <v>281</v>
      </c>
      <c r="G324" s="260">
        <v>10789234</v>
      </c>
      <c r="H324" s="260">
        <v>4068056</v>
      </c>
      <c r="I324" s="260">
        <v>20566406</v>
      </c>
      <c r="J324" s="259">
        <v>-8.0000000000000004E-4</v>
      </c>
      <c r="K324" s="260">
        <v>9393913</v>
      </c>
      <c r="L324" s="260">
        <v>3272134</v>
      </c>
      <c r="M324" s="260">
        <v>18463589</v>
      </c>
      <c r="N324" s="260">
        <v>1395321</v>
      </c>
      <c r="O324" s="260">
        <v>795922</v>
      </c>
      <c r="P324" s="260">
        <v>2102817</v>
      </c>
      <c r="Q324" s="260">
        <v>159923</v>
      </c>
      <c r="R324" s="287">
        <v>8724.955078125</v>
      </c>
      <c r="S324" s="287">
        <v>4976.90771484375</v>
      </c>
      <c r="T324" s="288">
        <v>13148.9345703125</v>
      </c>
    </row>
    <row r="325" spans="2:20">
      <c r="B325" s="249" t="s">
        <v>514</v>
      </c>
      <c r="C325" s="250" t="s">
        <v>121</v>
      </c>
      <c r="D325" s="250" t="s">
        <v>502</v>
      </c>
      <c r="E325" s="251">
        <v>1</v>
      </c>
      <c r="F325" s="251" t="s">
        <v>281</v>
      </c>
      <c r="G325" s="253">
        <v>10061566</v>
      </c>
      <c r="H325" s="253">
        <v>3793686</v>
      </c>
      <c r="I325" s="253">
        <v>19179324</v>
      </c>
      <c r="J325" s="252">
        <v>-0.02</v>
      </c>
      <c r="K325" s="253">
        <v>9026097</v>
      </c>
      <c r="L325" s="253">
        <v>3133923</v>
      </c>
      <c r="M325" s="253">
        <v>17832291</v>
      </c>
      <c r="N325" s="253">
        <v>1035469</v>
      </c>
      <c r="O325" s="253">
        <v>659763</v>
      </c>
      <c r="P325" s="253">
        <v>1347033</v>
      </c>
      <c r="Q325" s="253">
        <v>133969</v>
      </c>
      <c r="R325" s="285">
        <v>7729.1689453125</v>
      </c>
      <c r="S325" s="285">
        <v>4924.74365234375</v>
      </c>
      <c r="T325" s="286">
        <v>10054.8115234375</v>
      </c>
    </row>
    <row r="326" spans="2:20">
      <c r="B326" s="249" t="s">
        <v>514</v>
      </c>
      <c r="C326" s="250" t="s">
        <v>121</v>
      </c>
      <c r="D326" s="250" t="s">
        <v>502</v>
      </c>
      <c r="E326" s="251">
        <v>2</v>
      </c>
      <c r="F326" s="251" t="s">
        <v>281</v>
      </c>
      <c r="G326" s="253">
        <v>10111878</v>
      </c>
      <c r="H326" s="253">
        <v>3812664</v>
      </c>
      <c r="I326" s="253">
        <v>19275228</v>
      </c>
      <c r="J326" s="252">
        <v>-0.02</v>
      </c>
      <c r="K326" s="253">
        <v>8960714</v>
      </c>
      <c r="L326" s="253">
        <v>3121963</v>
      </c>
      <c r="M326" s="253">
        <v>17645172</v>
      </c>
      <c r="N326" s="253">
        <v>1151164</v>
      </c>
      <c r="O326" s="253">
        <v>690701</v>
      </c>
      <c r="P326" s="253">
        <v>1630056</v>
      </c>
      <c r="Q326" s="253">
        <v>273304</v>
      </c>
      <c r="R326" s="285">
        <v>4212.02734375</v>
      </c>
      <c r="S326" s="285">
        <v>2527.226318359375</v>
      </c>
      <c r="T326" s="286">
        <v>5964.259765625</v>
      </c>
    </row>
    <row r="327" spans="2:20">
      <c r="B327" s="249" t="s">
        <v>514</v>
      </c>
      <c r="C327" s="250" t="s">
        <v>121</v>
      </c>
      <c r="D327" s="250" t="s">
        <v>502</v>
      </c>
      <c r="E327" s="251">
        <v>3</v>
      </c>
      <c r="F327" s="251" t="s">
        <v>281</v>
      </c>
      <c r="G327" s="253">
        <v>10162434</v>
      </c>
      <c r="H327" s="253">
        <v>3831718</v>
      </c>
      <c r="I327" s="253">
        <v>19371601</v>
      </c>
      <c r="J327" s="252">
        <v>-0.02</v>
      </c>
      <c r="K327" s="253">
        <v>8857429</v>
      </c>
      <c r="L327" s="253">
        <v>3082040</v>
      </c>
      <c r="M327" s="253">
        <v>17409454</v>
      </c>
      <c r="N327" s="253">
        <v>1305005</v>
      </c>
      <c r="O327" s="253">
        <v>749678</v>
      </c>
      <c r="P327" s="253">
        <v>1962147</v>
      </c>
      <c r="Q327" s="253">
        <v>170998</v>
      </c>
      <c r="R327" s="285">
        <v>7631.69775390625</v>
      </c>
      <c r="S327" s="285">
        <v>4384.13330078125</v>
      </c>
      <c r="T327" s="286">
        <v>11474.677734375</v>
      </c>
    </row>
    <row r="328" spans="2:20">
      <c r="B328" s="249" t="s">
        <v>514</v>
      </c>
      <c r="C328" s="250" t="s">
        <v>121</v>
      </c>
      <c r="D328" s="250" t="s">
        <v>502</v>
      </c>
      <c r="E328" s="251">
        <v>4</v>
      </c>
      <c r="F328" s="251" t="s">
        <v>281</v>
      </c>
      <c r="G328" s="253">
        <v>10213241</v>
      </c>
      <c r="H328" s="253">
        <v>3850875</v>
      </c>
      <c r="I328" s="253">
        <v>19468451</v>
      </c>
      <c r="J328" s="252">
        <v>-0.02</v>
      </c>
      <c r="K328" s="253">
        <v>8752886</v>
      </c>
      <c r="L328" s="253">
        <v>3060244</v>
      </c>
      <c r="M328" s="253">
        <v>17124430</v>
      </c>
      <c r="N328" s="253">
        <v>1460355</v>
      </c>
      <c r="O328" s="253">
        <v>790631</v>
      </c>
      <c r="P328" s="253">
        <v>2344021</v>
      </c>
      <c r="Q328" s="253">
        <v>170998</v>
      </c>
      <c r="R328" s="285">
        <v>8540.1875</v>
      </c>
      <c r="S328" s="285">
        <v>4623.626953125</v>
      </c>
      <c r="T328" s="286">
        <v>13707.8857421875</v>
      </c>
    </row>
    <row r="329" spans="2:20">
      <c r="B329" s="249" t="s">
        <v>514</v>
      </c>
      <c r="C329" s="250" t="s">
        <v>121</v>
      </c>
      <c r="D329" s="250" t="s">
        <v>502</v>
      </c>
      <c r="E329" s="251">
        <v>5</v>
      </c>
      <c r="F329" s="251" t="s">
        <v>281</v>
      </c>
      <c r="G329" s="253">
        <v>10264319</v>
      </c>
      <c r="H329" s="253">
        <v>3870138</v>
      </c>
      <c r="I329" s="253">
        <v>19565804</v>
      </c>
      <c r="J329" s="252">
        <v>-0.02</v>
      </c>
      <c r="K329" s="253">
        <v>8619037</v>
      </c>
      <c r="L329" s="253">
        <v>3028807</v>
      </c>
      <c r="M329" s="253">
        <v>16892213</v>
      </c>
      <c r="N329" s="253">
        <v>1645282</v>
      </c>
      <c r="O329" s="253">
        <v>841331</v>
      </c>
      <c r="P329" s="253">
        <v>2673591</v>
      </c>
      <c r="Q329" s="253">
        <v>170998</v>
      </c>
      <c r="R329" s="285">
        <v>9621.64453125</v>
      </c>
      <c r="S329" s="285">
        <v>4920.12158203125</v>
      </c>
      <c r="T329" s="286">
        <v>15635.2177734375</v>
      </c>
    </row>
    <row r="330" spans="2:20">
      <c r="B330" s="249" t="s">
        <v>514</v>
      </c>
      <c r="C330" s="250" t="s">
        <v>121</v>
      </c>
      <c r="D330" s="250" t="s">
        <v>201</v>
      </c>
      <c r="E330" s="251">
        <v>6</v>
      </c>
      <c r="F330" s="251" t="s">
        <v>281</v>
      </c>
      <c r="G330" s="253">
        <v>10315598</v>
      </c>
      <c r="H330" s="253">
        <v>3889458</v>
      </c>
      <c r="I330" s="253">
        <v>19663590</v>
      </c>
      <c r="J330" s="252">
        <v>-2E-3</v>
      </c>
      <c r="K330" s="253">
        <v>8652710</v>
      </c>
      <c r="L330" s="253">
        <v>3043931</v>
      </c>
      <c r="M330" s="253">
        <v>16939067</v>
      </c>
      <c r="N330" s="253">
        <v>1662888</v>
      </c>
      <c r="O330" s="253">
        <v>845527</v>
      </c>
      <c r="P330" s="253">
        <v>2724523</v>
      </c>
      <c r="Q330" s="253">
        <v>123966</v>
      </c>
      <c r="R330" s="285">
        <v>13414.0654296875</v>
      </c>
      <c r="S330" s="285">
        <v>6820.63623046875</v>
      </c>
      <c r="T330" s="286">
        <v>21977.986328125</v>
      </c>
    </row>
    <row r="331" spans="2:20">
      <c r="B331" s="249" t="s">
        <v>514</v>
      </c>
      <c r="C331" s="250" t="s">
        <v>121</v>
      </c>
      <c r="D331" s="250" t="s">
        <v>201</v>
      </c>
      <c r="E331" s="251">
        <v>7</v>
      </c>
      <c r="F331" s="251" t="s">
        <v>281</v>
      </c>
      <c r="G331" s="253">
        <v>10367187</v>
      </c>
      <c r="H331" s="253">
        <v>3908913</v>
      </c>
      <c r="I331" s="253">
        <v>19761925</v>
      </c>
      <c r="J331" s="252">
        <v>-2E-3</v>
      </c>
      <c r="K331" s="253">
        <v>8695984</v>
      </c>
      <c r="L331" s="253">
        <v>3059156</v>
      </c>
      <c r="M331" s="253">
        <v>17014333</v>
      </c>
      <c r="N331" s="253">
        <v>1671203</v>
      </c>
      <c r="O331" s="253">
        <v>849757</v>
      </c>
      <c r="P331" s="253">
        <v>2747592</v>
      </c>
      <c r="Q331" s="253">
        <v>93727</v>
      </c>
      <c r="R331" s="285">
        <v>17830.5390625</v>
      </c>
      <c r="S331" s="285">
        <v>9066.298828125</v>
      </c>
      <c r="T331" s="286">
        <v>29314.83984375</v>
      </c>
    </row>
    <row r="332" spans="2:20">
      <c r="B332" s="249" t="s">
        <v>514</v>
      </c>
      <c r="C332" s="250" t="s">
        <v>121</v>
      </c>
      <c r="D332" s="250" t="s">
        <v>201</v>
      </c>
      <c r="E332" s="251">
        <v>8</v>
      </c>
      <c r="F332" s="251" t="s">
        <v>281</v>
      </c>
      <c r="G332" s="253">
        <v>10419066</v>
      </c>
      <c r="H332" s="253">
        <v>3928489</v>
      </c>
      <c r="I332" s="253">
        <v>19860773</v>
      </c>
      <c r="J332" s="252">
        <v>-2E-3</v>
      </c>
      <c r="K332" s="253">
        <v>8673067</v>
      </c>
      <c r="L332" s="253">
        <v>3055492</v>
      </c>
      <c r="M332" s="253">
        <v>17051994</v>
      </c>
      <c r="N332" s="253">
        <v>1745999</v>
      </c>
      <c r="O332" s="253">
        <v>872997</v>
      </c>
      <c r="P332" s="253">
        <v>2808779</v>
      </c>
      <c r="Q332" s="253">
        <v>93727</v>
      </c>
      <c r="R332" s="285">
        <v>18628.55859375</v>
      </c>
      <c r="S332" s="285">
        <v>9314.2529296875</v>
      </c>
      <c r="T332" s="286">
        <v>29967.66015625</v>
      </c>
    </row>
    <row r="333" spans="2:20">
      <c r="B333" s="249" t="s">
        <v>514</v>
      </c>
      <c r="C333" s="250" t="s">
        <v>121</v>
      </c>
      <c r="D333" s="250" t="s">
        <v>201</v>
      </c>
      <c r="E333" s="251">
        <v>9</v>
      </c>
      <c r="F333" s="251" t="s">
        <v>281</v>
      </c>
      <c r="G333" s="253">
        <v>10471148</v>
      </c>
      <c r="H333" s="253">
        <v>3948121</v>
      </c>
      <c r="I333" s="253">
        <v>19960069</v>
      </c>
      <c r="J333" s="252">
        <v>-2E-3</v>
      </c>
      <c r="K333" s="253">
        <v>8716418</v>
      </c>
      <c r="L333" s="253">
        <v>3070766</v>
      </c>
      <c r="M333" s="253">
        <v>17127697</v>
      </c>
      <c r="N333" s="253">
        <v>1754730</v>
      </c>
      <c r="O333" s="253">
        <v>877355</v>
      </c>
      <c r="P333" s="253">
        <v>2832372</v>
      </c>
      <c r="Q333" s="253">
        <v>93727</v>
      </c>
      <c r="R333" s="285">
        <v>18721.712890625</v>
      </c>
      <c r="S333" s="285">
        <v>9360.75</v>
      </c>
      <c r="T333" s="286">
        <v>30219.380859375</v>
      </c>
    </row>
    <row r="334" spans="2:20">
      <c r="B334" s="249" t="s">
        <v>514</v>
      </c>
      <c r="C334" s="250" t="s">
        <v>121</v>
      </c>
      <c r="D334" s="250" t="s">
        <v>201</v>
      </c>
      <c r="E334" s="251">
        <v>10</v>
      </c>
      <c r="F334" s="251" t="s">
        <v>281</v>
      </c>
      <c r="G334" s="253">
        <v>10523506</v>
      </c>
      <c r="H334" s="253">
        <v>3967862</v>
      </c>
      <c r="I334" s="253">
        <v>20059867</v>
      </c>
      <c r="J334" s="252">
        <v>-2E-3</v>
      </c>
      <c r="K334" s="253">
        <v>8760008</v>
      </c>
      <c r="L334" s="253">
        <v>3086120</v>
      </c>
      <c r="M334" s="253">
        <v>17165419</v>
      </c>
      <c r="N334" s="253">
        <v>1763498</v>
      </c>
      <c r="O334" s="253">
        <v>881742</v>
      </c>
      <c r="P334" s="253">
        <v>2894448</v>
      </c>
      <c r="Q334" s="253">
        <v>93727</v>
      </c>
      <c r="R334" s="285">
        <v>18815.26171875</v>
      </c>
      <c r="S334" s="285">
        <v>9407.5556640625</v>
      </c>
      <c r="T334" s="286">
        <v>30881.689453125</v>
      </c>
    </row>
    <row r="335" spans="2:20">
      <c r="B335" s="249" t="s">
        <v>514</v>
      </c>
      <c r="C335" s="250" t="s">
        <v>121</v>
      </c>
      <c r="D335" s="250" t="s">
        <v>201</v>
      </c>
      <c r="E335" s="251">
        <v>11</v>
      </c>
      <c r="F335" s="251" t="s">
        <v>281</v>
      </c>
      <c r="G335" s="253">
        <v>10576125</v>
      </c>
      <c r="H335" s="253">
        <v>3987709</v>
      </c>
      <c r="I335" s="253">
        <v>20160174</v>
      </c>
      <c r="J335" s="252">
        <v>-2E-3</v>
      </c>
      <c r="K335" s="253">
        <v>8794174</v>
      </c>
      <c r="L335" s="253">
        <v>3091921</v>
      </c>
      <c r="M335" s="253">
        <v>17231986</v>
      </c>
      <c r="N335" s="253">
        <v>1781951</v>
      </c>
      <c r="O335" s="253">
        <v>895788</v>
      </c>
      <c r="P335" s="253">
        <v>2928188</v>
      </c>
      <c r="Q335" s="253">
        <v>123966</v>
      </c>
      <c r="R335" s="285">
        <v>14374.513671875</v>
      </c>
      <c r="S335" s="285">
        <v>7226.078125</v>
      </c>
      <c r="T335" s="286">
        <v>23620.89453125</v>
      </c>
    </row>
    <row r="336" spans="2:20">
      <c r="B336" s="249" t="s">
        <v>514</v>
      </c>
      <c r="C336" s="250" t="s">
        <v>121</v>
      </c>
      <c r="D336" s="250" t="s">
        <v>201</v>
      </c>
      <c r="E336" s="251">
        <v>12</v>
      </c>
      <c r="F336" s="251" t="s">
        <v>281</v>
      </c>
      <c r="G336" s="253">
        <v>10629004</v>
      </c>
      <c r="H336" s="253">
        <v>4007644</v>
      </c>
      <c r="I336" s="253">
        <v>20260965</v>
      </c>
      <c r="J336" s="252">
        <v>-2E-3</v>
      </c>
      <c r="K336" s="253">
        <v>8838150</v>
      </c>
      <c r="L336" s="253">
        <v>3107377</v>
      </c>
      <c r="M336" s="253">
        <v>17279430</v>
      </c>
      <c r="N336" s="253">
        <v>1790854</v>
      </c>
      <c r="O336" s="253">
        <v>900267</v>
      </c>
      <c r="P336" s="253">
        <v>2981535</v>
      </c>
      <c r="Q336" s="253">
        <v>93727</v>
      </c>
      <c r="R336" s="285">
        <v>19107.130859375</v>
      </c>
      <c r="S336" s="285">
        <v>9605.2041015625</v>
      </c>
      <c r="T336" s="286">
        <v>31810.84375</v>
      </c>
    </row>
    <row r="337" spans="2:20">
      <c r="B337" s="249" t="s">
        <v>514</v>
      </c>
      <c r="C337" s="250" t="s">
        <v>121</v>
      </c>
      <c r="D337" s="250" t="s">
        <v>201</v>
      </c>
      <c r="E337" s="251">
        <v>13</v>
      </c>
      <c r="F337" s="251" t="s">
        <v>281</v>
      </c>
      <c r="G337" s="253">
        <v>10682144</v>
      </c>
      <c r="H337" s="253">
        <v>4027673</v>
      </c>
      <c r="I337" s="253">
        <v>20362264</v>
      </c>
      <c r="J337" s="252">
        <v>-2E-3</v>
      </c>
      <c r="K337" s="253">
        <v>8872608</v>
      </c>
      <c r="L337" s="253">
        <v>3122911</v>
      </c>
      <c r="M337" s="253">
        <v>17356091</v>
      </c>
      <c r="N337" s="253">
        <v>1809536</v>
      </c>
      <c r="O337" s="253">
        <v>904762</v>
      </c>
      <c r="P337" s="253">
        <v>3006173</v>
      </c>
      <c r="Q337" s="253">
        <v>93727</v>
      </c>
      <c r="R337" s="285">
        <v>19306.453125</v>
      </c>
      <c r="S337" s="285">
        <v>9653.1630859375</v>
      </c>
      <c r="T337" s="286">
        <v>32073.71484375</v>
      </c>
    </row>
    <row r="338" spans="2:20">
      <c r="B338" s="249" t="s">
        <v>514</v>
      </c>
      <c r="C338" s="250" t="s">
        <v>121</v>
      </c>
      <c r="D338" s="250" t="s">
        <v>201</v>
      </c>
      <c r="E338" s="251">
        <v>14</v>
      </c>
      <c r="F338" s="251" t="s">
        <v>281</v>
      </c>
      <c r="G338" s="253">
        <v>10735552</v>
      </c>
      <c r="H338" s="253">
        <v>4047818</v>
      </c>
      <c r="I338" s="253">
        <v>20464078</v>
      </c>
      <c r="J338" s="252">
        <v>-2E-3</v>
      </c>
      <c r="K338" s="253">
        <v>8838746</v>
      </c>
      <c r="L338" s="253">
        <v>3128751</v>
      </c>
      <c r="M338" s="253">
        <v>17345094</v>
      </c>
      <c r="N338" s="253">
        <v>1896806</v>
      </c>
      <c r="O338" s="253">
        <v>919067</v>
      </c>
      <c r="P338" s="253">
        <v>3118984</v>
      </c>
      <c r="Q338" s="253">
        <v>93727</v>
      </c>
      <c r="R338" s="285">
        <v>20237.5625</v>
      </c>
      <c r="S338" s="285">
        <v>9805.787109375</v>
      </c>
      <c r="T338" s="286">
        <v>33277.328125</v>
      </c>
    </row>
    <row r="339" spans="2:20">
      <c r="B339" s="256" t="s">
        <v>514</v>
      </c>
      <c r="C339" s="257" t="s">
        <v>121</v>
      </c>
      <c r="D339" s="257" t="s">
        <v>201</v>
      </c>
      <c r="E339" s="258">
        <v>15</v>
      </c>
      <c r="F339" s="258" t="s">
        <v>281</v>
      </c>
      <c r="G339" s="260">
        <v>10789234</v>
      </c>
      <c r="H339" s="260">
        <v>4068056</v>
      </c>
      <c r="I339" s="260">
        <v>20566406</v>
      </c>
      <c r="J339" s="259">
        <v>-2E-3</v>
      </c>
      <c r="K339" s="260">
        <v>8863292</v>
      </c>
      <c r="L339" s="260">
        <v>3144395</v>
      </c>
      <c r="M339" s="260">
        <v>17412173</v>
      </c>
      <c r="N339" s="260">
        <v>1925942</v>
      </c>
      <c r="O339" s="260">
        <v>923661</v>
      </c>
      <c r="P339" s="260">
        <v>3154233</v>
      </c>
      <c r="Q339" s="260">
        <v>93727</v>
      </c>
      <c r="R339" s="287">
        <v>20548.421875</v>
      </c>
      <c r="S339" s="287">
        <v>9854.8017578125</v>
      </c>
      <c r="T339" s="288">
        <v>33653.40625</v>
      </c>
    </row>
    <row r="340" spans="2:20">
      <c r="B340" s="249" t="s">
        <v>514</v>
      </c>
      <c r="C340" s="250" t="s">
        <v>122</v>
      </c>
      <c r="D340" s="250" t="s">
        <v>502</v>
      </c>
      <c r="E340" s="251">
        <v>1</v>
      </c>
      <c r="F340" s="251" t="s">
        <v>281</v>
      </c>
      <c r="G340" s="253">
        <v>10061566</v>
      </c>
      <c r="H340" s="253">
        <v>3793686</v>
      </c>
      <c r="I340" s="253">
        <v>19179324</v>
      </c>
      <c r="J340" s="252">
        <v>-1.2E-2</v>
      </c>
      <c r="K340" s="253">
        <v>9053587</v>
      </c>
      <c r="L340" s="253">
        <v>3133923</v>
      </c>
      <c r="M340" s="253">
        <v>17914763</v>
      </c>
      <c r="N340" s="253">
        <v>1007979</v>
      </c>
      <c r="O340" s="253">
        <v>659763</v>
      </c>
      <c r="P340" s="253">
        <v>1264561</v>
      </c>
      <c r="Q340" s="253">
        <v>131759</v>
      </c>
      <c r="R340" s="285">
        <v>7650.171875</v>
      </c>
      <c r="S340" s="285">
        <v>5007.3466796875</v>
      </c>
      <c r="T340" s="286">
        <v>9597.5302734375</v>
      </c>
    </row>
    <row r="341" spans="2:20">
      <c r="B341" s="249" t="s">
        <v>514</v>
      </c>
      <c r="C341" s="250" t="s">
        <v>122</v>
      </c>
      <c r="D341" s="250" t="s">
        <v>502</v>
      </c>
      <c r="E341" s="251">
        <v>2</v>
      </c>
      <c r="F341" s="251" t="s">
        <v>281</v>
      </c>
      <c r="G341" s="253">
        <v>10111878</v>
      </c>
      <c r="H341" s="253">
        <v>3812664</v>
      </c>
      <c r="I341" s="253">
        <v>19275228</v>
      </c>
      <c r="J341" s="252">
        <v>-1.2E-2</v>
      </c>
      <c r="K341" s="253">
        <v>9043598</v>
      </c>
      <c r="L341" s="253">
        <v>3140382</v>
      </c>
      <c r="M341" s="253">
        <v>17847781</v>
      </c>
      <c r="N341" s="253">
        <v>1068280</v>
      </c>
      <c r="O341" s="253">
        <v>672282</v>
      </c>
      <c r="P341" s="253">
        <v>1427447</v>
      </c>
      <c r="Q341" s="253">
        <v>273529</v>
      </c>
      <c r="R341" s="285">
        <v>3905.545654296875</v>
      </c>
      <c r="S341" s="285">
        <v>2457.80908203125</v>
      </c>
      <c r="T341" s="286">
        <v>5218.63134765625</v>
      </c>
    </row>
    <row r="342" spans="2:20">
      <c r="B342" s="249" t="s">
        <v>514</v>
      </c>
      <c r="C342" s="250" t="s">
        <v>122</v>
      </c>
      <c r="D342" s="250" t="s">
        <v>502</v>
      </c>
      <c r="E342" s="251">
        <v>3</v>
      </c>
      <c r="F342" s="251" t="s">
        <v>281</v>
      </c>
      <c r="G342" s="253">
        <v>10162434</v>
      </c>
      <c r="H342" s="253">
        <v>3831718</v>
      </c>
      <c r="I342" s="253">
        <v>19371601</v>
      </c>
      <c r="J342" s="252">
        <v>-1.2E-2</v>
      </c>
      <c r="K342" s="253">
        <v>9033281</v>
      </c>
      <c r="L342" s="253">
        <v>3137574</v>
      </c>
      <c r="M342" s="253">
        <v>17788929</v>
      </c>
      <c r="N342" s="253">
        <v>1129153</v>
      </c>
      <c r="O342" s="253">
        <v>694144</v>
      </c>
      <c r="P342" s="253">
        <v>1582672</v>
      </c>
      <c r="Q342" s="253">
        <v>174910</v>
      </c>
      <c r="R342" s="285">
        <v>6455.62255859375</v>
      </c>
      <c r="S342" s="285">
        <v>3968.578125</v>
      </c>
      <c r="T342" s="286">
        <v>9048.4931640625</v>
      </c>
    </row>
    <row r="343" spans="2:20">
      <c r="B343" s="249" t="s">
        <v>514</v>
      </c>
      <c r="C343" s="250" t="s">
        <v>122</v>
      </c>
      <c r="D343" s="250" t="s">
        <v>502</v>
      </c>
      <c r="E343" s="251">
        <v>4</v>
      </c>
      <c r="F343" s="251" t="s">
        <v>281</v>
      </c>
      <c r="G343" s="253">
        <v>10213241</v>
      </c>
      <c r="H343" s="253">
        <v>3850875</v>
      </c>
      <c r="I343" s="253">
        <v>19468451</v>
      </c>
      <c r="J343" s="252">
        <v>-1.2E-2</v>
      </c>
      <c r="K343" s="253">
        <v>8994732</v>
      </c>
      <c r="L343" s="253">
        <v>3125356</v>
      </c>
      <c r="M343" s="253">
        <v>17710439</v>
      </c>
      <c r="N343" s="253">
        <v>1218509</v>
      </c>
      <c r="O343" s="253">
        <v>725519</v>
      </c>
      <c r="P343" s="253">
        <v>1758012</v>
      </c>
      <c r="Q343" s="253">
        <v>174910</v>
      </c>
      <c r="R343" s="285">
        <v>6966.4912109375</v>
      </c>
      <c r="S343" s="285">
        <v>4147.9560546875</v>
      </c>
      <c r="T343" s="286">
        <v>10050.9521484375</v>
      </c>
    </row>
    <row r="344" spans="2:20">
      <c r="B344" s="249" t="s">
        <v>514</v>
      </c>
      <c r="C344" s="250" t="s">
        <v>122</v>
      </c>
      <c r="D344" s="250" t="s">
        <v>502</v>
      </c>
      <c r="E344" s="251">
        <v>5</v>
      </c>
      <c r="F344" s="251" t="s">
        <v>281</v>
      </c>
      <c r="G344" s="253">
        <v>10264319</v>
      </c>
      <c r="H344" s="253">
        <v>3870138</v>
      </c>
      <c r="I344" s="253">
        <v>19565804</v>
      </c>
      <c r="J344" s="252">
        <v>-1.2E-2</v>
      </c>
      <c r="K344" s="253">
        <v>8946224</v>
      </c>
      <c r="L344" s="253">
        <v>3112941</v>
      </c>
      <c r="M344" s="253">
        <v>17583988</v>
      </c>
      <c r="N344" s="253">
        <v>1318095</v>
      </c>
      <c r="O344" s="253">
        <v>757197</v>
      </c>
      <c r="P344" s="253">
        <v>1981816</v>
      </c>
      <c r="Q344" s="253">
        <v>174910</v>
      </c>
      <c r="R344" s="285">
        <v>7535.84716796875</v>
      </c>
      <c r="S344" s="285">
        <v>4329.06640625</v>
      </c>
      <c r="T344" s="286">
        <v>11330.490234375</v>
      </c>
    </row>
    <row r="345" spans="2:20">
      <c r="B345" s="249" t="s">
        <v>514</v>
      </c>
      <c r="C345" s="250" t="s">
        <v>122</v>
      </c>
      <c r="D345" s="250" t="s">
        <v>201</v>
      </c>
      <c r="E345" s="251">
        <v>6</v>
      </c>
      <c r="F345" s="251" t="s">
        <v>281</v>
      </c>
      <c r="G345" s="253">
        <v>10315598</v>
      </c>
      <c r="H345" s="253">
        <v>3889458</v>
      </c>
      <c r="I345" s="253">
        <v>19663590</v>
      </c>
      <c r="J345" s="252">
        <v>-3.0000000000000001E-3</v>
      </c>
      <c r="K345" s="253">
        <v>8972140</v>
      </c>
      <c r="L345" s="253">
        <v>3128486</v>
      </c>
      <c r="M345" s="253">
        <v>17634297</v>
      </c>
      <c r="N345" s="253">
        <v>1343458</v>
      </c>
      <c r="O345" s="253">
        <v>760972</v>
      </c>
      <c r="P345" s="253">
        <v>2029293</v>
      </c>
      <c r="Q345" s="253">
        <v>117911</v>
      </c>
      <c r="R345" s="285">
        <v>11393.8310546875</v>
      </c>
      <c r="S345" s="285">
        <v>6453.783203125</v>
      </c>
      <c r="T345" s="286">
        <v>17210.37890625</v>
      </c>
    </row>
    <row r="346" spans="2:20">
      <c r="B346" s="249" t="s">
        <v>514</v>
      </c>
      <c r="C346" s="250" t="s">
        <v>122</v>
      </c>
      <c r="D346" s="250" t="s">
        <v>201</v>
      </c>
      <c r="E346" s="251">
        <v>7</v>
      </c>
      <c r="F346" s="251" t="s">
        <v>281</v>
      </c>
      <c r="G346" s="253">
        <v>10367187</v>
      </c>
      <c r="H346" s="253">
        <v>3908913</v>
      </c>
      <c r="I346" s="253">
        <v>19761925</v>
      </c>
      <c r="J346" s="252">
        <v>-3.0000000000000001E-3</v>
      </c>
      <c r="K346" s="253">
        <v>8998128</v>
      </c>
      <c r="L346" s="253">
        <v>3134692</v>
      </c>
      <c r="M346" s="253">
        <v>17684714</v>
      </c>
      <c r="N346" s="253">
        <v>1369059</v>
      </c>
      <c r="O346" s="253">
        <v>774221</v>
      </c>
      <c r="P346" s="253">
        <v>2077211</v>
      </c>
      <c r="Q346" s="253">
        <v>90500</v>
      </c>
      <c r="R346" s="285">
        <v>15127.7236328125</v>
      </c>
      <c r="S346" s="285">
        <v>8554.927734375</v>
      </c>
      <c r="T346" s="286">
        <v>22952.607421875</v>
      </c>
    </row>
    <row r="347" spans="2:20">
      <c r="B347" s="249" t="s">
        <v>514</v>
      </c>
      <c r="C347" s="250" t="s">
        <v>122</v>
      </c>
      <c r="D347" s="250" t="s">
        <v>201</v>
      </c>
      <c r="E347" s="251">
        <v>8</v>
      </c>
      <c r="F347" s="251" t="s">
        <v>281</v>
      </c>
      <c r="G347" s="253">
        <v>10419066</v>
      </c>
      <c r="H347" s="253">
        <v>3928489</v>
      </c>
      <c r="I347" s="253">
        <v>19860773</v>
      </c>
      <c r="J347" s="252">
        <v>-3.0000000000000001E-3</v>
      </c>
      <c r="K347" s="253">
        <v>9014675</v>
      </c>
      <c r="L347" s="253">
        <v>3140894</v>
      </c>
      <c r="M347" s="253">
        <v>17687768</v>
      </c>
      <c r="N347" s="253">
        <v>1404391</v>
      </c>
      <c r="O347" s="253">
        <v>787595</v>
      </c>
      <c r="P347" s="253">
        <v>2173005</v>
      </c>
      <c r="Q347" s="253">
        <v>90500</v>
      </c>
      <c r="R347" s="285">
        <v>15518.1318359375</v>
      </c>
      <c r="S347" s="285">
        <v>8702.70703125</v>
      </c>
      <c r="T347" s="286">
        <v>24011.10546875</v>
      </c>
    </row>
    <row r="348" spans="2:20">
      <c r="B348" s="249" t="s">
        <v>514</v>
      </c>
      <c r="C348" s="250" t="s">
        <v>122</v>
      </c>
      <c r="D348" s="250" t="s">
        <v>201</v>
      </c>
      <c r="E348" s="251">
        <v>9</v>
      </c>
      <c r="F348" s="251" t="s">
        <v>281</v>
      </c>
      <c r="G348" s="253">
        <v>10471148</v>
      </c>
      <c r="H348" s="253">
        <v>3948121</v>
      </c>
      <c r="I348" s="253">
        <v>19960069</v>
      </c>
      <c r="J348" s="252">
        <v>-3.0000000000000001E-3</v>
      </c>
      <c r="K348" s="253">
        <v>9050202</v>
      </c>
      <c r="L348" s="253">
        <v>3147058</v>
      </c>
      <c r="M348" s="253">
        <v>17728502</v>
      </c>
      <c r="N348" s="253">
        <v>1420946</v>
      </c>
      <c r="O348" s="253">
        <v>801063</v>
      </c>
      <c r="P348" s="253">
        <v>2231567</v>
      </c>
      <c r="Q348" s="253">
        <v>90500</v>
      </c>
      <c r="R348" s="285">
        <v>15701.0615234375</v>
      </c>
      <c r="S348" s="285">
        <v>8851.525390625</v>
      </c>
      <c r="T348" s="286">
        <v>24658.19921875</v>
      </c>
    </row>
    <row r="349" spans="2:20">
      <c r="B349" s="249" t="s">
        <v>514</v>
      </c>
      <c r="C349" s="250" t="s">
        <v>122</v>
      </c>
      <c r="D349" s="250" t="s">
        <v>201</v>
      </c>
      <c r="E349" s="251">
        <v>10</v>
      </c>
      <c r="F349" s="251" t="s">
        <v>281</v>
      </c>
      <c r="G349" s="253">
        <v>10523506</v>
      </c>
      <c r="H349" s="253">
        <v>3967862</v>
      </c>
      <c r="I349" s="253">
        <v>20059867</v>
      </c>
      <c r="J349" s="252">
        <v>-3.0000000000000001E-3</v>
      </c>
      <c r="K349" s="253">
        <v>9076286</v>
      </c>
      <c r="L349" s="253">
        <v>3162794</v>
      </c>
      <c r="M349" s="253">
        <v>17711727</v>
      </c>
      <c r="N349" s="253">
        <v>1447220</v>
      </c>
      <c r="O349" s="253">
        <v>805068</v>
      </c>
      <c r="P349" s="253">
        <v>2348140</v>
      </c>
      <c r="Q349" s="253">
        <v>90500</v>
      </c>
      <c r="R349" s="285">
        <v>15991.3818359375</v>
      </c>
      <c r="S349" s="285">
        <v>8895.7783203125</v>
      </c>
      <c r="T349" s="286">
        <v>25946.298828125</v>
      </c>
    </row>
    <row r="350" spans="2:20">
      <c r="B350" s="249" t="s">
        <v>514</v>
      </c>
      <c r="C350" s="250" t="s">
        <v>122</v>
      </c>
      <c r="D350" s="250" t="s">
        <v>201</v>
      </c>
      <c r="E350" s="251">
        <v>11</v>
      </c>
      <c r="F350" s="251" t="s">
        <v>281</v>
      </c>
      <c r="G350" s="253">
        <v>10576125</v>
      </c>
      <c r="H350" s="253">
        <v>3987709</v>
      </c>
      <c r="I350" s="253">
        <v>20160174</v>
      </c>
      <c r="J350" s="252">
        <v>-3.0000000000000001E-3</v>
      </c>
      <c r="K350" s="253">
        <v>9083142</v>
      </c>
      <c r="L350" s="253">
        <v>3178609</v>
      </c>
      <c r="M350" s="253">
        <v>17771389</v>
      </c>
      <c r="N350" s="253">
        <v>1492983</v>
      </c>
      <c r="O350" s="253">
        <v>809100</v>
      </c>
      <c r="P350" s="253">
        <v>2388785</v>
      </c>
      <c r="Q350" s="253">
        <v>117911</v>
      </c>
      <c r="R350" s="285">
        <v>12661.9482421875</v>
      </c>
      <c r="S350" s="285">
        <v>6861.955078125</v>
      </c>
      <c r="T350" s="286">
        <v>20259.220703125</v>
      </c>
    </row>
    <row r="351" spans="2:20">
      <c r="B351" s="249" t="s">
        <v>514</v>
      </c>
      <c r="C351" s="250" t="s">
        <v>122</v>
      </c>
      <c r="D351" s="250" t="s">
        <v>201</v>
      </c>
      <c r="E351" s="251">
        <v>12</v>
      </c>
      <c r="F351" s="251" t="s">
        <v>281</v>
      </c>
      <c r="G351" s="253">
        <v>10629004</v>
      </c>
      <c r="H351" s="253">
        <v>4007644</v>
      </c>
      <c r="I351" s="253">
        <v>20260965</v>
      </c>
      <c r="J351" s="252">
        <v>-3.0000000000000001E-3</v>
      </c>
      <c r="K351" s="253">
        <v>9109201</v>
      </c>
      <c r="L351" s="253">
        <v>3184819</v>
      </c>
      <c r="M351" s="253">
        <v>17811847</v>
      </c>
      <c r="N351" s="253">
        <v>1519803</v>
      </c>
      <c r="O351" s="253">
        <v>822825</v>
      </c>
      <c r="P351" s="253">
        <v>2449118</v>
      </c>
      <c r="Q351" s="253">
        <v>90500</v>
      </c>
      <c r="R351" s="285">
        <v>16793.404296875</v>
      </c>
      <c r="S351" s="285">
        <v>9091.98828125</v>
      </c>
      <c r="T351" s="286">
        <v>27062.076171875</v>
      </c>
    </row>
    <row r="352" spans="2:20">
      <c r="B352" s="249" t="s">
        <v>514</v>
      </c>
      <c r="C352" s="250" t="s">
        <v>122</v>
      </c>
      <c r="D352" s="250" t="s">
        <v>201</v>
      </c>
      <c r="E352" s="251">
        <v>13</v>
      </c>
      <c r="F352" s="251" t="s">
        <v>281</v>
      </c>
      <c r="G352" s="253">
        <v>10682144</v>
      </c>
      <c r="H352" s="253">
        <v>4027673</v>
      </c>
      <c r="I352" s="253">
        <v>20362264</v>
      </c>
      <c r="J352" s="252">
        <v>-3.0000000000000001E-3</v>
      </c>
      <c r="K352" s="253">
        <v>9115828</v>
      </c>
      <c r="L352" s="253">
        <v>3191014</v>
      </c>
      <c r="M352" s="253">
        <v>17891173</v>
      </c>
      <c r="N352" s="253">
        <v>1566316</v>
      </c>
      <c r="O352" s="253">
        <v>836659</v>
      </c>
      <c r="P352" s="253">
        <v>2471091</v>
      </c>
      <c r="Q352" s="253">
        <v>90500</v>
      </c>
      <c r="R352" s="285">
        <v>17307.359375</v>
      </c>
      <c r="S352" s="285">
        <v>9244.8515625</v>
      </c>
      <c r="T352" s="286">
        <v>27304.873046875</v>
      </c>
    </row>
    <row r="353" spans="2:23">
      <c r="B353" s="249" t="s">
        <v>514</v>
      </c>
      <c r="C353" s="250" t="s">
        <v>122</v>
      </c>
      <c r="D353" s="250" t="s">
        <v>201</v>
      </c>
      <c r="E353" s="251">
        <v>14</v>
      </c>
      <c r="F353" s="251" t="s">
        <v>281</v>
      </c>
      <c r="G353" s="253">
        <v>10735552</v>
      </c>
      <c r="H353" s="253">
        <v>4047818</v>
      </c>
      <c r="I353" s="253">
        <v>20464078</v>
      </c>
      <c r="J353" s="252">
        <v>-3.0000000000000001E-3</v>
      </c>
      <c r="K353" s="253">
        <v>9122296</v>
      </c>
      <c r="L353" s="253">
        <v>3206967</v>
      </c>
      <c r="M353" s="253">
        <v>17902409</v>
      </c>
      <c r="N353" s="253">
        <v>1613256</v>
      </c>
      <c r="O353" s="253">
        <v>840851</v>
      </c>
      <c r="P353" s="253">
        <v>2561669</v>
      </c>
      <c r="Q353" s="253">
        <v>90500</v>
      </c>
      <c r="R353" s="285">
        <v>17826.033203125</v>
      </c>
      <c r="S353" s="285">
        <v>9291.1708984375</v>
      </c>
      <c r="T353" s="286">
        <v>28305.734375</v>
      </c>
    </row>
    <row r="354" spans="2:23">
      <c r="B354" s="249" t="s">
        <v>514</v>
      </c>
      <c r="C354" s="250" t="s">
        <v>122</v>
      </c>
      <c r="D354" s="250" t="s">
        <v>201</v>
      </c>
      <c r="E354" s="251">
        <v>15</v>
      </c>
      <c r="F354" s="251" t="s">
        <v>281</v>
      </c>
      <c r="G354" s="253">
        <v>10789234</v>
      </c>
      <c r="H354" s="253">
        <v>4068056</v>
      </c>
      <c r="I354" s="253">
        <v>20566406</v>
      </c>
      <c r="J354" s="252">
        <v>-3.0000000000000001E-3</v>
      </c>
      <c r="K354" s="253">
        <v>9148258</v>
      </c>
      <c r="L354" s="253">
        <v>3213178</v>
      </c>
      <c r="M354" s="253">
        <v>17962443</v>
      </c>
      <c r="N354" s="253">
        <v>1640976</v>
      </c>
      <c r="O354" s="253">
        <v>854878</v>
      </c>
      <c r="P354" s="253">
        <v>2603963</v>
      </c>
      <c r="Q354" s="253">
        <v>90500</v>
      </c>
      <c r="R354" s="285">
        <v>18132.33203125</v>
      </c>
      <c r="S354" s="285">
        <v>9446.166015625</v>
      </c>
      <c r="T354" s="286">
        <v>28773.0703125</v>
      </c>
    </row>
    <row r="355" spans="2:23">
      <c r="B355" s="240"/>
      <c r="C355" s="240"/>
      <c r="D355" s="240"/>
      <c r="E355" s="241"/>
      <c r="F355" s="241"/>
      <c r="G355" s="240"/>
      <c r="H355" s="240"/>
      <c r="I355" s="240"/>
      <c r="J355" s="240"/>
      <c r="K355" s="240"/>
      <c r="L355" s="240"/>
      <c r="M355" s="242"/>
      <c r="N355" s="240"/>
      <c r="O355" s="240"/>
      <c r="P355" s="240"/>
      <c r="Q355" s="240"/>
      <c r="R355" s="240"/>
      <c r="S355" s="240"/>
      <c r="T355" s="243"/>
      <c r="U355" s="244"/>
      <c r="V355" s="244"/>
      <c r="W355" s="244"/>
    </row>
    <row r="356" spans="2:23">
      <c r="B356" s="240"/>
      <c r="C356" s="240"/>
      <c r="D356" s="240"/>
      <c r="E356" s="241"/>
      <c r="F356" s="241"/>
      <c r="G356" s="240"/>
      <c r="H356" s="240"/>
      <c r="I356" s="240"/>
      <c r="J356" s="240"/>
      <c r="K356" s="240"/>
      <c r="L356" s="240"/>
      <c r="M356" s="242"/>
      <c r="N356" s="240"/>
      <c r="O356" s="240"/>
      <c r="P356" s="240"/>
      <c r="Q356" s="240"/>
      <c r="R356" s="240"/>
      <c r="S356" s="240"/>
      <c r="T356" s="243"/>
      <c r="U356" s="244"/>
      <c r="V356" s="244"/>
      <c r="W356" s="244"/>
    </row>
    <row r="357" spans="2:23" ht="19.5">
      <c r="B357" s="273" t="s">
        <v>605</v>
      </c>
      <c r="C357" s="240"/>
      <c r="D357" s="240"/>
      <c r="E357" s="241"/>
      <c r="F357" s="241"/>
      <c r="G357" s="240"/>
      <c r="H357" s="240"/>
      <c r="I357" s="240"/>
      <c r="J357" s="240"/>
      <c r="K357" s="240"/>
      <c r="L357" s="240"/>
      <c r="M357" s="242"/>
      <c r="N357" s="240"/>
      <c r="O357" s="240"/>
      <c r="P357" s="240"/>
      <c r="Q357" s="240"/>
      <c r="R357" s="240"/>
      <c r="S357" s="240"/>
      <c r="T357" s="243"/>
      <c r="U357" s="244"/>
      <c r="V357" s="244"/>
      <c r="W357" s="244"/>
    </row>
    <row r="358" spans="2:23" ht="19.5">
      <c r="B358" s="273"/>
      <c r="C358" s="240"/>
      <c r="D358" s="240"/>
      <c r="E358" s="241"/>
      <c r="F358" s="241"/>
      <c r="G358" s="240"/>
      <c r="H358" s="240"/>
      <c r="I358" s="240"/>
      <c r="J358" s="240"/>
      <c r="K358" s="240"/>
      <c r="L358" s="240"/>
      <c r="M358" s="242"/>
      <c r="N358" s="240"/>
      <c r="O358" s="240"/>
      <c r="P358" s="240"/>
      <c r="Q358" s="240"/>
      <c r="R358" s="240"/>
      <c r="S358" s="240"/>
      <c r="T358" s="243"/>
      <c r="U358" s="244"/>
      <c r="V358" s="244"/>
      <c r="W358" s="244"/>
    </row>
    <row r="359" spans="2:23" ht="19.5">
      <c r="B359" s="273"/>
      <c r="C359" s="240"/>
      <c r="D359" s="240"/>
      <c r="E359" s="241"/>
      <c r="F359" s="241"/>
      <c r="G359" s="240"/>
      <c r="H359" s="240"/>
      <c r="I359" s="240"/>
      <c r="J359" s="240"/>
      <c r="K359" s="240"/>
      <c r="L359" s="240"/>
      <c r="M359" s="242"/>
      <c r="N359" s="240"/>
      <c r="O359" s="240"/>
      <c r="P359" s="240"/>
      <c r="Q359" s="240"/>
      <c r="R359" s="240"/>
      <c r="S359" s="240"/>
      <c r="T359" s="243"/>
      <c r="U359" s="244"/>
      <c r="V359" s="244"/>
      <c r="W359" s="244"/>
    </row>
    <row r="360" spans="2:23" ht="19.5">
      <c r="B360" s="273"/>
      <c r="C360" s="240"/>
      <c r="D360" s="240"/>
      <c r="E360" s="241"/>
      <c r="F360" s="241"/>
      <c r="G360" s="240"/>
      <c r="H360" s="240"/>
      <c r="I360" s="240"/>
      <c r="J360" s="240"/>
      <c r="K360" s="240"/>
      <c r="L360" s="240"/>
      <c r="M360" s="242"/>
      <c r="N360" s="240"/>
      <c r="O360" s="240"/>
      <c r="P360" s="240"/>
      <c r="Q360" s="240"/>
      <c r="R360" s="240"/>
      <c r="S360" s="240"/>
      <c r="T360" s="243"/>
      <c r="U360" s="244"/>
      <c r="V360" s="244"/>
      <c r="W360" s="244"/>
    </row>
    <row r="361" spans="2:23" ht="19.5">
      <c r="B361" s="273"/>
      <c r="C361" s="240"/>
      <c r="D361" s="240"/>
      <c r="E361" s="241"/>
      <c r="F361" s="241"/>
      <c r="G361" s="240"/>
      <c r="H361" s="240"/>
      <c r="I361" s="240"/>
      <c r="J361" s="240"/>
      <c r="K361" s="240"/>
      <c r="L361" s="240"/>
      <c r="M361" s="242"/>
      <c r="N361" s="240"/>
      <c r="O361" s="240"/>
      <c r="P361" s="240"/>
      <c r="Q361" s="240"/>
      <c r="R361" s="240"/>
      <c r="S361" s="240"/>
      <c r="T361" s="243"/>
      <c r="U361" s="244"/>
      <c r="V361" s="244"/>
      <c r="W361" s="244"/>
    </row>
    <row r="362" spans="2:23" ht="19.5">
      <c r="B362" s="273"/>
      <c r="C362" s="240"/>
      <c r="D362" s="240"/>
      <c r="E362" s="241"/>
      <c r="F362" s="241"/>
      <c r="G362" s="240"/>
      <c r="H362" s="240"/>
      <c r="I362" s="240"/>
      <c r="J362" s="240"/>
      <c r="K362" s="240"/>
      <c r="L362" s="240"/>
      <c r="M362" s="242"/>
      <c r="N362" s="240"/>
      <c r="O362" s="240"/>
      <c r="P362" s="240"/>
      <c r="Q362" s="240"/>
      <c r="R362" s="240"/>
      <c r="S362" s="240"/>
      <c r="T362" s="243"/>
      <c r="U362" s="244"/>
      <c r="V362" s="244"/>
      <c r="W362" s="244"/>
    </row>
    <row r="363" spans="2:23">
      <c r="B363" s="240"/>
      <c r="C363" s="240"/>
      <c r="D363" s="240"/>
      <c r="E363" s="241"/>
      <c r="F363" s="241"/>
      <c r="G363" s="240"/>
      <c r="H363" s="240"/>
      <c r="I363" s="240"/>
      <c r="J363" s="240"/>
      <c r="K363" s="240"/>
      <c r="L363" s="240"/>
      <c r="M363" s="242"/>
      <c r="N363" s="240"/>
      <c r="O363" s="240"/>
      <c r="P363" s="240"/>
      <c r="Q363" s="240"/>
      <c r="R363" s="240"/>
      <c r="S363" s="240"/>
      <c r="T363" s="243"/>
      <c r="U363" s="244"/>
      <c r="V363" s="244"/>
      <c r="W363" s="244"/>
    </row>
    <row r="364" spans="2:23" ht="84.95" customHeight="1">
      <c r="B364" s="266" t="s">
        <v>499</v>
      </c>
      <c r="C364" s="266" t="s">
        <v>120</v>
      </c>
      <c r="D364" s="266" t="s">
        <v>500</v>
      </c>
      <c r="E364" s="266" t="s">
        <v>198</v>
      </c>
      <c r="F364" s="267" t="s">
        <v>280</v>
      </c>
      <c r="G364" s="246" t="s">
        <v>599</v>
      </c>
      <c r="H364" s="246" t="s">
        <v>600</v>
      </c>
      <c r="I364" s="246" t="s">
        <v>601</v>
      </c>
      <c r="J364" s="246" t="s">
        <v>506</v>
      </c>
      <c r="K364" s="246" t="s">
        <v>602</v>
      </c>
      <c r="L364" s="246" t="s">
        <v>603</v>
      </c>
      <c r="M364" s="246" t="s">
        <v>604</v>
      </c>
      <c r="N364" s="246" t="s">
        <v>594</v>
      </c>
      <c r="O364" s="247" t="s">
        <v>595</v>
      </c>
      <c r="P364" s="247" t="s">
        <v>596</v>
      </c>
      <c r="Q364" s="246" t="s">
        <v>364</v>
      </c>
      <c r="R364" s="246" t="s">
        <v>631</v>
      </c>
      <c r="S364" s="246" t="s">
        <v>632</v>
      </c>
      <c r="T364" s="248" t="s">
        <v>633</v>
      </c>
    </row>
    <row r="365" spans="2:23">
      <c r="B365" s="240" t="s">
        <v>501</v>
      </c>
      <c r="C365" s="240" t="s">
        <v>242</v>
      </c>
      <c r="D365" s="240" t="s">
        <v>502</v>
      </c>
      <c r="E365" s="272" t="s">
        <v>522</v>
      </c>
      <c r="F365" s="241" t="s">
        <v>281</v>
      </c>
      <c r="G365" s="243">
        <v>320523302</v>
      </c>
      <c r="H365" s="243">
        <v>172988000</v>
      </c>
      <c r="I365" s="243">
        <v>528405685</v>
      </c>
      <c r="J365" s="271">
        <v>-0.33</v>
      </c>
      <c r="K365" s="15">
        <v>250555584</v>
      </c>
      <c r="L365" s="243">
        <v>133108091</v>
      </c>
      <c r="M365" s="243">
        <v>417513550</v>
      </c>
      <c r="N365" s="243">
        <v>69967719</v>
      </c>
      <c r="O365" s="243">
        <v>39879909</v>
      </c>
      <c r="P365" s="243">
        <v>110892135</v>
      </c>
      <c r="Q365" s="243">
        <v>4748445</v>
      </c>
      <c r="R365" s="284">
        <v>14734.8701171875</v>
      </c>
      <c r="S365" s="284">
        <v>8398.51953125</v>
      </c>
      <c r="T365" s="284">
        <v>23353.357421875</v>
      </c>
    </row>
    <row r="366" spans="2:23">
      <c r="B366" s="240" t="s">
        <v>501</v>
      </c>
      <c r="C366" s="240" t="s">
        <v>242</v>
      </c>
      <c r="D366" s="240" t="s">
        <v>201</v>
      </c>
      <c r="E366" s="240" t="s">
        <v>524</v>
      </c>
      <c r="F366" s="241" t="s">
        <v>281</v>
      </c>
      <c r="G366" s="243">
        <v>665531729</v>
      </c>
      <c r="H366" s="243">
        <v>359190744</v>
      </c>
      <c r="I366" s="243">
        <v>1097176965</v>
      </c>
      <c r="J366" s="271">
        <v>-0.12399999999999997</v>
      </c>
      <c r="K366" s="15">
        <v>420630912</v>
      </c>
      <c r="L366" s="243">
        <v>223419453</v>
      </c>
      <c r="M366" s="243">
        <v>701289544</v>
      </c>
      <c r="N366" s="243">
        <v>244900814</v>
      </c>
      <c r="O366" s="243">
        <v>135771291</v>
      </c>
      <c r="P366" s="243">
        <v>395887420</v>
      </c>
      <c r="Q366" s="243">
        <v>5273703</v>
      </c>
      <c r="R366" s="284">
        <v>46438.11328125</v>
      </c>
      <c r="S366" s="284">
        <v>25744.962890625</v>
      </c>
      <c r="T366" s="284">
        <v>75068.203125</v>
      </c>
    </row>
    <row r="367" spans="2:23">
      <c r="B367" s="240" t="s">
        <v>501</v>
      </c>
      <c r="C367" s="240" t="s">
        <v>242</v>
      </c>
      <c r="D367" s="240" t="s">
        <v>520</v>
      </c>
      <c r="E367" s="240" t="s">
        <v>523</v>
      </c>
      <c r="F367" s="241" t="s">
        <v>281</v>
      </c>
      <c r="G367" s="243">
        <v>986055031</v>
      </c>
      <c r="H367" s="243">
        <v>532178744</v>
      </c>
      <c r="I367" s="243">
        <v>1625582650</v>
      </c>
      <c r="J367" s="271">
        <v>-0.45400000000000024</v>
      </c>
      <c r="K367" s="15">
        <v>671186496</v>
      </c>
      <c r="L367" s="243">
        <v>356527544</v>
      </c>
      <c r="M367" s="243">
        <v>1118803094</v>
      </c>
      <c r="N367" s="243">
        <v>314868533</v>
      </c>
      <c r="O367" s="243">
        <v>175651200</v>
      </c>
      <c r="P367" s="243">
        <v>506779555</v>
      </c>
      <c r="Q367" s="243">
        <v>10022148</v>
      </c>
      <c r="R367" s="284">
        <v>31417.26953125</v>
      </c>
      <c r="S367" s="284">
        <v>17526.302734375</v>
      </c>
      <c r="T367" s="284">
        <v>50565.9609375</v>
      </c>
    </row>
    <row r="368" spans="2:23">
      <c r="B368" s="240" t="s">
        <v>501</v>
      </c>
      <c r="C368" s="240" t="s">
        <v>282</v>
      </c>
      <c r="D368" s="240" t="s">
        <v>502</v>
      </c>
      <c r="E368" s="272" t="s">
        <v>522</v>
      </c>
      <c r="F368" s="241" t="s">
        <v>281</v>
      </c>
      <c r="G368" s="243">
        <v>320523302</v>
      </c>
      <c r="H368" s="243">
        <v>172988000</v>
      </c>
      <c r="I368" s="243">
        <v>528405685</v>
      </c>
      <c r="J368" s="271">
        <v>-0.182</v>
      </c>
      <c r="K368" s="15">
        <v>274221022</v>
      </c>
      <c r="L368" s="243">
        <v>145402122</v>
      </c>
      <c r="M368" s="243">
        <v>456805074</v>
      </c>
      <c r="N368" s="243">
        <v>46302280</v>
      </c>
      <c r="O368" s="243">
        <v>27585878</v>
      </c>
      <c r="P368" s="243">
        <v>71600610</v>
      </c>
      <c r="Q368" s="243">
        <v>1076644</v>
      </c>
      <c r="R368" s="284">
        <v>43006.1171875</v>
      </c>
      <c r="S368" s="284">
        <v>25622.09765625</v>
      </c>
      <c r="T368" s="284">
        <v>66503.515625</v>
      </c>
    </row>
    <row r="369" spans="2:20">
      <c r="B369" s="240" t="s">
        <v>501</v>
      </c>
      <c r="C369" s="240" t="s">
        <v>282</v>
      </c>
      <c r="D369" s="240" t="s">
        <v>201</v>
      </c>
      <c r="E369" s="240" t="s">
        <v>524</v>
      </c>
      <c r="F369" s="241" t="s">
        <v>281</v>
      </c>
      <c r="G369" s="243">
        <v>665531729</v>
      </c>
      <c r="H369" s="243">
        <v>359190744</v>
      </c>
      <c r="I369" s="243">
        <v>1097176965</v>
      </c>
      <c r="J369" s="271">
        <v>-9.0999999999999984E-2</v>
      </c>
      <c r="K369" s="15">
        <v>503297427</v>
      </c>
      <c r="L369" s="243">
        <v>267099924</v>
      </c>
      <c r="M369" s="243">
        <v>838001344</v>
      </c>
      <c r="N369" s="243">
        <v>162234301</v>
      </c>
      <c r="O369" s="243">
        <v>92090820</v>
      </c>
      <c r="P369" s="243">
        <v>259175618</v>
      </c>
      <c r="Q369" s="243">
        <v>1521688</v>
      </c>
      <c r="R369" s="284">
        <v>106614.6953125</v>
      </c>
      <c r="S369" s="284">
        <v>60518.859375</v>
      </c>
      <c r="T369" s="284">
        <v>170321.125</v>
      </c>
    </row>
    <row r="370" spans="2:20">
      <c r="B370" s="240" t="s">
        <v>501</v>
      </c>
      <c r="C370" s="240" t="s">
        <v>282</v>
      </c>
      <c r="D370" s="240" t="s">
        <v>520</v>
      </c>
      <c r="E370" s="240" t="s">
        <v>523</v>
      </c>
      <c r="F370" s="241" t="s">
        <v>281</v>
      </c>
      <c r="G370" s="243">
        <v>986055031</v>
      </c>
      <c r="H370" s="243">
        <v>532178744</v>
      </c>
      <c r="I370" s="243">
        <v>1625582650</v>
      </c>
      <c r="J370" s="271">
        <v>-0.27299999999999996</v>
      </c>
      <c r="K370" s="15">
        <v>777518449</v>
      </c>
      <c r="L370" s="243">
        <v>412502046</v>
      </c>
      <c r="M370" s="243">
        <v>1294806418</v>
      </c>
      <c r="N370" s="243">
        <v>208536581</v>
      </c>
      <c r="O370" s="243">
        <v>119676698</v>
      </c>
      <c r="P370" s="243">
        <v>330776228</v>
      </c>
      <c r="Q370" s="243">
        <v>2598332</v>
      </c>
      <c r="R370" s="284">
        <v>80257.8671875</v>
      </c>
      <c r="S370" s="284">
        <v>46059.046875</v>
      </c>
      <c r="T370" s="284">
        <v>127303.296875</v>
      </c>
    </row>
    <row r="371" spans="2:20">
      <c r="B371" s="240" t="s">
        <v>501</v>
      </c>
      <c r="C371" s="240" t="s">
        <v>77</v>
      </c>
      <c r="D371" s="240" t="s">
        <v>502</v>
      </c>
      <c r="E371" s="272" t="s">
        <v>522</v>
      </c>
      <c r="F371" s="241" t="s">
        <v>281</v>
      </c>
      <c r="G371" s="243">
        <v>320523302</v>
      </c>
      <c r="H371" s="243">
        <v>172988000</v>
      </c>
      <c r="I371" s="243">
        <v>528405685</v>
      </c>
      <c r="J371" s="271">
        <v>-5.4000000000000006E-2</v>
      </c>
      <c r="K371" s="15">
        <v>294554372</v>
      </c>
      <c r="L371" s="243">
        <v>156018405</v>
      </c>
      <c r="M371" s="243">
        <v>492135109</v>
      </c>
      <c r="N371" s="243">
        <v>25968930</v>
      </c>
      <c r="O371" s="243">
        <v>16969595</v>
      </c>
      <c r="P371" s="243">
        <v>36270576</v>
      </c>
      <c r="Q371" s="243">
        <v>1821516</v>
      </c>
      <c r="R371" s="284">
        <v>14256.767578125</v>
      </c>
      <c r="S371" s="284">
        <v>9316.193359375</v>
      </c>
      <c r="T371" s="284">
        <v>19912.30078125</v>
      </c>
    </row>
    <row r="372" spans="2:20">
      <c r="B372" s="240" t="s">
        <v>501</v>
      </c>
      <c r="C372" s="240" t="s">
        <v>77</v>
      </c>
      <c r="D372" s="240" t="s">
        <v>201</v>
      </c>
      <c r="E372" s="240" t="s">
        <v>524</v>
      </c>
      <c r="F372" s="241" t="s">
        <v>281</v>
      </c>
      <c r="G372" s="243">
        <v>665531729</v>
      </c>
      <c r="H372" s="243">
        <v>359190744</v>
      </c>
      <c r="I372" s="243">
        <v>1097176965</v>
      </c>
      <c r="J372" s="271">
        <v>-8.0000000000000019E-3</v>
      </c>
      <c r="K372" s="15">
        <v>598432039</v>
      </c>
      <c r="L372" s="243">
        <v>316919645</v>
      </c>
      <c r="M372" s="243">
        <v>998787793</v>
      </c>
      <c r="N372" s="243">
        <v>67099690</v>
      </c>
      <c r="O372" s="243">
        <v>42271099</v>
      </c>
      <c r="P372" s="243">
        <v>98389172</v>
      </c>
      <c r="Q372" s="243">
        <v>1794453</v>
      </c>
      <c r="R372" s="284">
        <v>37392.8359375</v>
      </c>
      <c r="S372" s="284">
        <v>23556.537109375</v>
      </c>
      <c r="T372" s="284">
        <v>54829.6171875</v>
      </c>
    </row>
    <row r="373" spans="2:20">
      <c r="B373" s="240" t="s">
        <v>501</v>
      </c>
      <c r="C373" s="240" t="s">
        <v>77</v>
      </c>
      <c r="D373" s="240" t="s">
        <v>520</v>
      </c>
      <c r="E373" s="240" t="s">
        <v>523</v>
      </c>
      <c r="F373" s="241" t="s">
        <v>281</v>
      </c>
      <c r="G373" s="243">
        <v>986055031</v>
      </c>
      <c r="H373" s="243">
        <v>532178744</v>
      </c>
      <c r="I373" s="243">
        <v>1625582650</v>
      </c>
      <c r="J373" s="271">
        <v>-6.2000000000000027E-2</v>
      </c>
      <c r="K373" s="15">
        <v>892986411</v>
      </c>
      <c r="L373" s="243">
        <v>472938050</v>
      </c>
      <c r="M373" s="243">
        <v>1490922902</v>
      </c>
      <c r="N373" s="243">
        <v>93068620</v>
      </c>
      <c r="O373" s="243">
        <v>59240694</v>
      </c>
      <c r="P373" s="243">
        <v>134659748</v>
      </c>
      <c r="Q373" s="243">
        <v>3615969</v>
      </c>
      <c r="R373" s="284">
        <v>25738.224609375</v>
      </c>
      <c r="S373" s="284">
        <v>16383.076171875</v>
      </c>
      <c r="T373" s="284">
        <v>37240.29296875</v>
      </c>
    </row>
    <row r="374" spans="2:20">
      <c r="B374" s="240" t="s">
        <v>501</v>
      </c>
      <c r="C374" s="240" t="s">
        <v>121</v>
      </c>
      <c r="D374" s="240" t="s">
        <v>502</v>
      </c>
      <c r="E374" s="272" t="s">
        <v>522</v>
      </c>
      <c r="F374" s="241" t="s">
        <v>281</v>
      </c>
      <c r="G374" s="243">
        <v>320523302</v>
      </c>
      <c r="H374" s="243">
        <v>172988000</v>
      </c>
      <c r="I374" s="243">
        <v>528405685</v>
      </c>
      <c r="J374" s="271">
        <v>-0.1</v>
      </c>
      <c r="K374" s="15">
        <v>287615132</v>
      </c>
      <c r="L374" s="243">
        <v>152442048</v>
      </c>
      <c r="M374" s="243">
        <v>479797572</v>
      </c>
      <c r="N374" s="243">
        <v>32908170</v>
      </c>
      <c r="O374" s="243">
        <v>20545952</v>
      </c>
      <c r="P374" s="243">
        <v>48608113</v>
      </c>
      <c r="Q374" s="243">
        <v>920267</v>
      </c>
      <c r="R374" s="284">
        <v>35759.37109375</v>
      </c>
      <c r="S374" s="284">
        <v>22326.076171875</v>
      </c>
      <c r="T374" s="284">
        <v>52819.578125</v>
      </c>
    </row>
    <row r="375" spans="2:20">
      <c r="B375" s="240" t="s">
        <v>501</v>
      </c>
      <c r="C375" s="240" t="s">
        <v>121</v>
      </c>
      <c r="D375" s="240" t="s">
        <v>201</v>
      </c>
      <c r="E375" s="240" t="s">
        <v>524</v>
      </c>
      <c r="F375" s="241" t="s">
        <v>281</v>
      </c>
      <c r="G375" s="243">
        <v>665531729</v>
      </c>
      <c r="H375" s="243">
        <v>359190744</v>
      </c>
      <c r="I375" s="243">
        <v>1097176965</v>
      </c>
      <c r="J375" s="271">
        <v>-2.0000000000000004E-2</v>
      </c>
      <c r="K375" s="15">
        <v>569201393</v>
      </c>
      <c r="L375" s="243">
        <v>302490744</v>
      </c>
      <c r="M375" s="243">
        <v>948462448</v>
      </c>
      <c r="N375" s="243">
        <v>96330336</v>
      </c>
      <c r="O375" s="243">
        <v>56700000</v>
      </c>
      <c r="P375" s="243">
        <v>148714517</v>
      </c>
      <c r="Q375" s="243">
        <v>997748</v>
      </c>
      <c r="R375" s="284">
        <v>96547.7578125</v>
      </c>
      <c r="S375" s="284">
        <v>56827.9765625</v>
      </c>
      <c r="T375" s="284">
        <v>149050.171875</v>
      </c>
    </row>
    <row r="376" spans="2:20">
      <c r="B376" s="240" t="s">
        <v>501</v>
      </c>
      <c r="C376" s="240" t="s">
        <v>121</v>
      </c>
      <c r="D376" s="240" t="s">
        <v>520</v>
      </c>
      <c r="E376" s="240" t="s">
        <v>523</v>
      </c>
      <c r="F376" s="241" t="s">
        <v>281</v>
      </c>
      <c r="G376" s="243">
        <v>986055031</v>
      </c>
      <c r="H376" s="243">
        <v>532178744</v>
      </c>
      <c r="I376" s="243">
        <v>1625582650</v>
      </c>
      <c r="J376" s="271">
        <v>-0.12000000000000002</v>
      </c>
      <c r="K376" s="15">
        <v>856816525</v>
      </c>
      <c r="L376" s="243">
        <v>454932792</v>
      </c>
      <c r="M376" s="243">
        <v>1428260020</v>
      </c>
      <c r="N376" s="243">
        <v>129238506</v>
      </c>
      <c r="O376" s="243">
        <v>77245952</v>
      </c>
      <c r="P376" s="243">
        <v>197322630</v>
      </c>
      <c r="Q376" s="243">
        <v>1918015</v>
      </c>
      <c r="R376" s="284">
        <v>67381.3828125</v>
      </c>
      <c r="S376" s="284">
        <v>40273.90234375</v>
      </c>
      <c r="T376" s="284">
        <v>102878.5625</v>
      </c>
    </row>
    <row r="377" spans="2:20">
      <c r="B377" s="240" t="s">
        <v>501</v>
      </c>
      <c r="C377" s="240" t="s">
        <v>122</v>
      </c>
      <c r="D377" s="240" t="s">
        <v>502</v>
      </c>
      <c r="E377" s="272" t="s">
        <v>522</v>
      </c>
      <c r="F377" s="241" t="s">
        <v>281</v>
      </c>
      <c r="G377" s="243">
        <v>320523302</v>
      </c>
      <c r="H377" s="243">
        <v>172988000</v>
      </c>
      <c r="I377" s="243">
        <v>528405685</v>
      </c>
      <c r="J377" s="271">
        <v>-0.06</v>
      </c>
      <c r="K377" s="15">
        <v>293792170</v>
      </c>
      <c r="L377" s="243">
        <v>155535216</v>
      </c>
      <c r="M377" s="243">
        <v>490667215</v>
      </c>
      <c r="N377" s="243">
        <v>26731132</v>
      </c>
      <c r="O377" s="243">
        <v>17452784</v>
      </c>
      <c r="P377" s="243">
        <v>37738470</v>
      </c>
      <c r="Q377" s="243">
        <v>930018</v>
      </c>
      <c r="R377" s="284">
        <v>28742.595703125</v>
      </c>
      <c r="S377" s="284">
        <v>18766.0703125</v>
      </c>
      <c r="T377" s="284">
        <v>40578.21484375</v>
      </c>
    </row>
    <row r="378" spans="2:20">
      <c r="B378" s="240" t="s">
        <v>501</v>
      </c>
      <c r="C378" s="240" t="s">
        <v>122</v>
      </c>
      <c r="D378" s="240" t="s">
        <v>201</v>
      </c>
      <c r="E378" s="240" t="s">
        <v>524</v>
      </c>
      <c r="F378" s="241" t="s">
        <v>281</v>
      </c>
      <c r="G378" s="243">
        <v>665531729</v>
      </c>
      <c r="H378" s="243">
        <v>359190744</v>
      </c>
      <c r="I378" s="243">
        <v>1097176965</v>
      </c>
      <c r="J378" s="271">
        <v>-2.9999999999999995E-2</v>
      </c>
      <c r="K378" s="15">
        <v>588955572</v>
      </c>
      <c r="L378" s="243">
        <v>311986601</v>
      </c>
      <c r="M378" s="243">
        <v>981076428</v>
      </c>
      <c r="N378" s="243">
        <v>76576157</v>
      </c>
      <c r="O378" s="243">
        <v>47204143</v>
      </c>
      <c r="P378" s="243">
        <v>116100537</v>
      </c>
      <c r="Q378" s="243">
        <v>959822</v>
      </c>
      <c r="R378" s="284">
        <v>79781.625</v>
      </c>
      <c r="S378" s="284">
        <v>49180.1015625</v>
      </c>
      <c r="T378" s="284">
        <v>120960.484375</v>
      </c>
    </row>
    <row r="379" spans="2:20">
      <c r="B379" s="240" t="s">
        <v>501</v>
      </c>
      <c r="C379" s="240" t="s">
        <v>122</v>
      </c>
      <c r="D379" s="240" t="s">
        <v>520</v>
      </c>
      <c r="E379" s="240" t="s">
        <v>523</v>
      </c>
      <c r="F379" s="241" t="s">
        <v>281</v>
      </c>
      <c r="G379" s="243">
        <v>986055031</v>
      </c>
      <c r="H379" s="243">
        <v>532178744</v>
      </c>
      <c r="I379" s="243">
        <v>1625582650</v>
      </c>
      <c r="J379" s="271">
        <v>-9.0000000000000024E-2</v>
      </c>
      <c r="K379" s="15">
        <v>882747742</v>
      </c>
      <c r="L379" s="243">
        <v>467521817</v>
      </c>
      <c r="M379" s="243">
        <v>1471743643</v>
      </c>
      <c r="N379" s="243">
        <v>103307289</v>
      </c>
      <c r="O379" s="243">
        <v>64656927</v>
      </c>
      <c r="P379" s="243">
        <v>153839007</v>
      </c>
      <c r="Q379" s="243">
        <v>1889840</v>
      </c>
      <c r="R379" s="284">
        <v>54664.5703125</v>
      </c>
      <c r="S379" s="284">
        <v>34212.91015625</v>
      </c>
      <c r="T379" s="284">
        <v>81403.1875</v>
      </c>
    </row>
    <row r="380" spans="2:20">
      <c r="B380" s="240" t="s">
        <v>513</v>
      </c>
      <c r="C380" s="240" t="s">
        <v>242</v>
      </c>
      <c r="D380" s="240" t="s">
        <v>502</v>
      </c>
      <c r="E380" s="272" t="s">
        <v>522</v>
      </c>
      <c r="F380" s="241" t="s">
        <v>281</v>
      </c>
      <c r="G380" s="243">
        <v>269709864</v>
      </c>
      <c r="H380" s="243">
        <v>153828919</v>
      </c>
      <c r="I380" s="243">
        <v>431545277</v>
      </c>
      <c r="J380" s="271">
        <v>-0.33</v>
      </c>
      <c r="K380" s="15">
        <v>212014078</v>
      </c>
      <c r="L380" s="243">
        <v>119464806</v>
      </c>
      <c r="M380" s="243">
        <v>341808846</v>
      </c>
      <c r="N380" s="243">
        <v>57695785</v>
      </c>
      <c r="O380" s="243">
        <v>34364113</v>
      </c>
      <c r="P380" s="243">
        <v>89736431</v>
      </c>
      <c r="Q380" s="243">
        <v>4748445</v>
      </c>
      <c r="R380" s="284">
        <v>12150.458984375</v>
      </c>
      <c r="S380" s="284">
        <v>7236.91943359375</v>
      </c>
      <c r="T380" s="284">
        <v>18898.06640625</v>
      </c>
    </row>
    <row r="381" spans="2:20">
      <c r="B381" s="240" t="s">
        <v>513</v>
      </c>
      <c r="C381" s="240" t="s">
        <v>242</v>
      </c>
      <c r="D381" s="240" t="s">
        <v>201</v>
      </c>
      <c r="E381" s="240" t="s">
        <v>524</v>
      </c>
      <c r="F381" s="241" t="s">
        <v>281</v>
      </c>
      <c r="G381" s="243">
        <v>560023165</v>
      </c>
      <c r="H381" s="243">
        <v>319409001</v>
      </c>
      <c r="I381" s="243">
        <v>896056854</v>
      </c>
      <c r="J381" s="271">
        <v>-0.12399999999999997</v>
      </c>
      <c r="K381" s="15">
        <v>355911988</v>
      </c>
      <c r="L381" s="243">
        <v>200653210</v>
      </c>
      <c r="M381" s="243">
        <v>574162288</v>
      </c>
      <c r="N381" s="243">
        <v>204111176</v>
      </c>
      <c r="O381" s="243">
        <v>118755791</v>
      </c>
      <c r="P381" s="243">
        <v>321894564</v>
      </c>
      <c r="Q381" s="243">
        <v>5273703</v>
      </c>
      <c r="R381" s="284">
        <v>38703.578125</v>
      </c>
      <c r="S381" s="284">
        <v>22518.482421875</v>
      </c>
      <c r="T381" s="284">
        <v>61037.67578125</v>
      </c>
    </row>
    <row r="382" spans="2:20">
      <c r="B382" s="240" t="s">
        <v>513</v>
      </c>
      <c r="C382" s="240" t="s">
        <v>242</v>
      </c>
      <c r="D382" s="240" t="s">
        <v>520</v>
      </c>
      <c r="E382" s="240" t="s">
        <v>523</v>
      </c>
      <c r="F382" s="241" t="s">
        <v>281</v>
      </c>
      <c r="G382" s="243">
        <v>829733029</v>
      </c>
      <c r="H382" s="243">
        <v>473237920</v>
      </c>
      <c r="I382" s="243">
        <v>1327602131</v>
      </c>
      <c r="J382" s="271">
        <v>-0.45400000000000024</v>
      </c>
      <c r="K382" s="15">
        <v>567926066</v>
      </c>
      <c r="L382" s="243">
        <v>320118016</v>
      </c>
      <c r="M382" s="243">
        <v>915971134</v>
      </c>
      <c r="N382" s="243">
        <v>261806961</v>
      </c>
      <c r="O382" s="243">
        <v>153119904</v>
      </c>
      <c r="P382" s="243">
        <v>411630995</v>
      </c>
      <c r="Q382" s="243">
        <v>10022148</v>
      </c>
      <c r="R382" s="284">
        <v>26122.83984375</v>
      </c>
      <c r="S382" s="284">
        <v>15278.15234375</v>
      </c>
      <c r="T382" s="284">
        <v>41072.1328125</v>
      </c>
    </row>
    <row r="383" spans="2:20">
      <c r="B383" s="240" t="s">
        <v>513</v>
      </c>
      <c r="C383" s="240" t="s">
        <v>282</v>
      </c>
      <c r="D383" s="240" t="s">
        <v>502</v>
      </c>
      <c r="E383" s="272" t="s">
        <v>522</v>
      </c>
      <c r="F383" s="241" t="s">
        <v>281</v>
      </c>
      <c r="G383" s="243">
        <v>269709864</v>
      </c>
      <c r="H383" s="243">
        <v>153828919</v>
      </c>
      <c r="I383" s="243">
        <v>431545277</v>
      </c>
      <c r="J383" s="271">
        <v>-0.182</v>
      </c>
      <c r="K383" s="15">
        <v>232039888</v>
      </c>
      <c r="L383" s="243">
        <v>130597727</v>
      </c>
      <c r="M383" s="243">
        <v>374024138</v>
      </c>
      <c r="N383" s="243">
        <v>37669976</v>
      </c>
      <c r="O383" s="243">
        <v>23231192</v>
      </c>
      <c r="P383" s="243">
        <v>57521139</v>
      </c>
      <c r="Q383" s="243">
        <v>1076644</v>
      </c>
      <c r="R383" s="284">
        <v>34988.33203125</v>
      </c>
      <c r="S383" s="284">
        <v>21577.412109375</v>
      </c>
      <c r="T383" s="284">
        <v>53426.33203125</v>
      </c>
    </row>
    <row r="384" spans="2:20">
      <c r="B384" s="240" t="s">
        <v>513</v>
      </c>
      <c r="C384" s="240" t="s">
        <v>282</v>
      </c>
      <c r="D384" s="240" t="s">
        <v>201</v>
      </c>
      <c r="E384" s="240" t="s">
        <v>524</v>
      </c>
      <c r="F384" s="241" t="s">
        <v>281</v>
      </c>
      <c r="G384" s="243">
        <v>560023165</v>
      </c>
      <c r="H384" s="243">
        <v>319409001</v>
      </c>
      <c r="I384" s="243">
        <v>896056854</v>
      </c>
      <c r="J384" s="271">
        <v>-9.0999999999999984E-2</v>
      </c>
      <c r="K384" s="15">
        <v>425752533</v>
      </c>
      <c r="L384" s="243">
        <v>239637256</v>
      </c>
      <c r="M384" s="243">
        <v>685918706</v>
      </c>
      <c r="N384" s="243">
        <v>134270632</v>
      </c>
      <c r="O384" s="243">
        <v>79771745</v>
      </c>
      <c r="P384" s="243">
        <v>210138150</v>
      </c>
      <c r="Q384" s="243">
        <v>1521688</v>
      </c>
      <c r="R384" s="284">
        <v>88237.953125</v>
      </c>
      <c r="S384" s="284">
        <v>52423.1953125</v>
      </c>
      <c r="T384" s="284">
        <v>138095.421875</v>
      </c>
    </row>
    <row r="385" spans="2:20">
      <c r="B385" s="240" t="s">
        <v>513</v>
      </c>
      <c r="C385" s="240" t="s">
        <v>282</v>
      </c>
      <c r="D385" s="240" t="s">
        <v>520</v>
      </c>
      <c r="E385" s="240" t="s">
        <v>523</v>
      </c>
      <c r="F385" s="241" t="s">
        <v>281</v>
      </c>
      <c r="G385" s="243">
        <v>829733029</v>
      </c>
      <c r="H385" s="243">
        <v>473237920</v>
      </c>
      <c r="I385" s="243">
        <v>1327602131</v>
      </c>
      <c r="J385" s="271">
        <v>-0.27299999999999996</v>
      </c>
      <c r="K385" s="15">
        <v>657792421</v>
      </c>
      <c r="L385" s="243">
        <v>370234983</v>
      </c>
      <c r="M385" s="243">
        <v>1059942844</v>
      </c>
      <c r="N385" s="243">
        <v>171940608</v>
      </c>
      <c r="O385" s="243">
        <v>103002937</v>
      </c>
      <c r="P385" s="243">
        <v>267659289</v>
      </c>
      <c r="Q385" s="243">
        <v>2598332</v>
      </c>
      <c r="R385" s="284">
        <v>66173.453125</v>
      </c>
      <c r="S385" s="284">
        <v>39641.9453125</v>
      </c>
      <c r="T385" s="284">
        <v>103011.96875</v>
      </c>
    </row>
    <row r="386" spans="2:20">
      <c r="B386" s="240" t="s">
        <v>513</v>
      </c>
      <c r="C386" s="240" t="s">
        <v>77</v>
      </c>
      <c r="D386" s="240" t="s">
        <v>502</v>
      </c>
      <c r="E386" s="272" t="s">
        <v>522</v>
      </c>
      <c r="F386" s="241" t="s">
        <v>281</v>
      </c>
      <c r="G386" s="243">
        <v>269709864</v>
      </c>
      <c r="H386" s="243">
        <v>153828919</v>
      </c>
      <c r="I386" s="243">
        <v>431545277</v>
      </c>
      <c r="J386" s="271">
        <v>-5.4000000000000006E-2</v>
      </c>
      <c r="K386" s="15">
        <v>249371511</v>
      </c>
      <c r="L386" s="243">
        <v>140312416</v>
      </c>
      <c r="M386" s="243">
        <v>403001454</v>
      </c>
      <c r="N386" s="243">
        <v>20338353</v>
      </c>
      <c r="O386" s="243">
        <v>13516503</v>
      </c>
      <c r="P386" s="243">
        <v>28543823</v>
      </c>
      <c r="Q386" s="243">
        <v>1821516</v>
      </c>
      <c r="R386" s="284">
        <v>11165.6181640625</v>
      </c>
      <c r="S386" s="284">
        <v>7420.46875</v>
      </c>
      <c r="T386" s="284">
        <v>15670.3662109375</v>
      </c>
    </row>
    <row r="387" spans="2:20">
      <c r="B387" s="240" t="s">
        <v>513</v>
      </c>
      <c r="C387" s="240" t="s">
        <v>77</v>
      </c>
      <c r="D387" s="240" t="s">
        <v>201</v>
      </c>
      <c r="E387" s="240" t="s">
        <v>524</v>
      </c>
      <c r="F387" s="241" t="s">
        <v>281</v>
      </c>
      <c r="G387" s="243">
        <v>560023165</v>
      </c>
      <c r="H387" s="243">
        <v>319409001</v>
      </c>
      <c r="I387" s="243">
        <v>896056854</v>
      </c>
      <c r="J387" s="271">
        <v>-8.0000000000000019E-3</v>
      </c>
      <c r="K387" s="15">
        <v>506311857</v>
      </c>
      <c r="L387" s="243">
        <v>284845471</v>
      </c>
      <c r="M387" s="243">
        <v>817784676</v>
      </c>
      <c r="N387" s="243">
        <v>53711308</v>
      </c>
      <c r="O387" s="243">
        <v>34563530</v>
      </c>
      <c r="P387" s="243">
        <v>78272178</v>
      </c>
      <c r="Q387" s="243">
        <v>1794453</v>
      </c>
      <c r="R387" s="284">
        <v>29931.85546875</v>
      </c>
      <c r="S387" s="284">
        <v>19261.318359375</v>
      </c>
      <c r="T387" s="284">
        <v>43618.9609375</v>
      </c>
    </row>
    <row r="388" spans="2:20">
      <c r="B388" s="240" t="s">
        <v>513</v>
      </c>
      <c r="C388" s="240" t="s">
        <v>77</v>
      </c>
      <c r="D388" s="240" t="s">
        <v>520</v>
      </c>
      <c r="E388" s="240" t="s">
        <v>523</v>
      </c>
      <c r="F388" s="241" t="s">
        <v>281</v>
      </c>
      <c r="G388" s="243">
        <v>829733029</v>
      </c>
      <c r="H388" s="243">
        <v>473237920</v>
      </c>
      <c r="I388" s="243">
        <v>1327602131</v>
      </c>
      <c r="J388" s="271">
        <v>-6.2000000000000027E-2</v>
      </c>
      <c r="K388" s="15">
        <v>755683368</v>
      </c>
      <c r="L388" s="243">
        <v>425157887</v>
      </c>
      <c r="M388" s="243">
        <v>1220786130</v>
      </c>
      <c r="N388" s="243">
        <v>74049661</v>
      </c>
      <c r="O388" s="243">
        <v>48080033</v>
      </c>
      <c r="P388" s="243">
        <v>106816001</v>
      </c>
      <c r="Q388" s="243">
        <v>3615969</v>
      </c>
      <c r="R388" s="284">
        <v>20478.51171875</v>
      </c>
      <c r="S388" s="284">
        <v>13296.5830078125</v>
      </c>
      <c r="T388" s="284">
        <v>29540.076171875</v>
      </c>
    </row>
    <row r="389" spans="2:20">
      <c r="B389" s="240" t="s">
        <v>513</v>
      </c>
      <c r="C389" s="240" t="s">
        <v>121</v>
      </c>
      <c r="D389" s="240" t="s">
        <v>502</v>
      </c>
      <c r="E389" s="272" t="s">
        <v>522</v>
      </c>
      <c r="F389" s="241" t="s">
        <v>281</v>
      </c>
      <c r="G389" s="243">
        <v>269709864</v>
      </c>
      <c r="H389" s="243">
        <v>153828919</v>
      </c>
      <c r="I389" s="243">
        <v>431545277</v>
      </c>
      <c r="J389" s="271">
        <v>-0.1</v>
      </c>
      <c r="K389" s="15">
        <v>243398969</v>
      </c>
      <c r="L389" s="243">
        <v>137015071</v>
      </c>
      <c r="M389" s="243">
        <v>392894012</v>
      </c>
      <c r="N389" s="243">
        <v>26310895</v>
      </c>
      <c r="O389" s="243">
        <v>16813848</v>
      </c>
      <c r="P389" s="243">
        <v>38651265</v>
      </c>
      <c r="Q389" s="243">
        <v>920267</v>
      </c>
      <c r="R389" s="284">
        <v>28590.501953125</v>
      </c>
      <c r="S389" s="284">
        <v>18270.619140625</v>
      </c>
      <c r="T389" s="284">
        <v>42000.0546875</v>
      </c>
    </row>
    <row r="390" spans="2:20">
      <c r="B390" s="240" t="s">
        <v>513</v>
      </c>
      <c r="C390" s="240" t="s">
        <v>121</v>
      </c>
      <c r="D390" s="240" t="s">
        <v>201</v>
      </c>
      <c r="E390" s="240" t="s">
        <v>524</v>
      </c>
      <c r="F390" s="241" t="s">
        <v>281</v>
      </c>
      <c r="G390" s="243">
        <v>560023165</v>
      </c>
      <c r="H390" s="243">
        <v>319409001</v>
      </c>
      <c r="I390" s="243">
        <v>896056854</v>
      </c>
      <c r="J390" s="271">
        <v>-2.0000000000000004E-2</v>
      </c>
      <c r="K390" s="15">
        <v>481496236</v>
      </c>
      <c r="L390" s="243">
        <v>271579924</v>
      </c>
      <c r="M390" s="243">
        <v>776539164</v>
      </c>
      <c r="N390" s="243">
        <v>78526929</v>
      </c>
      <c r="O390" s="243">
        <v>47829077</v>
      </c>
      <c r="P390" s="243">
        <v>119517690</v>
      </c>
      <c r="Q390" s="243">
        <v>997748</v>
      </c>
      <c r="R390" s="284">
        <v>78704.171875</v>
      </c>
      <c r="S390" s="284">
        <v>47937.03125</v>
      </c>
      <c r="T390" s="284">
        <v>119787.453125</v>
      </c>
    </row>
    <row r="391" spans="2:20">
      <c r="B391" s="240" t="s">
        <v>513</v>
      </c>
      <c r="C391" s="240" t="s">
        <v>121</v>
      </c>
      <c r="D391" s="240" t="s">
        <v>520</v>
      </c>
      <c r="E391" s="240" t="s">
        <v>523</v>
      </c>
      <c r="F391" s="241" t="s">
        <v>281</v>
      </c>
      <c r="G391" s="243">
        <v>829733029</v>
      </c>
      <c r="H391" s="243">
        <v>473237920</v>
      </c>
      <c r="I391" s="243">
        <v>1327602131</v>
      </c>
      <c r="J391" s="271">
        <v>-0.12000000000000002</v>
      </c>
      <c r="K391" s="15">
        <v>724895205</v>
      </c>
      <c r="L391" s="243">
        <v>408594995</v>
      </c>
      <c r="M391" s="243">
        <v>1169433176</v>
      </c>
      <c r="N391" s="243">
        <v>104837824</v>
      </c>
      <c r="O391" s="243">
        <v>64642925</v>
      </c>
      <c r="P391" s="243">
        <v>158168955</v>
      </c>
      <c r="Q391" s="243">
        <v>1918015</v>
      </c>
      <c r="R391" s="284">
        <v>54659.54296875</v>
      </c>
      <c r="S391" s="284">
        <v>33703.03515625</v>
      </c>
      <c r="T391" s="284">
        <v>82464.921875</v>
      </c>
    </row>
    <row r="392" spans="2:20">
      <c r="B392" s="240" t="s">
        <v>513</v>
      </c>
      <c r="C392" s="240" t="s">
        <v>122</v>
      </c>
      <c r="D392" s="240" t="s">
        <v>502</v>
      </c>
      <c r="E392" s="272" t="s">
        <v>522</v>
      </c>
      <c r="F392" s="241" t="s">
        <v>281</v>
      </c>
      <c r="G392" s="243">
        <v>269709864</v>
      </c>
      <c r="H392" s="243">
        <v>153828919</v>
      </c>
      <c r="I392" s="243">
        <v>431545277</v>
      </c>
      <c r="J392" s="271">
        <v>-0.06</v>
      </c>
      <c r="K392" s="15">
        <v>248720748</v>
      </c>
      <c r="L392" s="243">
        <v>139885040</v>
      </c>
      <c r="M392" s="243">
        <v>401821315</v>
      </c>
      <c r="N392" s="243">
        <v>20989116</v>
      </c>
      <c r="O392" s="243">
        <v>13943879</v>
      </c>
      <c r="P392" s="243">
        <v>29723962</v>
      </c>
      <c r="Q392" s="243">
        <v>930018</v>
      </c>
      <c r="R392" s="284">
        <v>22568.505859375</v>
      </c>
      <c r="S392" s="284">
        <v>14993.1279296875</v>
      </c>
      <c r="T392" s="284">
        <v>31960.630859375</v>
      </c>
    </row>
    <row r="393" spans="2:20">
      <c r="B393" s="240" t="s">
        <v>513</v>
      </c>
      <c r="C393" s="240" t="s">
        <v>122</v>
      </c>
      <c r="D393" s="240" t="s">
        <v>201</v>
      </c>
      <c r="E393" s="240" t="s">
        <v>524</v>
      </c>
      <c r="F393" s="241" t="s">
        <v>281</v>
      </c>
      <c r="G393" s="243">
        <v>560023165</v>
      </c>
      <c r="H393" s="243">
        <v>319409001</v>
      </c>
      <c r="I393" s="243">
        <v>896056854</v>
      </c>
      <c r="J393" s="271">
        <v>-2.9999999999999995E-2</v>
      </c>
      <c r="K393" s="15">
        <v>498265416</v>
      </c>
      <c r="L393" s="243">
        <v>280298090</v>
      </c>
      <c r="M393" s="243">
        <v>803290159</v>
      </c>
      <c r="N393" s="243">
        <v>61757749</v>
      </c>
      <c r="O393" s="243">
        <v>39110911</v>
      </c>
      <c r="P393" s="243">
        <v>92766695</v>
      </c>
      <c r="Q393" s="243">
        <v>959822</v>
      </c>
      <c r="R393" s="284">
        <v>64342.91796875</v>
      </c>
      <c r="S393" s="284">
        <v>40748.0859375</v>
      </c>
      <c r="T393" s="284">
        <v>96649.890625</v>
      </c>
    </row>
    <row r="394" spans="2:20">
      <c r="B394" s="240" t="s">
        <v>513</v>
      </c>
      <c r="C394" s="240" t="s">
        <v>122</v>
      </c>
      <c r="D394" s="240" t="s">
        <v>520</v>
      </c>
      <c r="E394" s="240" t="s">
        <v>523</v>
      </c>
      <c r="F394" s="241" t="s">
        <v>281</v>
      </c>
      <c r="G394" s="243">
        <v>829733029</v>
      </c>
      <c r="H394" s="243">
        <v>473237920</v>
      </c>
      <c r="I394" s="243">
        <v>1327602131</v>
      </c>
      <c r="J394" s="271">
        <v>-9.0000000000000024E-2</v>
      </c>
      <c r="K394" s="15">
        <v>746986164</v>
      </c>
      <c r="L394" s="243">
        <v>420183130</v>
      </c>
      <c r="M394" s="243">
        <v>1205111474</v>
      </c>
      <c r="N394" s="243">
        <v>82746865</v>
      </c>
      <c r="O394" s="243">
        <v>53054790</v>
      </c>
      <c r="P394" s="243">
        <v>122490657</v>
      </c>
      <c r="Q394" s="243">
        <v>1889840</v>
      </c>
      <c r="R394" s="284">
        <v>43785.1171875</v>
      </c>
      <c r="S394" s="284">
        <v>28073.693359375</v>
      </c>
      <c r="T394" s="284">
        <v>64815.359375</v>
      </c>
    </row>
    <row r="395" spans="2:20">
      <c r="B395" s="240" t="s">
        <v>514</v>
      </c>
      <c r="C395" s="240" t="s">
        <v>242</v>
      </c>
      <c r="D395" s="240" t="s">
        <v>502</v>
      </c>
      <c r="E395" s="272" t="s">
        <v>522</v>
      </c>
      <c r="F395" s="241" t="s">
        <v>281</v>
      </c>
      <c r="G395" s="243">
        <v>50813438</v>
      </c>
      <c r="H395" s="243">
        <v>19159081</v>
      </c>
      <c r="I395" s="243">
        <v>96860408</v>
      </c>
      <c r="J395" s="271">
        <v>-0.33</v>
      </c>
      <c r="K395" s="15">
        <v>38541506</v>
      </c>
      <c r="L395" s="243">
        <v>13643285</v>
      </c>
      <c r="M395" s="243">
        <v>75704704</v>
      </c>
      <c r="N395" s="243">
        <v>12271932</v>
      </c>
      <c r="O395" s="243">
        <v>5515796</v>
      </c>
      <c r="P395" s="243">
        <v>21155704</v>
      </c>
      <c r="Q395" s="243">
        <v>4748445</v>
      </c>
      <c r="R395" s="284">
        <v>2584.41064453125</v>
      </c>
      <c r="S395" s="284">
        <v>1161.6004638671875</v>
      </c>
      <c r="T395" s="284">
        <v>4455.291015625</v>
      </c>
    </row>
    <row r="396" spans="2:20">
      <c r="B396" s="240" t="s">
        <v>514</v>
      </c>
      <c r="C396" s="240" t="s">
        <v>242</v>
      </c>
      <c r="D396" s="240" t="s">
        <v>201</v>
      </c>
      <c r="E396" s="240" t="s">
        <v>524</v>
      </c>
      <c r="F396" s="241" t="s">
        <v>281</v>
      </c>
      <c r="G396" s="243">
        <v>105508564</v>
      </c>
      <c r="H396" s="243">
        <v>39781743</v>
      </c>
      <c r="I396" s="243">
        <v>201120111</v>
      </c>
      <c r="J396" s="271">
        <v>-0.12399999999999997</v>
      </c>
      <c r="K396" s="15">
        <v>64718924</v>
      </c>
      <c r="L396" s="243">
        <v>22766243</v>
      </c>
      <c r="M396" s="243">
        <v>127127256</v>
      </c>
      <c r="N396" s="243">
        <v>40789640</v>
      </c>
      <c r="O396" s="243">
        <v>17015500</v>
      </c>
      <c r="P396" s="243">
        <v>73992855</v>
      </c>
      <c r="Q396" s="243">
        <v>5273703</v>
      </c>
      <c r="R396" s="284">
        <v>7734.53515625</v>
      </c>
      <c r="S396" s="284">
        <v>3226.48046875</v>
      </c>
      <c r="T396" s="284">
        <v>14030.53125</v>
      </c>
    </row>
    <row r="397" spans="2:20">
      <c r="B397" s="240" t="s">
        <v>514</v>
      </c>
      <c r="C397" s="240" t="s">
        <v>242</v>
      </c>
      <c r="D397" s="240" t="s">
        <v>520</v>
      </c>
      <c r="E397" s="240" t="s">
        <v>523</v>
      </c>
      <c r="F397" s="241" t="s">
        <v>281</v>
      </c>
      <c r="G397" s="243">
        <v>156322002</v>
      </c>
      <c r="H397" s="243">
        <v>58940824</v>
      </c>
      <c r="I397" s="243">
        <v>297980519</v>
      </c>
      <c r="J397" s="271">
        <v>-0.45400000000000024</v>
      </c>
      <c r="K397" s="15">
        <v>103260430</v>
      </c>
      <c r="L397" s="243">
        <v>36409528</v>
      </c>
      <c r="M397" s="243">
        <v>202831960</v>
      </c>
      <c r="N397" s="243">
        <v>53061572</v>
      </c>
      <c r="O397" s="243">
        <v>22531296</v>
      </c>
      <c r="P397" s="243">
        <v>95148559</v>
      </c>
      <c r="Q397" s="243">
        <v>10022148</v>
      </c>
      <c r="R397" s="284">
        <v>5294.43115234375</v>
      </c>
      <c r="S397" s="284">
        <v>2248.150390625</v>
      </c>
      <c r="T397" s="284">
        <v>9493.8291015625</v>
      </c>
    </row>
    <row r="398" spans="2:20">
      <c r="B398" s="240" t="s">
        <v>514</v>
      </c>
      <c r="C398" s="240" t="s">
        <v>282</v>
      </c>
      <c r="D398" s="240" t="s">
        <v>502</v>
      </c>
      <c r="E398" s="272" t="s">
        <v>522</v>
      </c>
      <c r="F398" s="241" t="s">
        <v>281</v>
      </c>
      <c r="G398" s="243">
        <v>50813438</v>
      </c>
      <c r="H398" s="243">
        <v>19159081</v>
      </c>
      <c r="I398" s="243">
        <v>96860408</v>
      </c>
      <c r="J398" s="271">
        <v>-0.182</v>
      </c>
      <c r="K398" s="15">
        <v>42181134</v>
      </c>
      <c r="L398" s="243">
        <v>14804395</v>
      </c>
      <c r="M398" s="243">
        <v>82780936</v>
      </c>
      <c r="N398" s="243">
        <v>8632304</v>
      </c>
      <c r="O398" s="243">
        <v>4354686</v>
      </c>
      <c r="P398" s="243">
        <v>14079472</v>
      </c>
      <c r="Q398" s="243">
        <v>1076644</v>
      </c>
      <c r="R398" s="284">
        <v>8017.78857421875</v>
      </c>
      <c r="S398" s="284">
        <v>4044.68505859375</v>
      </c>
      <c r="T398" s="284">
        <v>13077.1845703125</v>
      </c>
    </row>
    <row r="399" spans="2:20">
      <c r="B399" s="240" t="s">
        <v>514</v>
      </c>
      <c r="C399" s="240" t="s">
        <v>282</v>
      </c>
      <c r="D399" s="240" t="s">
        <v>201</v>
      </c>
      <c r="E399" s="240" t="s">
        <v>524</v>
      </c>
      <c r="F399" s="241" t="s">
        <v>281</v>
      </c>
      <c r="G399" s="243">
        <v>105508564</v>
      </c>
      <c r="H399" s="243">
        <v>39781743</v>
      </c>
      <c r="I399" s="243">
        <v>201120111</v>
      </c>
      <c r="J399" s="271">
        <v>-9.0999999999999984E-2</v>
      </c>
      <c r="K399" s="15">
        <v>77544894</v>
      </c>
      <c r="L399" s="243">
        <v>27462668</v>
      </c>
      <c r="M399" s="243">
        <v>152082638</v>
      </c>
      <c r="N399" s="243">
        <v>27963670</v>
      </c>
      <c r="O399" s="243">
        <v>12319075</v>
      </c>
      <c r="P399" s="243">
        <v>49037473</v>
      </c>
      <c r="Q399" s="243">
        <v>1521688</v>
      </c>
      <c r="R399" s="284">
        <v>18376.744140625</v>
      </c>
      <c r="S399" s="284">
        <v>8095.6640625</v>
      </c>
      <c r="T399" s="284">
        <v>32225.70703125</v>
      </c>
    </row>
    <row r="400" spans="2:20">
      <c r="B400" s="240" t="s">
        <v>514</v>
      </c>
      <c r="C400" s="240" t="s">
        <v>282</v>
      </c>
      <c r="D400" s="240" t="s">
        <v>520</v>
      </c>
      <c r="E400" s="240" t="s">
        <v>523</v>
      </c>
      <c r="F400" s="241" t="s">
        <v>281</v>
      </c>
      <c r="G400" s="243">
        <v>156322002</v>
      </c>
      <c r="H400" s="243">
        <v>58940824</v>
      </c>
      <c r="I400" s="243">
        <v>297980519</v>
      </c>
      <c r="J400" s="271">
        <v>-0.27299999999999996</v>
      </c>
      <c r="K400" s="15">
        <v>119726028</v>
      </c>
      <c r="L400" s="243">
        <v>42267063</v>
      </c>
      <c r="M400" s="243">
        <v>234863574</v>
      </c>
      <c r="N400" s="243">
        <v>36595974</v>
      </c>
      <c r="O400" s="243">
        <v>16673761</v>
      </c>
      <c r="P400" s="243">
        <v>63116945</v>
      </c>
      <c r="Q400" s="243">
        <v>2598332</v>
      </c>
      <c r="R400" s="284">
        <v>14084.41015625</v>
      </c>
      <c r="S400" s="284">
        <v>6417.10205078125</v>
      </c>
      <c r="T400" s="284">
        <v>24291.33203125</v>
      </c>
    </row>
    <row r="401" spans="2:23">
      <c r="B401" s="240" t="s">
        <v>514</v>
      </c>
      <c r="C401" s="240" t="s">
        <v>77</v>
      </c>
      <c r="D401" s="240" t="s">
        <v>502</v>
      </c>
      <c r="E401" s="272" t="s">
        <v>522</v>
      </c>
      <c r="F401" s="241" t="s">
        <v>281</v>
      </c>
      <c r="G401" s="243">
        <v>50813438</v>
      </c>
      <c r="H401" s="243">
        <v>19159081</v>
      </c>
      <c r="I401" s="243">
        <v>96860408</v>
      </c>
      <c r="J401" s="271">
        <v>-5.4000000000000006E-2</v>
      </c>
      <c r="K401" s="15">
        <v>45182861</v>
      </c>
      <c r="L401" s="243">
        <v>15705989</v>
      </c>
      <c r="M401" s="243">
        <v>89133655</v>
      </c>
      <c r="N401" s="243">
        <v>5630577</v>
      </c>
      <c r="O401" s="243">
        <v>3453092</v>
      </c>
      <c r="P401" s="243">
        <v>7726753</v>
      </c>
      <c r="Q401" s="243">
        <v>1821516</v>
      </c>
      <c r="R401" s="284">
        <v>3091.148681640625</v>
      </c>
      <c r="S401" s="284">
        <v>1895.7242431640625</v>
      </c>
      <c r="T401" s="284">
        <v>4241.93505859375</v>
      </c>
    </row>
    <row r="402" spans="2:23">
      <c r="B402" s="240" t="s">
        <v>514</v>
      </c>
      <c r="C402" s="240" t="s">
        <v>77</v>
      </c>
      <c r="D402" s="240" t="s">
        <v>201</v>
      </c>
      <c r="E402" s="240" t="s">
        <v>524</v>
      </c>
      <c r="F402" s="241" t="s">
        <v>281</v>
      </c>
      <c r="G402" s="243">
        <v>105508564</v>
      </c>
      <c r="H402" s="243">
        <v>39781743</v>
      </c>
      <c r="I402" s="243">
        <v>201120111</v>
      </c>
      <c r="J402" s="271">
        <v>-8.0000000000000019E-3</v>
      </c>
      <c r="K402" s="15">
        <v>92120182</v>
      </c>
      <c r="L402" s="243">
        <v>32074174</v>
      </c>
      <c r="M402" s="243">
        <v>181003117</v>
      </c>
      <c r="N402" s="243">
        <v>13388382</v>
      </c>
      <c r="O402" s="243">
        <v>7707569</v>
      </c>
      <c r="P402" s="243">
        <v>20116994</v>
      </c>
      <c r="Q402" s="243">
        <v>1794453</v>
      </c>
      <c r="R402" s="284">
        <v>7460.982421875</v>
      </c>
      <c r="S402" s="284">
        <v>4295.21923828125</v>
      </c>
      <c r="T402" s="284">
        <v>11210.6552734375</v>
      </c>
    </row>
    <row r="403" spans="2:23">
      <c r="B403" s="240" t="s">
        <v>514</v>
      </c>
      <c r="C403" s="240" t="s">
        <v>77</v>
      </c>
      <c r="D403" s="240" t="s">
        <v>520</v>
      </c>
      <c r="E403" s="240" t="s">
        <v>523</v>
      </c>
      <c r="F403" s="241" t="s">
        <v>281</v>
      </c>
      <c r="G403" s="243">
        <v>156322002</v>
      </c>
      <c r="H403" s="243">
        <v>58940824</v>
      </c>
      <c r="I403" s="243">
        <v>297980519</v>
      </c>
      <c r="J403" s="271">
        <v>-6.2000000000000027E-2</v>
      </c>
      <c r="K403" s="15">
        <v>137303043</v>
      </c>
      <c r="L403" s="243">
        <v>47780163</v>
      </c>
      <c r="M403" s="243">
        <v>270136772</v>
      </c>
      <c r="N403" s="243">
        <v>19018959</v>
      </c>
      <c r="O403" s="243">
        <v>11160661</v>
      </c>
      <c r="P403" s="243">
        <v>27843747</v>
      </c>
      <c r="Q403" s="243">
        <v>3615969</v>
      </c>
      <c r="R403" s="284">
        <v>5259.712890625</v>
      </c>
      <c r="S403" s="284">
        <v>3086.492431640625</v>
      </c>
      <c r="T403" s="284">
        <v>7700.21728515625</v>
      </c>
    </row>
    <row r="404" spans="2:23">
      <c r="B404" s="240" t="s">
        <v>514</v>
      </c>
      <c r="C404" s="240" t="s">
        <v>121</v>
      </c>
      <c r="D404" s="240" t="s">
        <v>502</v>
      </c>
      <c r="E404" s="272" t="s">
        <v>522</v>
      </c>
      <c r="F404" s="241" t="s">
        <v>281</v>
      </c>
      <c r="G404" s="243">
        <v>50813438</v>
      </c>
      <c r="H404" s="243">
        <v>19159081</v>
      </c>
      <c r="I404" s="243">
        <v>96860408</v>
      </c>
      <c r="J404" s="271">
        <v>-0.1</v>
      </c>
      <c r="K404" s="15">
        <v>44216163</v>
      </c>
      <c r="L404" s="243">
        <v>15426977</v>
      </c>
      <c r="M404" s="243">
        <v>86903560</v>
      </c>
      <c r="N404" s="243">
        <v>6597275</v>
      </c>
      <c r="O404" s="243">
        <v>3732104</v>
      </c>
      <c r="P404" s="243">
        <v>9956848</v>
      </c>
      <c r="Q404" s="243">
        <v>920267</v>
      </c>
      <c r="R404" s="284">
        <v>7168.87060546875</v>
      </c>
      <c r="S404" s="284">
        <v>4055.457763671875</v>
      </c>
      <c r="T404" s="284">
        <v>10819.5205078125</v>
      </c>
    </row>
    <row r="405" spans="2:23">
      <c r="B405" s="240" t="s">
        <v>514</v>
      </c>
      <c r="C405" s="240" t="s">
        <v>121</v>
      </c>
      <c r="D405" s="240" t="s">
        <v>201</v>
      </c>
      <c r="E405" s="240" t="s">
        <v>524</v>
      </c>
      <c r="F405" s="241" t="s">
        <v>281</v>
      </c>
      <c r="G405" s="243">
        <v>105508564</v>
      </c>
      <c r="H405" s="243">
        <v>39781743</v>
      </c>
      <c r="I405" s="243">
        <v>201120111</v>
      </c>
      <c r="J405" s="271">
        <v>-2.0000000000000004E-2</v>
      </c>
      <c r="K405" s="15">
        <v>87705157</v>
      </c>
      <c r="L405" s="243">
        <v>30910820</v>
      </c>
      <c r="M405" s="243">
        <v>171923284</v>
      </c>
      <c r="N405" s="243">
        <v>17803407</v>
      </c>
      <c r="O405" s="243">
        <v>8870923</v>
      </c>
      <c r="P405" s="243">
        <v>29196827</v>
      </c>
      <c r="Q405" s="243">
        <v>997748</v>
      </c>
      <c r="R405" s="284">
        <v>17843.58984375</v>
      </c>
      <c r="S405" s="284">
        <v>8890.9453125</v>
      </c>
      <c r="T405" s="284">
        <v>29262.7265625</v>
      </c>
    </row>
    <row r="406" spans="2:23">
      <c r="B406" s="240" t="s">
        <v>514</v>
      </c>
      <c r="C406" s="240" t="s">
        <v>121</v>
      </c>
      <c r="D406" s="240" t="s">
        <v>520</v>
      </c>
      <c r="E406" s="240" t="s">
        <v>523</v>
      </c>
      <c r="F406" s="241" t="s">
        <v>281</v>
      </c>
      <c r="G406" s="243">
        <v>156322002</v>
      </c>
      <c r="H406" s="243">
        <v>58940824</v>
      </c>
      <c r="I406" s="243">
        <v>297980519</v>
      </c>
      <c r="J406" s="271">
        <v>-0.12000000000000002</v>
      </c>
      <c r="K406" s="15">
        <v>131921320</v>
      </c>
      <c r="L406" s="243">
        <v>46337797</v>
      </c>
      <c r="M406" s="243">
        <v>258826844</v>
      </c>
      <c r="N406" s="243">
        <v>24400682</v>
      </c>
      <c r="O406" s="243">
        <v>12603027</v>
      </c>
      <c r="P406" s="243">
        <v>39153675</v>
      </c>
      <c r="Q406" s="243">
        <v>1918015</v>
      </c>
      <c r="R406" s="284">
        <v>12721.8408203125</v>
      </c>
      <c r="S406" s="284">
        <v>6570.8701171875</v>
      </c>
      <c r="T406" s="284">
        <v>20413.64453125</v>
      </c>
    </row>
    <row r="407" spans="2:23">
      <c r="B407" s="240" t="s">
        <v>514</v>
      </c>
      <c r="C407" s="240" t="s">
        <v>122</v>
      </c>
      <c r="D407" s="240" t="s">
        <v>502</v>
      </c>
      <c r="E407" s="272" t="s">
        <v>522</v>
      </c>
      <c r="F407" s="241" t="s">
        <v>281</v>
      </c>
      <c r="G407" s="243">
        <v>50813438</v>
      </c>
      <c r="H407" s="243">
        <v>19159081</v>
      </c>
      <c r="I407" s="243">
        <v>96860408</v>
      </c>
      <c r="J407" s="271">
        <v>-0.06</v>
      </c>
      <c r="K407" s="15">
        <v>45071422</v>
      </c>
      <c r="L407" s="243">
        <v>15650176</v>
      </c>
      <c r="M407" s="243">
        <v>88845900</v>
      </c>
      <c r="N407" s="243">
        <v>5742016</v>
      </c>
      <c r="O407" s="243">
        <v>3508905</v>
      </c>
      <c r="P407" s="243">
        <v>8014508</v>
      </c>
      <c r="Q407" s="243">
        <v>930018</v>
      </c>
      <c r="R407" s="284">
        <v>6174.09130859375</v>
      </c>
      <c r="S407" s="284">
        <v>3772.943115234375</v>
      </c>
      <c r="T407" s="284">
        <v>8617.583984375</v>
      </c>
    </row>
    <row r="408" spans="2:23">
      <c r="B408" s="240" t="s">
        <v>514</v>
      </c>
      <c r="C408" s="240" t="s">
        <v>122</v>
      </c>
      <c r="D408" s="240" t="s">
        <v>201</v>
      </c>
      <c r="E408" s="240" t="s">
        <v>524</v>
      </c>
      <c r="F408" s="241" t="s">
        <v>281</v>
      </c>
      <c r="G408" s="243">
        <v>105508564</v>
      </c>
      <c r="H408" s="243">
        <v>39781743</v>
      </c>
      <c r="I408" s="243">
        <v>201120111</v>
      </c>
      <c r="J408" s="271">
        <v>-2.9999999999999995E-2</v>
      </c>
      <c r="K408" s="15">
        <v>90690156</v>
      </c>
      <c r="L408" s="243">
        <v>31688511</v>
      </c>
      <c r="M408" s="243">
        <v>177786269</v>
      </c>
      <c r="N408" s="243">
        <v>14818408</v>
      </c>
      <c r="O408" s="243">
        <v>8093232</v>
      </c>
      <c r="P408" s="243">
        <v>23333842</v>
      </c>
      <c r="Q408" s="243">
        <v>959822</v>
      </c>
      <c r="R408" s="284">
        <v>15438.7041015625</v>
      </c>
      <c r="S408" s="284">
        <v>8432.013671875</v>
      </c>
      <c r="T408" s="284">
        <v>24310.59375</v>
      </c>
    </row>
    <row r="409" spans="2:23">
      <c r="B409" s="240" t="s">
        <v>514</v>
      </c>
      <c r="C409" s="240" t="s">
        <v>122</v>
      </c>
      <c r="D409" s="240" t="s">
        <v>520</v>
      </c>
      <c r="E409" s="240" t="s">
        <v>523</v>
      </c>
      <c r="F409" s="241" t="s">
        <v>281</v>
      </c>
      <c r="G409" s="243">
        <v>156322002</v>
      </c>
      <c r="H409" s="243">
        <v>58940824</v>
      </c>
      <c r="I409" s="243">
        <v>297980519</v>
      </c>
      <c r="J409" s="271">
        <v>-9.0000000000000024E-2</v>
      </c>
      <c r="K409" s="15">
        <v>135761578</v>
      </c>
      <c r="L409" s="243">
        <v>47338687</v>
      </c>
      <c r="M409" s="243">
        <v>266632169</v>
      </c>
      <c r="N409" s="243">
        <v>20560424</v>
      </c>
      <c r="O409" s="243">
        <v>11602137</v>
      </c>
      <c r="P409" s="243">
        <v>31348350</v>
      </c>
      <c r="Q409" s="243">
        <v>1889840</v>
      </c>
      <c r="R409" s="284">
        <v>10879.4521484375</v>
      </c>
      <c r="S409" s="284">
        <v>6139.21630859375</v>
      </c>
      <c r="T409" s="284">
        <v>16587.83203125</v>
      </c>
    </row>
    <row r="410" spans="2:23">
      <c r="B410" s="240"/>
      <c r="C410" s="240"/>
      <c r="D410" s="240"/>
      <c r="E410" s="241"/>
      <c r="F410" s="241"/>
      <c r="G410" s="240"/>
      <c r="H410" s="240"/>
      <c r="I410" s="240"/>
      <c r="J410" s="240"/>
      <c r="K410" s="240"/>
      <c r="L410" s="240"/>
      <c r="M410" s="242"/>
      <c r="N410" s="240"/>
      <c r="O410" s="240"/>
      <c r="P410" s="240"/>
      <c r="Q410" s="240"/>
      <c r="R410" s="240"/>
      <c r="S410" s="240"/>
      <c r="T410" s="243"/>
      <c r="U410" s="244"/>
      <c r="V410" s="244"/>
      <c r="W410" s="244"/>
    </row>
    <row r="411" spans="2:23">
      <c r="B411" s="240"/>
      <c r="C411" s="240"/>
      <c r="D411" s="240"/>
      <c r="E411" s="241"/>
      <c r="F411" s="241"/>
      <c r="G411" s="240"/>
      <c r="H411" s="240"/>
      <c r="I411" s="240"/>
      <c r="J411" s="240"/>
      <c r="K411" s="240"/>
      <c r="L411" s="240"/>
      <c r="M411" s="242"/>
      <c r="N411" s="240"/>
      <c r="O411" s="240"/>
      <c r="P411" s="240"/>
      <c r="Q411" s="240"/>
      <c r="R411" s="240"/>
      <c r="S411" s="240"/>
      <c r="T411" s="243"/>
      <c r="U411" s="244"/>
      <c r="V411" s="244"/>
      <c r="W411" s="244"/>
    </row>
  </sheetData>
  <pageMargins left="0.7" right="0.7" top="0.75" bottom="0.75" header="0.3" footer="0.3"/>
  <pageSetup orientation="portrait" horizontalDpi="0" verticalDpi="0"/>
  <drawing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442"/>
  <sheetViews>
    <sheetView workbookViewId="0"/>
  </sheetViews>
  <sheetFormatPr defaultColWidth="8.85546875" defaultRowHeight="15"/>
  <cols>
    <col min="1" max="1" width="8.85546875" style="1"/>
    <col min="2" max="2" width="44.140625" style="1" customWidth="1"/>
    <col min="3" max="3" width="40.28515625" style="1" customWidth="1"/>
    <col min="4" max="4" width="22.7109375" style="1" customWidth="1"/>
    <col min="5" max="5" width="30.7109375" style="1" customWidth="1"/>
    <col min="6" max="6" width="28.140625" style="1" customWidth="1"/>
    <col min="7" max="7" width="27.28515625" style="1" customWidth="1"/>
    <col min="8" max="8" width="25" style="1" customWidth="1"/>
    <col min="9" max="9" width="27.140625" style="1" customWidth="1"/>
    <col min="10" max="10" width="25.28515625" style="1" customWidth="1"/>
    <col min="11" max="12" width="27.28515625" style="1" customWidth="1"/>
    <col min="13" max="13" width="25.28515625" style="1" customWidth="1"/>
    <col min="14" max="14" width="26.42578125" style="1" customWidth="1"/>
    <col min="15" max="15" width="26.7109375" style="1" customWidth="1"/>
    <col min="16" max="16" width="25.85546875" style="1" customWidth="1"/>
    <col min="17" max="17" width="20.42578125" style="1" customWidth="1"/>
    <col min="18" max="18" width="28.28515625" style="1" customWidth="1"/>
    <col min="19" max="19" width="26.7109375" style="1" customWidth="1"/>
    <col min="20" max="20" width="29.140625" style="1" customWidth="1"/>
    <col min="21" max="21" width="45.85546875" style="1" customWidth="1"/>
    <col min="22" max="22" width="57.28515625" style="1" customWidth="1"/>
    <col min="23" max="23" width="57.42578125" style="1" customWidth="1"/>
    <col min="24" max="24" width="16.42578125" style="1" bestFit="1" customWidth="1"/>
    <col min="25" max="25" width="17.42578125" style="1" bestFit="1" customWidth="1"/>
    <col min="26" max="26" width="16.7109375" style="1" bestFit="1" customWidth="1"/>
    <col min="27" max="27" width="18.140625" style="1" bestFit="1" customWidth="1"/>
    <col min="28" max="28" width="17.42578125" style="1" bestFit="1" customWidth="1"/>
    <col min="29" max="29" width="18.140625" style="1" bestFit="1" customWidth="1"/>
    <col min="30" max="30" width="19" style="1" bestFit="1" customWidth="1"/>
    <col min="31" max="31" width="18.28515625" style="1" bestFit="1" customWidth="1"/>
    <col min="32" max="32" width="19.7109375" style="1" bestFit="1" customWidth="1"/>
    <col min="33" max="33" width="40.28515625" style="1" customWidth="1"/>
    <col min="34" max="34" width="6.42578125" style="1" bestFit="1" customWidth="1"/>
    <col min="35" max="35" width="13.42578125" style="1" bestFit="1" customWidth="1"/>
    <col min="36" max="36" width="12.140625" style="1" bestFit="1" customWidth="1"/>
    <col min="37" max="37" width="17.42578125" style="1" bestFit="1" customWidth="1"/>
    <col min="38" max="38" width="15.85546875" style="1" bestFit="1" customWidth="1"/>
    <col min="39" max="39" width="16.42578125" style="1" bestFit="1" customWidth="1"/>
    <col min="40" max="40" width="17.42578125" style="1" bestFit="1" customWidth="1"/>
    <col min="41" max="41" width="16.7109375" style="1" bestFit="1" customWidth="1"/>
    <col min="42" max="42" width="18.140625" style="1" bestFit="1" customWidth="1"/>
    <col min="43" max="43" width="17.42578125" style="1" bestFit="1" customWidth="1"/>
    <col min="44" max="44" width="18.140625" style="1" bestFit="1" customWidth="1"/>
    <col min="45" max="45" width="19" style="1" bestFit="1" customWidth="1"/>
    <col min="46" max="46" width="18.28515625" style="1" bestFit="1" customWidth="1"/>
    <col min="47" max="47" width="19.7109375" style="1" bestFit="1" customWidth="1"/>
    <col min="48" max="16384" width="8.85546875" style="1"/>
  </cols>
  <sheetData>
    <row r="2" spans="2:2" ht="23.25">
      <c r="B2" s="163" t="s">
        <v>607</v>
      </c>
    </row>
    <row r="4" spans="2:2" ht="15.75">
      <c r="B4" s="283"/>
    </row>
    <row r="6" spans="2:2" ht="15.75">
      <c r="B6" s="282"/>
    </row>
    <row r="7" spans="2:2" ht="15.75">
      <c r="B7" s="282"/>
    </row>
    <row r="8" spans="2:2" ht="15.75">
      <c r="B8" s="282"/>
    </row>
    <row r="9" spans="2:2" ht="15.75">
      <c r="B9" s="282"/>
    </row>
    <row r="10" spans="2:2" ht="15.75">
      <c r="B10" s="282"/>
    </row>
    <row r="11" spans="2:2" ht="19.5">
      <c r="B11" s="273" t="s">
        <v>527</v>
      </c>
    </row>
    <row r="12" spans="2:2" ht="15.75">
      <c r="B12" s="282"/>
    </row>
    <row r="13" spans="2:2" ht="15.75">
      <c r="B13" s="282"/>
    </row>
    <row r="14" spans="2:2" ht="15.75">
      <c r="B14" s="282"/>
    </row>
    <row r="15" spans="2:2" ht="15.75">
      <c r="B15" s="282"/>
    </row>
    <row r="16" spans="2:2" ht="15.75">
      <c r="B16" s="282"/>
    </row>
    <row r="17" spans="2:15" ht="15.75">
      <c r="B17" s="282"/>
    </row>
    <row r="18" spans="2:15" ht="15.75">
      <c r="B18" s="282"/>
    </row>
    <row r="19" spans="2:15" ht="15.75">
      <c r="B19" s="282"/>
    </row>
    <row r="20" spans="2:15" ht="15.75">
      <c r="B20" s="282"/>
    </row>
    <row r="21" spans="2:15" ht="15.75">
      <c r="B21" s="282"/>
    </row>
    <row r="22" spans="2:15" ht="15.75">
      <c r="B22" s="282"/>
    </row>
    <row r="23" spans="2:15" ht="15.75">
      <c r="B23" s="282"/>
    </row>
    <row r="24" spans="2:15" ht="15.75">
      <c r="B24" s="282"/>
    </row>
    <row r="25" spans="2:15" ht="15.75">
      <c r="B25" s="282"/>
    </row>
    <row r="26" spans="2:15" ht="15.75">
      <c r="B26" s="282"/>
    </row>
    <row r="31" spans="2:15">
      <c r="B31" s="263" t="s">
        <v>250</v>
      </c>
      <c r="C31" s="263" t="s">
        <v>516</v>
      </c>
      <c r="D31" s="263" t="s">
        <v>526</v>
      </c>
      <c r="E31" s="263" t="s">
        <v>501</v>
      </c>
      <c r="F31" s="263" t="s">
        <v>513</v>
      </c>
      <c r="G31" s="263" t="s">
        <v>514</v>
      </c>
      <c r="J31"/>
      <c r="K31"/>
      <c r="L31"/>
    </row>
    <row r="32" spans="2:15" ht="35.1" customHeight="1">
      <c r="B32" s="293" t="s">
        <v>279</v>
      </c>
      <c r="C32" s="294" t="s">
        <v>559</v>
      </c>
      <c r="D32" s="295">
        <v>1</v>
      </c>
      <c r="E32" s="295" t="s">
        <v>515</v>
      </c>
      <c r="F32" s="295" t="s">
        <v>515</v>
      </c>
      <c r="G32" s="296"/>
      <c r="I32"/>
      <c r="J32"/>
      <c r="K32"/>
      <c r="L32"/>
      <c r="O32"/>
    </row>
    <row r="33" spans="2:26" ht="36" customHeight="1">
      <c r="B33" s="293" t="s">
        <v>270</v>
      </c>
      <c r="C33" s="294" t="s">
        <v>549</v>
      </c>
      <c r="D33" s="295">
        <v>2</v>
      </c>
      <c r="E33" s="295" t="s">
        <v>515</v>
      </c>
      <c r="F33" s="295" t="s">
        <v>515</v>
      </c>
      <c r="G33" s="295" t="s">
        <v>515</v>
      </c>
      <c r="I33"/>
      <c r="J33"/>
      <c r="K33"/>
      <c r="L33"/>
      <c r="O33"/>
    </row>
    <row r="34" spans="2:26">
      <c r="B34" s="293" t="s">
        <v>268</v>
      </c>
      <c r="C34" s="294" t="s">
        <v>547</v>
      </c>
      <c r="D34" s="295">
        <v>3</v>
      </c>
      <c r="E34" s="295" t="s">
        <v>515</v>
      </c>
      <c r="F34" s="295" t="s">
        <v>515</v>
      </c>
      <c r="G34" s="295"/>
      <c r="I34"/>
      <c r="J34"/>
      <c r="K34"/>
      <c r="L34"/>
      <c r="O34"/>
    </row>
    <row r="35" spans="2:26">
      <c r="B35" s="293" t="s">
        <v>271</v>
      </c>
      <c r="C35" s="294" t="s">
        <v>550</v>
      </c>
      <c r="D35" s="295">
        <v>4</v>
      </c>
      <c r="E35" s="295" t="s">
        <v>515</v>
      </c>
      <c r="F35" s="295" t="s">
        <v>515</v>
      </c>
      <c r="G35" s="295"/>
      <c r="I35"/>
      <c r="J35"/>
      <c r="K35"/>
      <c r="L35"/>
      <c r="O35"/>
      <c r="Y35"/>
      <c r="Z35"/>
    </row>
    <row r="36" spans="2:26">
      <c r="B36" s="293" t="s">
        <v>260</v>
      </c>
      <c r="C36" s="294" t="s">
        <v>539</v>
      </c>
      <c r="D36" s="295">
        <v>5</v>
      </c>
      <c r="E36" s="295" t="s">
        <v>515</v>
      </c>
      <c r="F36" s="295" t="s">
        <v>515</v>
      </c>
      <c r="G36" s="295"/>
      <c r="I36" s="279"/>
      <c r="J36"/>
      <c r="K36"/>
      <c r="L36"/>
      <c r="O36"/>
    </row>
    <row r="37" spans="2:26">
      <c r="B37" s="293" t="s">
        <v>266</v>
      </c>
      <c r="C37" s="294" t="s">
        <v>545</v>
      </c>
      <c r="D37" s="295">
        <v>6</v>
      </c>
      <c r="E37" s="295" t="s">
        <v>515</v>
      </c>
      <c r="F37" s="295" t="s">
        <v>515</v>
      </c>
      <c r="G37" s="295"/>
      <c r="I37"/>
      <c r="J37"/>
      <c r="K37"/>
      <c r="L37"/>
      <c r="O37"/>
    </row>
    <row r="38" spans="2:26">
      <c r="B38" s="293" t="s">
        <v>277</v>
      </c>
      <c r="C38" s="294" t="s">
        <v>557</v>
      </c>
      <c r="D38" s="295">
        <v>7</v>
      </c>
      <c r="E38" s="295" t="s">
        <v>515</v>
      </c>
      <c r="F38" s="295" t="s">
        <v>515</v>
      </c>
      <c r="G38" s="295"/>
      <c r="I38"/>
      <c r="J38"/>
      <c r="K38"/>
      <c r="L38"/>
      <c r="O38"/>
    </row>
    <row r="39" spans="2:26">
      <c r="B39" s="293" t="s">
        <v>258</v>
      </c>
      <c r="C39" s="294" t="s">
        <v>537</v>
      </c>
      <c r="D39" s="295">
        <v>8</v>
      </c>
      <c r="E39" s="295" t="s">
        <v>515</v>
      </c>
      <c r="F39" s="295" t="s">
        <v>515</v>
      </c>
      <c r="G39" s="295"/>
      <c r="J39"/>
      <c r="K39"/>
      <c r="L39"/>
      <c r="O39"/>
    </row>
    <row r="40" spans="2:26">
      <c r="B40" s="293" t="s">
        <v>269</v>
      </c>
      <c r="C40" s="294" t="s">
        <v>548</v>
      </c>
      <c r="D40" s="295">
        <v>9</v>
      </c>
      <c r="E40" s="295" t="s">
        <v>515</v>
      </c>
      <c r="F40" s="295" t="s">
        <v>515</v>
      </c>
      <c r="G40" s="295"/>
      <c r="J40"/>
      <c r="K40"/>
      <c r="L40"/>
      <c r="O40"/>
    </row>
    <row r="41" spans="2:26">
      <c r="B41" s="293" t="s">
        <v>273</v>
      </c>
      <c r="C41" s="294" t="s">
        <v>553</v>
      </c>
      <c r="D41" s="295">
        <v>10</v>
      </c>
      <c r="E41" s="295" t="s">
        <v>515</v>
      </c>
      <c r="F41" s="295" t="s">
        <v>515</v>
      </c>
      <c r="G41" s="295"/>
      <c r="J41"/>
      <c r="K41"/>
      <c r="L41"/>
      <c r="O41"/>
    </row>
    <row r="42" spans="2:26">
      <c r="B42" s="293" t="s">
        <v>278</v>
      </c>
      <c r="C42" s="294" t="s">
        <v>558</v>
      </c>
      <c r="D42" s="295">
        <v>11</v>
      </c>
      <c r="E42" s="295" t="s">
        <v>515</v>
      </c>
      <c r="F42" s="295" t="s">
        <v>515</v>
      </c>
      <c r="G42" s="295" t="s">
        <v>515</v>
      </c>
      <c r="J42"/>
      <c r="K42"/>
      <c r="L42"/>
      <c r="O42"/>
    </row>
    <row r="43" spans="2:26">
      <c r="B43" s="293" t="s">
        <v>256</v>
      </c>
      <c r="C43" s="294" t="s">
        <v>535</v>
      </c>
      <c r="D43" s="295">
        <v>12</v>
      </c>
      <c r="E43" s="295" t="s">
        <v>515</v>
      </c>
      <c r="F43" s="295" t="s">
        <v>515</v>
      </c>
      <c r="G43" s="295"/>
      <c r="J43"/>
      <c r="K43"/>
      <c r="L43"/>
      <c r="O43"/>
    </row>
    <row r="44" spans="2:26">
      <c r="B44" s="293" t="s">
        <v>265</v>
      </c>
      <c r="C44" s="294" t="s">
        <v>544</v>
      </c>
      <c r="D44" s="295">
        <v>13</v>
      </c>
      <c r="E44" s="295" t="s">
        <v>515</v>
      </c>
      <c r="F44" s="295" t="s">
        <v>515</v>
      </c>
      <c r="G44" s="295"/>
      <c r="J44"/>
      <c r="K44"/>
      <c r="L44"/>
      <c r="O44"/>
    </row>
    <row r="45" spans="2:26">
      <c r="B45" s="293" t="s">
        <v>255</v>
      </c>
      <c r="C45" s="294" t="s">
        <v>534</v>
      </c>
      <c r="D45" s="295">
        <v>14</v>
      </c>
      <c r="E45" s="295" t="s">
        <v>515</v>
      </c>
      <c r="F45" s="295" t="s">
        <v>515</v>
      </c>
      <c r="G45" s="295"/>
      <c r="J45"/>
      <c r="K45"/>
      <c r="L45"/>
      <c r="O45"/>
    </row>
    <row r="46" spans="2:26">
      <c r="B46" s="293" t="s">
        <v>267</v>
      </c>
      <c r="C46" s="294" t="s">
        <v>546</v>
      </c>
      <c r="D46" s="295">
        <v>15</v>
      </c>
      <c r="E46" s="295" t="s">
        <v>515</v>
      </c>
      <c r="F46" s="295" t="s">
        <v>515</v>
      </c>
      <c r="G46" s="295"/>
      <c r="J46"/>
      <c r="K46"/>
      <c r="L46"/>
      <c r="O46"/>
    </row>
    <row r="47" spans="2:26">
      <c r="B47" s="293" t="s">
        <v>263</v>
      </c>
      <c r="C47" s="294" t="s">
        <v>542</v>
      </c>
      <c r="D47" s="295">
        <v>16</v>
      </c>
      <c r="E47" s="295" t="s">
        <v>515</v>
      </c>
      <c r="F47" s="295" t="s">
        <v>515</v>
      </c>
      <c r="G47" s="295" t="s">
        <v>515</v>
      </c>
      <c r="J47"/>
      <c r="K47"/>
      <c r="L47"/>
      <c r="O47"/>
    </row>
    <row r="48" spans="2:26">
      <c r="B48" s="293" t="s">
        <v>264</v>
      </c>
      <c r="C48" s="294" t="s">
        <v>543</v>
      </c>
      <c r="D48" s="295">
        <v>17</v>
      </c>
      <c r="E48" s="295" t="s">
        <v>515</v>
      </c>
      <c r="F48" s="295" t="s">
        <v>515</v>
      </c>
      <c r="G48" s="295" t="s">
        <v>515</v>
      </c>
      <c r="L48"/>
      <c r="O48"/>
    </row>
    <row r="49" spans="2:15">
      <c r="B49" s="293" t="s">
        <v>261</v>
      </c>
      <c r="C49" s="294" t="s">
        <v>540</v>
      </c>
      <c r="D49" s="295">
        <v>18</v>
      </c>
      <c r="E49" s="295" t="s">
        <v>515</v>
      </c>
      <c r="F49" s="295" t="s">
        <v>515</v>
      </c>
      <c r="G49" s="295" t="s">
        <v>515</v>
      </c>
      <c r="L49"/>
      <c r="O49"/>
    </row>
    <row r="50" spans="2:15">
      <c r="B50" s="293" t="s">
        <v>262</v>
      </c>
      <c r="C50" s="294" t="s">
        <v>541</v>
      </c>
      <c r="D50" s="295">
        <v>19</v>
      </c>
      <c r="E50" s="295" t="s">
        <v>515</v>
      </c>
      <c r="F50" s="295" t="s">
        <v>515</v>
      </c>
      <c r="G50" s="295"/>
      <c r="L50"/>
      <c r="O50"/>
    </row>
    <row r="51" spans="2:15">
      <c r="B51" s="293" t="s">
        <v>254</v>
      </c>
      <c r="C51" s="294" t="s">
        <v>533</v>
      </c>
      <c r="D51" s="295">
        <v>20</v>
      </c>
      <c r="E51" s="295" t="s">
        <v>515</v>
      </c>
      <c r="F51" s="295" t="s">
        <v>515</v>
      </c>
      <c r="G51" s="295"/>
      <c r="L51"/>
      <c r="O51"/>
    </row>
    <row r="52" spans="2:15">
      <c r="B52" s="295" t="s">
        <v>252</v>
      </c>
      <c r="C52" s="281" t="s">
        <v>531</v>
      </c>
      <c r="D52" s="295">
        <v>21</v>
      </c>
      <c r="E52" s="295" t="s">
        <v>515</v>
      </c>
      <c r="F52" s="295" t="s">
        <v>515</v>
      </c>
      <c r="G52" s="295"/>
      <c r="L52"/>
      <c r="O52"/>
    </row>
    <row r="53" spans="2:15" ht="53.1" customHeight="1">
      <c r="B53" s="293" t="s">
        <v>528</v>
      </c>
      <c r="C53" s="294" t="s">
        <v>551</v>
      </c>
      <c r="D53" s="295">
        <v>22</v>
      </c>
      <c r="E53" s="295" t="s">
        <v>515</v>
      </c>
      <c r="F53" s="295" t="s">
        <v>515</v>
      </c>
      <c r="G53" s="295"/>
      <c r="J53"/>
      <c r="K53"/>
      <c r="L53"/>
      <c r="O53"/>
    </row>
    <row r="54" spans="2:15">
      <c r="B54" s="293" t="s">
        <v>257</v>
      </c>
      <c r="C54" s="294" t="s">
        <v>536</v>
      </c>
      <c r="D54" s="295">
        <v>23</v>
      </c>
      <c r="E54" s="295" t="s">
        <v>515</v>
      </c>
      <c r="F54" s="295" t="s">
        <v>515</v>
      </c>
      <c r="G54" s="295" t="s">
        <v>515</v>
      </c>
      <c r="J54"/>
      <c r="K54"/>
      <c r="L54"/>
      <c r="O54"/>
    </row>
    <row r="55" spans="2:15">
      <c r="B55" s="293" t="s">
        <v>253</v>
      </c>
      <c r="C55" s="294" t="s">
        <v>532</v>
      </c>
      <c r="D55" s="295">
        <v>24</v>
      </c>
      <c r="E55" s="295" t="s">
        <v>515</v>
      </c>
      <c r="F55" s="295" t="s">
        <v>515</v>
      </c>
      <c r="G55" s="295"/>
      <c r="J55"/>
      <c r="K55"/>
      <c r="L55"/>
      <c r="O55"/>
    </row>
    <row r="56" spans="2:15" ht="36.950000000000003" customHeight="1">
      <c r="B56" s="293" t="s">
        <v>272</v>
      </c>
      <c r="C56" s="294" t="s">
        <v>552</v>
      </c>
      <c r="D56" s="295">
        <v>25</v>
      </c>
      <c r="E56" s="295" t="s">
        <v>515</v>
      </c>
      <c r="F56" s="295" t="s">
        <v>515</v>
      </c>
      <c r="G56" s="295"/>
      <c r="J56"/>
      <c r="K56"/>
      <c r="L56"/>
      <c r="O56"/>
    </row>
    <row r="57" spans="2:15" ht="30">
      <c r="B57" s="293" t="s">
        <v>274</v>
      </c>
      <c r="C57" s="294" t="s">
        <v>554</v>
      </c>
      <c r="D57" s="295">
        <v>26</v>
      </c>
      <c r="E57" s="295" t="s">
        <v>515</v>
      </c>
      <c r="F57" s="295" t="s">
        <v>515</v>
      </c>
      <c r="G57" s="295"/>
      <c r="J57"/>
      <c r="K57"/>
      <c r="L57"/>
      <c r="O57"/>
    </row>
    <row r="58" spans="2:15">
      <c r="B58" s="293" t="s">
        <v>259</v>
      </c>
      <c r="C58" s="294" t="s">
        <v>538</v>
      </c>
      <c r="D58" s="295">
        <v>27</v>
      </c>
      <c r="E58" s="295" t="s">
        <v>515</v>
      </c>
      <c r="F58" s="295" t="s">
        <v>515</v>
      </c>
      <c r="G58" s="295" t="s">
        <v>515</v>
      </c>
      <c r="J58"/>
      <c r="K58"/>
      <c r="L58"/>
      <c r="O58"/>
    </row>
    <row r="59" spans="2:15">
      <c r="B59" s="264"/>
      <c r="C59" s="280"/>
      <c r="D59" s="264"/>
      <c r="E59" s="275"/>
      <c r="F59" s="275"/>
      <c r="G59" s="264"/>
      <c r="H59" s="17"/>
      <c r="I59" s="278"/>
      <c r="J59"/>
      <c r="K59"/>
      <c r="L59"/>
    </row>
    <row r="60" spans="2:15">
      <c r="B60" s="264"/>
      <c r="C60" s="280"/>
      <c r="D60" s="264"/>
      <c r="E60" s="275"/>
      <c r="F60" s="275"/>
      <c r="G60" s="264"/>
      <c r="H60" s="17"/>
      <c r="I60" s="278"/>
      <c r="J60"/>
      <c r="K60"/>
      <c r="L60"/>
    </row>
    <row r="61" spans="2:15">
      <c r="B61" s="264"/>
      <c r="C61" s="280"/>
      <c r="D61" s="264"/>
      <c r="E61" s="275"/>
      <c r="F61" s="275"/>
      <c r="G61" s="264"/>
      <c r="H61" s="17"/>
      <c r="I61" s="278"/>
      <c r="J61"/>
      <c r="K61"/>
      <c r="L61"/>
    </row>
    <row r="62" spans="2:15">
      <c r="B62" s="264"/>
      <c r="C62" s="280"/>
      <c r="D62" s="264"/>
      <c r="E62" s="275"/>
      <c r="F62" s="275"/>
      <c r="G62" s="264"/>
      <c r="H62" s="17"/>
      <c r="I62" s="278"/>
      <c r="J62"/>
      <c r="K62"/>
      <c r="L62"/>
    </row>
    <row r="63" spans="2:15">
      <c r="B63" s="264"/>
      <c r="C63" s="280"/>
      <c r="D63" s="264"/>
      <c r="E63" s="275"/>
      <c r="F63" s="275"/>
      <c r="G63" s="264"/>
      <c r="H63" s="17"/>
      <c r="I63" s="278"/>
      <c r="J63"/>
      <c r="K63"/>
      <c r="L63"/>
    </row>
    <row r="64" spans="2:15">
      <c r="B64" s="264"/>
      <c r="C64" s="280"/>
      <c r="D64" s="264"/>
      <c r="E64" s="275"/>
      <c r="F64" s="275"/>
      <c r="G64" s="264"/>
      <c r="H64" s="17"/>
      <c r="I64" s="278"/>
      <c r="J64"/>
      <c r="K64"/>
      <c r="L64"/>
    </row>
    <row r="65" spans="2:12">
      <c r="B65" s="264"/>
      <c r="C65" s="280"/>
      <c r="D65" s="264"/>
      <c r="E65" s="275"/>
      <c r="F65" s="275"/>
      <c r="G65" s="264"/>
      <c r="H65" s="17"/>
      <c r="I65" s="278"/>
      <c r="J65"/>
      <c r="K65"/>
      <c r="L65"/>
    </row>
    <row r="66" spans="2:12">
      <c r="B66" s="264"/>
      <c r="C66" s="280"/>
      <c r="D66" s="264"/>
      <c r="E66" s="275"/>
      <c r="F66" s="275"/>
      <c r="G66" s="264"/>
      <c r="H66" s="17"/>
      <c r="I66" s="278"/>
      <c r="J66"/>
      <c r="K66"/>
      <c r="L66"/>
    </row>
    <row r="67" spans="2:12">
      <c r="B67" s="264"/>
      <c r="C67" s="280"/>
      <c r="D67" s="264"/>
      <c r="E67" s="275"/>
      <c r="F67" s="275"/>
      <c r="G67" s="264"/>
      <c r="H67" s="17"/>
      <c r="I67" s="278"/>
      <c r="J67"/>
      <c r="K67"/>
      <c r="L67"/>
    </row>
    <row r="68" spans="2:12">
      <c r="B68" s="264"/>
      <c r="C68" s="280"/>
      <c r="D68" s="264"/>
      <c r="E68" s="275"/>
      <c r="F68" s="275"/>
      <c r="G68" s="264"/>
      <c r="H68" s="17"/>
      <c r="I68" s="278"/>
      <c r="J68"/>
      <c r="K68"/>
      <c r="L68"/>
    </row>
    <row r="69" spans="2:12">
      <c r="B69" s="264"/>
      <c r="C69" s="280"/>
      <c r="D69" s="264"/>
      <c r="E69" s="275"/>
      <c r="F69" s="275"/>
      <c r="G69" s="264"/>
      <c r="H69" s="17"/>
      <c r="I69" s="278"/>
      <c r="J69"/>
      <c r="K69"/>
      <c r="L69"/>
    </row>
    <row r="70" spans="2:12">
      <c r="B70" s="264"/>
      <c r="C70" s="280"/>
      <c r="D70" s="264"/>
      <c r="E70" s="275"/>
      <c r="F70" s="275"/>
      <c r="G70" s="264"/>
      <c r="H70" s="17"/>
      <c r="I70" s="278"/>
      <c r="J70"/>
      <c r="K70"/>
      <c r="L70"/>
    </row>
    <row r="71" spans="2:12">
      <c r="B71" s="264"/>
      <c r="C71" s="280"/>
      <c r="D71" s="264"/>
      <c r="E71" s="275"/>
      <c r="F71" s="275"/>
      <c r="G71" s="264"/>
      <c r="H71" s="17"/>
      <c r="I71" s="278"/>
      <c r="J71"/>
      <c r="K71"/>
      <c r="L71"/>
    </row>
    <row r="72" spans="2:12">
      <c r="B72" s="264"/>
      <c r="C72" s="280"/>
      <c r="D72" s="264"/>
      <c r="E72" s="275"/>
      <c r="F72" s="275"/>
      <c r="G72" s="264"/>
      <c r="H72" s="17"/>
      <c r="I72" s="278"/>
      <c r="J72"/>
      <c r="K72"/>
      <c r="L72"/>
    </row>
    <row r="73" spans="2:12">
      <c r="B73" s="264"/>
      <c r="C73" s="280"/>
      <c r="D73" s="264"/>
      <c r="E73" s="275"/>
      <c r="F73" s="275"/>
      <c r="G73" s="264"/>
      <c r="H73" s="17"/>
      <c r="I73" s="278"/>
      <c r="J73"/>
      <c r="K73"/>
      <c r="L73"/>
    </row>
    <row r="74" spans="2:12">
      <c r="B74" s="264"/>
      <c r="C74" s="280"/>
      <c r="D74" s="264"/>
      <c r="E74" s="275"/>
      <c r="F74" s="275"/>
      <c r="G74" s="264"/>
      <c r="H74" s="17"/>
      <c r="I74" s="278"/>
      <c r="J74"/>
      <c r="K74"/>
      <c r="L74"/>
    </row>
    <row r="75" spans="2:12">
      <c r="B75" s="264"/>
      <c r="C75" s="280"/>
      <c r="D75" s="264"/>
      <c r="E75" s="275"/>
      <c r="F75" s="275"/>
      <c r="G75" s="264"/>
      <c r="H75" s="17"/>
      <c r="I75" s="278"/>
      <c r="J75"/>
      <c r="K75"/>
      <c r="L75"/>
    </row>
    <row r="76" spans="2:12">
      <c r="B76" s="264"/>
      <c r="C76" s="280"/>
      <c r="D76" s="264"/>
      <c r="E76" s="275"/>
      <c r="F76" s="275"/>
      <c r="G76" s="264"/>
      <c r="H76" s="17"/>
      <c r="I76" s="278"/>
      <c r="J76"/>
      <c r="K76"/>
      <c r="L76"/>
    </row>
    <row r="77" spans="2:12">
      <c r="B77" s="264"/>
      <c r="C77" s="280"/>
      <c r="D77" s="264"/>
      <c r="E77" s="275"/>
      <c r="F77" s="275"/>
      <c r="G77" s="264"/>
      <c r="H77" s="17"/>
      <c r="I77" s="278"/>
      <c r="J77"/>
      <c r="K77"/>
      <c r="L77"/>
    </row>
    <row r="78" spans="2:12">
      <c r="B78" s="264"/>
      <c r="C78" s="280"/>
      <c r="D78" s="264"/>
      <c r="E78" s="275"/>
      <c r="F78" s="275"/>
      <c r="G78" s="264"/>
      <c r="H78" s="17"/>
      <c r="I78" s="278"/>
      <c r="J78"/>
      <c r="K78"/>
      <c r="L78"/>
    </row>
    <row r="79" spans="2:12">
      <c r="B79" s="264"/>
      <c r="C79" s="280"/>
      <c r="D79" s="264"/>
      <c r="E79" s="275"/>
      <c r="F79" s="275"/>
      <c r="G79" s="264"/>
      <c r="H79" s="17"/>
      <c r="I79" s="278"/>
      <c r="J79"/>
      <c r="K79"/>
      <c r="L79"/>
    </row>
    <row r="80" spans="2:12">
      <c r="B80" s="264"/>
      <c r="C80" s="280"/>
      <c r="D80" s="264"/>
      <c r="E80" s="275"/>
      <c r="F80" s="275"/>
      <c r="G80" s="264"/>
      <c r="H80" s="17"/>
      <c r="I80" s="278"/>
      <c r="J80"/>
      <c r="K80"/>
      <c r="L80"/>
    </row>
    <row r="81" spans="2:15">
      <c r="B81" s="264"/>
      <c r="C81" s="280"/>
      <c r="D81" s="264"/>
      <c r="E81" s="275"/>
      <c r="F81" s="275"/>
      <c r="G81" s="264"/>
      <c r="H81" s="17"/>
      <c r="I81" s="278"/>
      <c r="J81"/>
      <c r="K81"/>
      <c r="L81"/>
    </row>
    <row r="82" spans="2:15">
      <c r="B82" s="264"/>
      <c r="C82" s="280"/>
      <c r="D82" s="264"/>
      <c r="E82" s="275"/>
      <c r="F82" s="275"/>
      <c r="G82" s="264"/>
      <c r="H82" s="17"/>
      <c r="I82" s="278"/>
      <c r="J82"/>
      <c r="K82"/>
      <c r="L82"/>
    </row>
    <row r="83" spans="2:15">
      <c r="B83" s="264"/>
      <c r="C83" s="280"/>
      <c r="D83" s="264"/>
      <c r="E83" s="275"/>
      <c r="F83" s="275"/>
      <c r="G83" s="264"/>
      <c r="H83" s="17"/>
      <c r="I83" s="278"/>
      <c r="J83"/>
      <c r="K83"/>
      <c r="L83"/>
    </row>
    <row r="84" spans="2:15">
      <c r="B84" s="264"/>
      <c r="C84" s="280"/>
      <c r="D84" s="264"/>
      <c r="E84" s="275"/>
      <c r="F84" s="275"/>
      <c r="G84" s="264"/>
      <c r="H84" s="17"/>
      <c r="I84" s="278"/>
      <c r="J84"/>
      <c r="K84"/>
      <c r="L84"/>
    </row>
    <row r="85" spans="2:15">
      <c r="B85" s="264"/>
      <c r="C85" s="280"/>
      <c r="D85" s="264"/>
      <c r="E85" s="275"/>
      <c r="F85" s="275"/>
      <c r="G85" s="264"/>
      <c r="H85" s="17"/>
      <c r="I85" s="278"/>
      <c r="J85"/>
      <c r="K85"/>
      <c r="L85"/>
    </row>
    <row r="86" spans="2:15">
      <c r="B86" s="264"/>
      <c r="C86" s="280"/>
      <c r="D86" s="264"/>
      <c r="E86" s="275"/>
      <c r="F86" s="275"/>
      <c r="G86" s="264"/>
      <c r="H86" s="17"/>
      <c r="I86" s="278"/>
      <c r="J86"/>
      <c r="K86"/>
      <c r="L86"/>
    </row>
    <row r="87" spans="2:15">
      <c r="B87" s="264"/>
      <c r="C87" s="280"/>
      <c r="D87" s="264"/>
      <c r="E87" s="275"/>
      <c r="F87" s="275"/>
      <c r="G87" s="264"/>
      <c r="H87" s="17"/>
      <c r="I87" s="278"/>
      <c r="J87"/>
      <c r="K87"/>
      <c r="L87"/>
    </row>
    <row r="88" spans="2:15">
      <c r="B88" s="264"/>
      <c r="C88" s="280"/>
      <c r="D88" s="264"/>
      <c r="E88" s="275"/>
      <c r="F88" s="275"/>
      <c r="G88" s="264"/>
      <c r="H88" s="17"/>
      <c r="I88" s="278"/>
      <c r="J88"/>
      <c r="K88"/>
      <c r="L88"/>
    </row>
    <row r="89" spans="2:15">
      <c r="B89" s="274"/>
      <c r="C89" s="274"/>
      <c r="D89" s="264"/>
      <c r="E89" s="264"/>
      <c r="F89" s="264"/>
      <c r="G89" s="276"/>
      <c r="H89" s="17"/>
      <c r="J89"/>
      <c r="K89"/>
      <c r="L89"/>
    </row>
    <row r="90" spans="2:15">
      <c r="J90"/>
      <c r="K90"/>
      <c r="L90"/>
      <c r="O90"/>
    </row>
    <row r="91" spans="2:15">
      <c r="B91" s="263" t="s">
        <v>3</v>
      </c>
      <c r="C91" s="263" t="s">
        <v>619</v>
      </c>
      <c r="D91" s="263" t="s">
        <v>623</v>
      </c>
      <c r="E91" s="263" t="s">
        <v>501</v>
      </c>
      <c r="F91" s="263" t="s">
        <v>513</v>
      </c>
      <c r="G91" s="263" t="s">
        <v>514</v>
      </c>
      <c r="J91"/>
      <c r="K91"/>
      <c r="L91"/>
    </row>
    <row r="92" spans="2:15" ht="36" customHeight="1">
      <c r="B92" s="281" t="s">
        <v>573</v>
      </c>
      <c r="C92" s="295" t="s">
        <v>620</v>
      </c>
      <c r="D92" s="295">
        <v>1</v>
      </c>
      <c r="E92" s="298">
        <v>406220</v>
      </c>
      <c r="F92" s="298">
        <v>406220</v>
      </c>
      <c r="G92" s="298">
        <v>322851</v>
      </c>
      <c r="J92"/>
      <c r="K92"/>
      <c r="L92"/>
      <c r="M92"/>
      <c r="N92"/>
      <c r="O92"/>
    </row>
    <row r="93" spans="2:15" ht="42.95" customHeight="1">
      <c r="B93" s="281" t="s">
        <v>573</v>
      </c>
      <c r="C93" s="295" t="s">
        <v>621</v>
      </c>
      <c r="D93" s="295">
        <v>2</v>
      </c>
      <c r="E93" s="298">
        <v>267826</v>
      </c>
      <c r="F93" s="298">
        <v>267826</v>
      </c>
      <c r="G93" s="298">
        <v>221857</v>
      </c>
      <c r="J93"/>
      <c r="K93"/>
      <c r="L93"/>
      <c r="M93"/>
      <c r="N93"/>
      <c r="O93"/>
    </row>
    <row r="94" spans="2:15" ht="42" customHeight="1">
      <c r="B94" s="281" t="s">
        <v>573</v>
      </c>
      <c r="C94" s="295" t="s">
        <v>622</v>
      </c>
      <c r="D94" s="295">
        <v>3</v>
      </c>
      <c r="E94" s="298">
        <v>601317</v>
      </c>
      <c r="F94" s="298">
        <v>601317</v>
      </c>
      <c r="G94" s="298">
        <v>464015</v>
      </c>
      <c r="J94"/>
      <c r="K94"/>
      <c r="L94"/>
      <c r="M94"/>
      <c r="N94"/>
      <c r="O94"/>
    </row>
    <row r="95" spans="2:15" customFormat="1"/>
    <row r="96" spans="2:15"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2:19" customFormat="1"/>
    <row r="114" spans="2:19" customFormat="1" ht="42" customHeight="1">
      <c r="B114" s="164" t="s">
        <v>3</v>
      </c>
      <c r="C114" s="164" t="s">
        <v>619</v>
      </c>
      <c r="D114" s="164" t="s">
        <v>623</v>
      </c>
      <c r="E114" s="164" t="s">
        <v>501</v>
      </c>
      <c r="F114" s="164" t="s">
        <v>513</v>
      </c>
      <c r="G114" s="164" t="s">
        <v>514</v>
      </c>
    </row>
    <row r="115" spans="2:19" ht="42" customHeight="1">
      <c r="B115" s="305" t="s">
        <v>574</v>
      </c>
      <c r="C115" s="303" t="s">
        <v>620</v>
      </c>
      <c r="D115" s="303">
        <v>1</v>
      </c>
      <c r="E115" s="304">
        <v>105570</v>
      </c>
      <c r="F115" s="304">
        <v>93546</v>
      </c>
      <c r="G115" s="304">
        <v>12024</v>
      </c>
      <c r="J115"/>
      <c r="K115"/>
      <c r="L115"/>
    </row>
    <row r="116" spans="2:19" ht="45" customHeight="1">
      <c r="B116" s="305" t="s">
        <v>574</v>
      </c>
      <c r="C116" s="303" t="s">
        <v>621</v>
      </c>
      <c r="D116" s="303">
        <v>2</v>
      </c>
      <c r="E116" s="304">
        <v>54283</v>
      </c>
      <c r="F116" s="304">
        <v>50285</v>
      </c>
      <c r="G116" s="304">
        <v>3998</v>
      </c>
      <c r="J116"/>
      <c r="K116"/>
      <c r="L116"/>
    </row>
    <row r="117" spans="2:19" ht="45" customHeight="1">
      <c r="B117" s="305" t="s">
        <v>574</v>
      </c>
      <c r="C117" s="303" t="s">
        <v>622</v>
      </c>
      <c r="D117" s="303">
        <v>3</v>
      </c>
      <c r="E117" s="304">
        <v>188936</v>
      </c>
      <c r="F117" s="304">
        <v>163342</v>
      </c>
      <c r="G117" s="304">
        <v>25594</v>
      </c>
      <c r="J117"/>
      <c r="K117"/>
      <c r="L117"/>
    </row>
    <row r="118" spans="2:19">
      <c r="J118"/>
      <c r="K118"/>
      <c r="L118"/>
      <c r="M118"/>
      <c r="N118"/>
      <c r="O118"/>
      <c r="P118"/>
      <c r="Q118"/>
      <c r="R118"/>
      <c r="S118"/>
    </row>
    <row r="119" spans="2:19">
      <c r="B119" s="265"/>
      <c r="I119"/>
      <c r="J119"/>
      <c r="K119"/>
      <c r="L119"/>
      <c r="M119"/>
      <c r="N119"/>
      <c r="O119"/>
      <c r="P119"/>
    </row>
    <row r="120" spans="2:19" ht="19.5">
      <c r="B120" s="273" t="s">
        <v>628</v>
      </c>
      <c r="I120"/>
      <c r="J120"/>
      <c r="K120"/>
      <c r="L120"/>
      <c r="M120"/>
      <c r="N120"/>
      <c r="O120"/>
      <c r="P120"/>
    </row>
    <row r="121" spans="2:19" ht="15.75">
      <c r="B121" s="277"/>
      <c r="I121"/>
      <c r="J121"/>
      <c r="K121"/>
      <c r="L121"/>
      <c r="M121"/>
      <c r="N121"/>
      <c r="O121"/>
      <c r="P121"/>
    </row>
    <row r="122" spans="2:19" ht="15.75">
      <c r="B122" s="277"/>
      <c r="I122"/>
      <c r="J122"/>
      <c r="K122"/>
      <c r="L122"/>
      <c r="M122"/>
      <c r="N122"/>
      <c r="O122"/>
      <c r="P122"/>
    </row>
    <row r="123" spans="2:19" ht="15.75">
      <c r="B123" s="277"/>
      <c r="I123"/>
      <c r="J123"/>
      <c r="K123"/>
      <c r="L123"/>
      <c r="M123"/>
      <c r="N123"/>
      <c r="O123"/>
      <c r="P123"/>
    </row>
    <row r="124" spans="2:19" ht="15.75">
      <c r="B124" s="277"/>
      <c r="I124"/>
      <c r="J124"/>
      <c r="K124"/>
      <c r="L124"/>
      <c r="M124"/>
      <c r="N124"/>
      <c r="O124"/>
      <c r="P124"/>
    </row>
    <row r="125" spans="2:19" ht="15.75">
      <c r="B125" s="277"/>
      <c r="I125"/>
      <c r="J125"/>
      <c r="K125"/>
      <c r="L125"/>
      <c r="M125"/>
      <c r="N125"/>
      <c r="O125"/>
      <c r="P125"/>
    </row>
    <row r="126" spans="2:19" ht="15.75">
      <c r="B126" s="277"/>
      <c r="I126"/>
      <c r="J126"/>
      <c r="K126"/>
      <c r="L126"/>
      <c r="M126"/>
      <c r="N126"/>
      <c r="O126"/>
      <c r="P126"/>
    </row>
    <row r="127" spans="2:19" ht="15.75">
      <c r="B127" s="277"/>
      <c r="I127"/>
      <c r="J127"/>
      <c r="K127"/>
      <c r="L127"/>
      <c r="M127"/>
      <c r="N127"/>
      <c r="O127"/>
      <c r="P127"/>
    </row>
    <row r="128" spans="2:19" ht="15.75">
      <c r="B128" s="277"/>
      <c r="I128"/>
      <c r="J128"/>
      <c r="K128"/>
      <c r="L128"/>
      <c r="M128"/>
      <c r="N128"/>
      <c r="O128"/>
      <c r="P128"/>
    </row>
    <row r="129" spans="2:16" ht="15.75">
      <c r="B129" s="277"/>
      <c r="I129"/>
      <c r="J129"/>
      <c r="K129"/>
      <c r="L129"/>
      <c r="M129"/>
      <c r="N129"/>
      <c r="O129"/>
      <c r="P129"/>
    </row>
    <row r="130" spans="2:16" ht="15.75">
      <c r="B130" s="277"/>
      <c r="I130"/>
      <c r="J130"/>
      <c r="K130"/>
      <c r="L130"/>
      <c r="M130"/>
      <c r="N130"/>
      <c r="O130"/>
      <c r="P130"/>
    </row>
    <row r="131" spans="2:16" ht="15.75">
      <c r="B131" s="277"/>
      <c r="I131"/>
      <c r="J131"/>
      <c r="K131"/>
      <c r="L131"/>
      <c r="M131"/>
      <c r="N131"/>
      <c r="O131"/>
      <c r="P131"/>
    </row>
    <row r="132" spans="2:16" ht="15.75">
      <c r="B132" s="277"/>
      <c r="I132"/>
      <c r="J132"/>
      <c r="K132"/>
      <c r="L132"/>
      <c r="M132"/>
      <c r="N132"/>
      <c r="O132"/>
      <c r="P132"/>
    </row>
    <row r="133" spans="2:16" ht="15.75">
      <c r="B133" s="277"/>
      <c r="I133"/>
      <c r="J133"/>
      <c r="K133"/>
      <c r="L133"/>
      <c r="M133"/>
      <c r="N133"/>
      <c r="O133"/>
      <c r="P133"/>
    </row>
    <row r="134" spans="2:16" ht="15.75">
      <c r="B134" s="277"/>
      <c r="I134"/>
      <c r="J134"/>
      <c r="K134"/>
      <c r="L134"/>
      <c r="M134"/>
      <c r="N134"/>
      <c r="O134"/>
      <c r="P134"/>
    </row>
    <row r="135" spans="2:16" ht="15.75">
      <c r="B135" s="277"/>
      <c r="I135"/>
      <c r="J135"/>
      <c r="K135"/>
      <c r="L135"/>
      <c r="M135"/>
      <c r="N135"/>
      <c r="O135"/>
      <c r="P135"/>
    </row>
    <row r="136" spans="2:16" ht="15.75">
      <c r="B136" s="277"/>
      <c r="I136"/>
      <c r="J136"/>
      <c r="K136"/>
      <c r="L136"/>
      <c r="M136"/>
      <c r="N136"/>
      <c r="O136"/>
      <c r="P136"/>
    </row>
    <row r="137" spans="2:16" ht="15.75">
      <c r="B137" s="277"/>
      <c r="I137"/>
      <c r="J137"/>
      <c r="K137"/>
      <c r="L137"/>
      <c r="M137"/>
      <c r="N137"/>
      <c r="O137"/>
      <c r="P137"/>
    </row>
    <row r="138" spans="2:16" ht="15.75">
      <c r="B138" s="277"/>
      <c r="I138"/>
      <c r="J138"/>
      <c r="K138"/>
      <c r="L138"/>
      <c r="M138"/>
      <c r="N138"/>
      <c r="O138"/>
      <c r="P138"/>
    </row>
    <row r="139" spans="2:16" ht="15.75">
      <c r="B139" s="277"/>
      <c r="I139"/>
      <c r="J139"/>
      <c r="K139"/>
      <c r="L139"/>
      <c r="M139"/>
      <c r="N139"/>
      <c r="O139"/>
      <c r="P139"/>
    </row>
    <row r="140" spans="2:16" ht="15.75">
      <c r="B140" s="277"/>
      <c r="I140"/>
      <c r="J140"/>
      <c r="K140"/>
      <c r="L140"/>
      <c r="M140"/>
      <c r="N140"/>
      <c r="O140"/>
      <c r="P140"/>
    </row>
    <row r="141" spans="2:16" ht="15.75">
      <c r="B141" s="277"/>
      <c r="I141"/>
      <c r="J141"/>
      <c r="K141"/>
      <c r="L141"/>
      <c r="M141"/>
      <c r="N141"/>
      <c r="O141"/>
      <c r="P141"/>
    </row>
    <row r="142" spans="2:16" ht="15.75">
      <c r="B142" s="277"/>
      <c r="I142"/>
      <c r="J142"/>
      <c r="K142"/>
      <c r="L142"/>
      <c r="M142"/>
      <c r="N142"/>
      <c r="O142"/>
      <c r="P142"/>
    </row>
    <row r="143" spans="2:16" ht="15.75">
      <c r="B143" s="277"/>
      <c r="I143"/>
      <c r="J143"/>
      <c r="K143"/>
      <c r="L143"/>
      <c r="M143"/>
      <c r="N143"/>
      <c r="O143"/>
      <c r="P143"/>
    </row>
    <row r="144" spans="2:16" ht="15.75">
      <c r="B144" s="277"/>
      <c r="I144"/>
      <c r="J144"/>
      <c r="K144"/>
      <c r="L144"/>
      <c r="M144"/>
      <c r="N144"/>
      <c r="O144"/>
      <c r="P144"/>
    </row>
    <row r="145" spans="2:27" ht="15.75">
      <c r="B145" s="277"/>
      <c r="I145"/>
      <c r="J145"/>
      <c r="K145"/>
      <c r="L145"/>
      <c r="M145"/>
      <c r="N145"/>
      <c r="O145"/>
      <c r="P145"/>
    </row>
    <row r="146" spans="2:27" ht="15.75">
      <c r="B146" s="277"/>
      <c r="I146"/>
      <c r="J146"/>
      <c r="K146"/>
      <c r="L146"/>
      <c r="M146"/>
      <c r="N146"/>
      <c r="O146"/>
      <c r="P146"/>
    </row>
    <row r="147" spans="2:27" ht="15.75">
      <c r="B147" s="277"/>
      <c r="I147"/>
      <c r="J147"/>
      <c r="K147"/>
      <c r="L147"/>
      <c r="M147"/>
      <c r="N147"/>
      <c r="O147"/>
      <c r="P147"/>
    </row>
    <row r="148" spans="2:27" ht="15.75">
      <c r="B148" s="277"/>
      <c r="I148"/>
      <c r="J148"/>
      <c r="K148"/>
      <c r="L148"/>
      <c r="M148"/>
      <c r="N148"/>
      <c r="O148"/>
      <c r="P148"/>
    </row>
    <row r="149" spans="2:27" ht="15.75">
      <c r="B149" s="277"/>
      <c r="I149"/>
      <c r="J149"/>
      <c r="K149"/>
      <c r="L149"/>
      <c r="M149"/>
      <c r="N149"/>
      <c r="O149"/>
      <c r="P149"/>
    </row>
    <row r="150" spans="2:27" ht="15.75">
      <c r="B150" s="277"/>
      <c r="I150"/>
      <c r="J150"/>
      <c r="K150"/>
      <c r="L150"/>
      <c r="M150"/>
      <c r="N150"/>
      <c r="O150"/>
      <c r="P150"/>
    </row>
    <row r="151" spans="2:27" ht="15.75">
      <c r="B151" s="277"/>
      <c r="I151"/>
      <c r="J151"/>
      <c r="K151"/>
      <c r="L151"/>
      <c r="M151"/>
      <c r="N151"/>
      <c r="O151"/>
      <c r="P151"/>
    </row>
    <row r="152" spans="2:27" ht="19.5">
      <c r="B152" s="273" t="s">
        <v>572</v>
      </c>
      <c r="I152"/>
      <c r="J152"/>
      <c r="K152"/>
      <c r="L152"/>
      <c r="M152"/>
      <c r="N152"/>
      <c r="O152"/>
      <c r="P152"/>
    </row>
    <row r="153" spans="2:27" ht="18.75">
      <c r="B153" s="83"/>
      <c r="J153"/>
      <c r="K153"/>
      <c r="L153"/>
      <c r="M153"/>
      <c r="N153"/>
      <c r="O153"/>
      <c r="P153"/>
      <c r="Q153"/>
      <c r="R153"/>
      <c r="S153"/>
    </row>
    <row r="154" spans="2:27" ht="18.75">
      <c r="B154" s="83"/>
      <c r="J154"/>
      <c r="K154"/>
      <c r="L154"/>
      <c r="M154"/>
      <c r="N154"/>
      <c r="O154"/>
      <c r="P154"/>
      <c r="Q154"/>
      <c r="R154"/>
      <c r="S154"/>
    </row>
    <row r="155" spans="2:27" ht="18.75">
      <c r="B155" s="83"/>
      <c r="J155"/>
      <c r="K155"/>
      <c r="L155"/>
      <c r="M155"/>
      <c r="N155"/>
      <c r="O155"/>
      <c r="P155"/>
      <c r="Q155"/>
      <c r="R155"/>
      <c r="S155"/>
    </row>
    <row r="156" spans="2:27" ht="18.75">
      <c r="B156" s="83"/>
      <c r="J156"/>
      <c r="K156"/>
      <c r="L156"/>
      <c r="M156"/>
      <c r="N156"/>
      <c r="O156"/>
      <c r="P156"/>
      <c r="Q156"/>
      <c r="R156"/>
      <c r="S156"/>
    </row>
    <row r="157" spans="2:27" ht="18.75">
      <c r="B157" s="83"/>
      <c r="J157"/>
      <c r="K157"/>
      <c r="L157"/>
      <c r="M157"/>
      <c r="N157"/>
      <c r="O157"/>
      <c r="P157"/>
      <c r="Q157"/>
      <c r="R157"/>
      <c r="S157"/>
    </row>
    <row r="158" spans="2:27">
      <c r="J158"/>
      <c r="K158"/>
      <c r="L158"/>
      <c r="M158"/>
      <c r="N158"/>
      <c r="O158"/>
      <c r="P158"/>
      <c r="Q158"/>
      <c r="R158"/>
      <c r="S158"/>
    </row>
    <row r="160" spans="2:27" ht="84.95" customHeight="1">
      <c r="B160" s="245" t="s">
        <v>499</v>
      </c>
      <c r="C160" s="245" t="s">
        <v>120</v>
      </c>
      <c r="D160" s="245" t="s">
        <v>500</v>
      </c>
      <c r="E160" s="245" t="s">
        <v>198</v>
      </c>
      <c r="F160" s="245" t="s">
        <v>280</v>
      </c>
      <c r="G160" s="246" t="s">
        <v>560</v>
      </c>
      <c r="H160" s="246" t="s">
        <v>561</v>
      </c>
      <c r="I160" s="246" t="s">
        <v>562</v>
      </c>
      <c r="J160" s="246" t="s">
        <v>506</v>
      </c>
      <c r="K160" s="246" t="s">
        <v>563</v>
      </c>
      <c r="L160" s="246" t="s">
        <v>564</v>
      </c>
      <c r="M160" s="246" t="s">
        <v>565</v>
      </c>
      <c r="N160" s="246" t="s">
        <v>566</v>
      </c>
      <c r="O160" s="247" t="s">
        <v>567</v>
      </c>
      <c r="P160" s="247" t="s">
        <v>568</v>
      </c>
      <c r="Q160" s="246" t="s">
        <v>364</v>
      </c>
      <c r="R160" s="246" t="s">
        <v>569</v>
      </c>
      <c r="S160" s="246" t="s">
        <v>570</v>
      </c>
      <c r="T160" s="248" t="s">
        <v>571</v>
      </c>
      <c r="U160"/>
      <c r="V160"/>
      <c r="W160"/>
      <c r="X160"/>
      <c r="Z160"/>
      <c r="AA160"/>
    </row>
    <row r="161" spans="2:27">
      <c r="B161" s="249" t="s">
        <v>501</v>
      </c>
      <c r="C161" s="250" t="s">
        <v>242</v>
      </c>
      <c r="D161" s="250" t="s">
        <v>502</v>
      </c>
      <c r="E161" s="251">
        <v>1</v>
      </c>
      <c r="F161" s="251" t="s">
        <v>281</v>
      </c>
      <c r="G161" s="250">
        <v>105570</v>
      </c>
      <c r="H161" s="250">
        <v>54283</v>
      </c>
      <c r="I161" s="250">
        <v>188936</v>
      </c>
      <c r="J161" s="252">
        <v>-6.6000000000000003E-2</v>
      </c>
      <c r="K161" s="250">
        <v>93244</v>
      </c>
      <c r="L161" s="250">
        <v>47192</v>
      </c>
      <c r="M161" s="250">
        <v>168827</v>
      </c>
      <c r="N161" s="250">
        <v>12326</v>
      </c>
      <c r="O161" s="250">
        <v>7091</v>
      </c>
      <c r="P161" s="250">
        <v>20109</v>
      </c>
      <c r="Q161" s="253">
        <v>977845</v>
      </c>
      <c r="R161" s="254">
        <v>12.605269432067871</v>
      </c>
      <c r="S161" s="254">
        <v>7.2516603469848633</v>
      </c>
      <c r="T161" s="255">
        <v>20.564607620239258</v>
      </c>
      <c r="U161"/>
      <c r="V161"/>
      <c r="W161"/>
      <c r="X161"/>
      <c r="Z161"/>
      <c r="AA161"/>
    </row>
    <row r="162" spans="2:27">
      <c r="B162" s="249" t="s">
        <v>501</v>
      </c>
      <c r="C162" s="250" t="s">
        <v>242</v>
      </c>
      <c r="D162" s="250" t="s">
        <v>502</v>
      </c>
      <c r="E162" s="251">
        <v>2</v>
      </c>
      <c r="F162" s="251" t="s">
        <v>281</v>
      </c>
      <c r="G162" s="250">
        <v>105570</v>
      </c>
      <c r="H162" s="250">
        <v>54283</v>
      </c>
      <c r="I162" s="250">
        <v>188936</v>
      </c>
      <c r="J162" s="252">
        <v>-6.6000000000000003E-2</v>
      </c>
      <c r="K162" s="250">
        <v>87101</v>
      </c>
      <c r="L162" s="250">
        <v>44268</v>
      </c>
      <c r="M162" s="250">
        <v>157765</v>
      </c>
      <c r="N162" s="250">
        <v>18469</v>
      </c>
      <c r="O162" s="250">
        <v>10015</v>
      </c>
      <c r="P162" s="250">
        <v>31171</v>
      </c>
      <c r="Q162" s="253">
        <v>1239352</v>
      </c>
      <c r="R162" s="254">
        <v>14.902142524719238</v>
      </c>
      <c r="S162" s="254">
        <v>8.0808353424072266</v>
      </c>
      <c r="T162" s="255">
        <v>25.151046752929688</v>
      </c>
      <c r="U162"/>
      <c r="V162"/>
      <c r="W162"/>
      <c r="X162"/>
      <c r="Z162"/>
      <c r="AA162"/>
    </row>
    <row r="163" spans="2:27">
      <c r="B163" s="249" t="s">
        <v>501</v>
      </c>
      <c r="C163" s="250" t="s">
        <v>242</v>
      </c>
      <c r="D163" s="250" t="s">
        <v>502</v>
      </c>
      <c r="E163" s="251">
        <v>3</v>
      </c>
      <c r="F163" s="251" t="s">
        <v>281</v>
      </c>
      <c r="G163" s="250">
        <v>105570</v>
      </c>
      <c r="H163" s="250">
        <v>54283</v>
      </c>
      <c r="I163" s="250">
        <v>188936</v>
      </c>
      <c r="J163" s="252">
        <v>-6.6000000000000003E-2</v>
      </c>
      <c r="K163" s="250">
        <v>81606</v>
      </c>
      <c r="L163" s="250">
        <v>41379</v>
      </c>
      <c r="M163" s="250">
        <v>147559</v>
      </c>
      <c r="N163" s="250">
        <v>23964</v>
      </c>
      <c r="O163" s="250">
        <v>12904</v>
      </c>
      <c r="P163" s="250">
        <v>41377</v>
      </c>
      <c r="Q163" s="253">
        <v>837959</v>
      </c>
      <c r="R163" s="254">
        <v>28.598056793212891</v>
      </c>
      <c r="S163" s="254">
        <v>15.399320602416992</v>
      </c>
      <c r="T163" s="255">
        <v>49.378311157226563</v>
      </c>
      <c r="U163"/>
      <c r="V163"/>
      <c r="W163"/>
      <c r="X163"/>
      <c r="Z163"/>
      <c r="AA163"/>
    </row>
    <row r="164" spans="2:27">
      <c r="B164" s="249" t="s">
        <v>501</v>
      </c>
      <c r="C164" s="250" t="s">
        <v>242</v>
      </c>
      <c r="D164" s="250" t="s">
        <v>502</v>
      </c>
      <c r="E164" s="251">
        <v>4</v>
      </c>
      <c r="F164" s="251" t="s">
        <v>281</v>
      </c>
      <c r="G164" s="250">
        <v>105570</v>
      </c>
      <c r="H164" s="250">
        <v>54283</v>
      </c>
      <c r="I164" s="250">
        <v>188936</v>
      </c>
      <c r="J164" s="252">
        <v>-6.6000000000000003E-2</v>
      </c>
      <c r="K164" s="250">
        <v>76191</v>
      </c>
      <c r="L164" s="250">
        <v>38596</v>
      </c>
      <c r="M164" s="250">
        <v>137713</v>
      </c>
      <c r="N164" s="250">
        <v>29379</v>
      </c>
      <c r="O164" s="250">
        <v>15687</v>
      </c>
      <c r="P164" s="250">
        <v>51223</v>
      </c>
      <c r="Q164" s="253">
        <v>855330</v>
      </c>
      <c r="R164" s="254">
        <v>34.34814453125</v>
      </c>
      <c r="S164" s="254">
        <v>18.340290069580078</v>
      </c>
      <c r="T164" s="255">
        <v>59.886829376220703</v>
      </c>
      <c r="U164"/>
      <c r="V164"/>
      <c r="W164"/>
      <c r="X164"/>
      <c r="Z164"/>
      <c r="AA164"/>
    </row>
    <row r="165" spans="2:27">
      <c r="B165" s="249" t="s">
        <v>501</v>
      </c>
      <c r="C165" s="250" t="s">
        <v>242</v>
      </c>
      <c r="D165" s="250" t="s">
        <v>502</v>
      </c>
      <c r="E165" s="251">
        <v>5</v>
      </c>
      <c r="F165" s="251" t="s">
        <v>281</v>
      </c>
      <c r="G165" s="250">
        <v>105570</v>
      </c>
      <c r="H165" s="250">
        <v>54283</v>
      </c>
      <c r="I165" s="250">
        <v>188936</v>
      </c>
      <c r="J165" s="252">
        <v>-6.6000000000000003E-2</v>
      </c>
      <c r="K165" s="250">
        <v>71030</v>
      </c>
      <c r="L165" s="250">
        <v>36044</v>
      </c>
      <c r="M165" s="250">
        <v>128128</v>
      </c>
      <c r="N165" s="250">
        <v>34540</v>
      </c>
      <c r="O165" s="250">
        <v>18239</v>
      </c>
      <c r="P165" s="250">
        <v>60808</v>
      </c>
      <c r="Q165" s="253">
        <v>837959</v>
      </c>
      <c r="R165" s="254">
        <v>41.219200134277344</v>
      </c>
      <c r="S165" s="254">
        <v>21.765981674194336</v>
      </c>
      <c r="T165" s="255">
        <v>72.566802978515625</v>
      </c>
      <c r="U165"/>
      <c r="V165"/>
      <c r="W165"/>
      <c r="X165"/>
      <c r="Z165"/>
      <c r="AA165"/>
    </row>
    <row r="166" spans="2:27">
      <c r="B166" s="249" t="s">
        <v>501</v>
      </c>
      <c r="C166" s="250" t="s">
        <v>242</v>
      </c>
      <c r="D166" s="250" t="s">
        <v>201</v>
      </c>
      <c r="E166" s="251">
        <v>6</v>
      </c>
      <c r="F166" s="251" t="s">
        <v>281</v>
      </c>
      <c r="G166" s="250">
        <v>105570</v>
      </c>
      <c r="H166" s="250">
        <v>54283</v>
      </c>
      <c r="I166" s="250">
        <v>188936</v>
      </c>
      <c r="J166" s="252">
        <v>-1.24E-2</v>
      </c>
      <c r="K166" s="250">
        <v>70227</v>
      </c>
      <c r="L166" s="250">
        <v>35621</v>
      </c>
      <c r="M166" s="250">
        <v>126881</v>
      </c>
      <c r="N166" s="250">
        <v>35343</v>
      </c>
      <c r="O166" s="250">
        <v>18662</v>
      </c>
      <c r="P166" s="250">
        <v>62055</v>
      </c>
      <c r="Q166" s="253">
        <v>661371</v>
      </c>
      <c r="R166" s="254">
        <v>53.438991546630859</v>
      </c>
      <c r="S166" s="254">
        <v>28.217142105102539</v>
      </c>
      <c r="T166" s="255">
        <v>93.82781982421875</v>
      </c>
      <c r="U166"/>
      <c r="V166"/>
      <c r="W166"/>
      <c r="X166"/>
      <c r="Z166"/>
      <c r="AA166"/>
    </row>
    <row r="167" spans="2:27">
      <c r="B167" s="249" t="s">
        <v>501</v>
      </c>
      <c r="C167" s="250" t="s">
        <v>242</v>
      </c>
      <c r="D167" s="250" t="s">
        <v>201</v>
      </c>
      <c r="E167" s="251">
        <v>7</v>
      </c>
      <c r="F167" s="251" t="s">
        <v>281</v>
      </c>
      <c r="G167" s="250">
        <v>105570</v>
      </c>
      <c r="H167" s="250">
        <v>54283</v>
      </c>
      <c r="I167" s="250">
        <v>188936</v>
      </c>
      <c r="J167" s="252">
        <v>-1.24E-2</v>
      </c>
      <c r="K167" s="250">
        <v>69375</v>
      </c>
      <c r="L167" s="250">
        <v>35135</v>
      </c>
      <c r="M167" s="250">
        <v>125332</v>
      </c>
      <c r="N167" s="250">
        <v>36195</v>
      </c>
      <c r="O167" s="250">
        <v>19148</v>
      </c>
      <c r="P167" s="250">
        <v>63604</v>
      </c>
      <c r="Q167" s="253">
        <v>504727</v>
      </c>
      <c r="R167" s="254">
        <v>71.712028503417969</v>
      </c>
      <c r="S167" s="254">
        <v>37.937339782714844</v>
      </c>
      <c r="T167" s="255">
        <v>126.01663208007813</v>
      </c>
      <c r="U167"/>
      <c r="V167"/>
      <c r="W167"/>
      <c r="X167"/>
      <c r="Z167"/>
      <c r="AA167"/>
    </row>
    <row r="168" spans="2:27">
      <c r="B168" s="249" t="s">
        <v>501</v>
      </c>
      <c r="C168" s="250" t="s">
        <v>242</v>
      </c>
      <c r="D168" s="250" t="s">
        <v>201</v>
      </c>
      <c r="E168" s="251">
        <v>8</v>
      </c>
      <c r="F168" s="251" t="s">
        <v>281</v>
      </c>
      <c r="G168" s="250">
        <v>105570</v>
      </c>
      <c r="H168" s="250">
        <v>54283</v>
      </c>
      <c r="I168" s="250">
        <v>188936</v>
      </c>
      <c r="J168" s="252">
        <v>-1.24E-2</v>
      </c>
      <c r="K168" s="250">
        <v>68521</v>
      </c>
      <c r="L168" s="250">
        <v>34799</v>
      </c>
      <c r="M168" s="250">
        <v>123782</v>
      </c>
      <c r="N168" s="250">
        <v>37049</v>
      </c>
      <c r="O168" s="250">
        <v>19484</v>
      </c>
      <c r="P168" s="250">
        <v>65154</v>
      </c>
      <c r="Q168" s="253">
        <v>487356</v>
      </c>
      <c r="R168" s="254">
        <v>76.020401000976563</v>
      </c>
      <c r="S168" s="254">
        <v>39.978988647460938</v>
      </c>
      <c r="T168" s="255">
        <v>133.688720703125</v>
      </c>
      <c r="U168"/>
      <c r="V168"/>
      <c r="W168"/>
      <c r="X168"/>
      <c r="Z168"/>
      <c r="AA168"/>
    </row>
    <row r="169" spans="2:27">
      <c r="B169" s="249" t="s">
        <v>501</v>
      </c>
      <c r="C169" s="250" t="s">
        <v>242</v>
      </c>
      <c r="D169" s="250" t="s">
        <v>201</v>
      </c>
      <c r="E169" s="251">
        <v>9</v>
      </c>
      <c r="F169" s="251" t="s">
        <v>281</v>
      </c>
      <c r="G169" s="250">
        <v>105570</v>
      </c>
      <c r="H169" s="250">
        <v>54283</v>
      </c>
      <c r="I169" s="250">
        <v>188936</v>
      </c>
      <c r="J169" s="252">
        <v>-1.24E-2</v>
      </c>
      <c r="K169" s="250">
        <v>67865</v>
      </c>
      <c r="L169" s="250">
        <v>34417</v>
      </c>
      <c r="M169" s="250">
        <v>122493</v>
      </c>
      <c r="N169" s="250">
        <v>37705</v>
      </c>
      <c r="O169" s="250">
        <v>19866</v>
      </c>
      <c r="P169" s="250">
        <v>66443</v>
      </c>
      <c r="Q169" s="253">
        <v>487356</v>
      </c>
      <c r="R169" s="254">
        <v>77.366439819335938</v>
      </c>
      <c r="S169" s="254">
        <v>40.762809753417969</v>
      </c>
      <c r="T169" s="255">
        <v>136.33360290527344</v>
      </c>
      <c r="U169"/>
      <c r="V169"/>
      <c r="W169"/>
      <c r="X169"/>
      <c r="Z169"/>
      <c r="AA169"/>
    </row>
    <row r="170" spans="2:27">
      <c r="B170" s="249" t="s">
        <v>501</v>
      </c>
      <c r="C170" s="250" t="s">
        <v>242</v>
      </c>
      <c r="D170" s="250" t="s">
        <v>201</v>
      </c>
      <c r="E170" s="251">
        <v>10</v>
      </c>
      <c r="F170" s="251" t="s">
        <v>281</v>
      </c>
      <c r="G170" s="250">
        <v>105570</v>
      </c>
      <c r="H170" s="250">
        <v>54283</v>
      </c>
      <c r="I170" s="250">
        <v>188936</v>
      </c>
      <c r="J170" s="252">
        <v>-1.24E-2</v>
      </c>
      <c r="K170" s="250">
        <v>67308</v>
      </c>
      <c r="L170" s="250">
        <v>34101</v>
      </c>
      <c r="M170" s="250">
        <v>121460</v>
      </c>
      <c r="N170" s="250">
        <v>38262</v>
      </c>
      <c r="O170" s="250">
        <v>20182</v>
      </c>
      <c r="P170" s="250">
        <v>67476</v>
      </c>
      <c r="Q170" s="253">
        <v>504727</v>
      </c>
      <c r="R170" s="254">
        <v>75.807319641113281</v>
      </c>
      <c r="S170" s="254">
        <v>39.985973358154297</v>
      </c>
      <c r="T170" s="255">
        <v>133.6881103515625</v>
      </c>
      <c r="U170"/>
      <c r="V170"/>
      <c r="W170"/>
      <c r="X170"/>
      <c r="Z170"/>
      <c r="AA170"/>
    </row>
    <row r="171" spans="2:27">
      <c r="B171" s="249" t="s">
        <v>501</v>
      </c>
      <c r="C171" s="250" t="s">
        <v>242</v>
      </c>
      <c r="D171" s="250" t="s">
        <v>201</v>
      </c>
      <c r="E171" s="251">
        <v>11</v>
      </c>
      <c r="F171" s="251" t="s">
        <v>281</v>
      </c>
      <c r="G171" s="250">
        <v>105570</v>
      </c>
      <c r="H171" s="250">
        <v>54283</v>
      </c>
      <c r="I171" s="250">
        <v>188936</v>
      </c>
      <c r="J171" s="252">
        <v>-1.24E-2</v>
      </c>
      <c r="K171" s="250">
        <v>64919</v>
      </c>
      <c r="L171" s="250">
        <v>32985</v>
      </c>
      <c r="M171" s="250">
        <v>117864</v>
      </c>
      <c r="N171" s="250">
        <v>40651</v>
      </c>
      <c r="O171" s="250">
        <v>21298</v>
      </c>
      <c r="P171" s="250">
        <v>71072</v>
      </c>
      <c r="Q171" s="253">
        <v>661371</v>
      </c>
      <c r="R171" s="254">
        <v>61.464744567871094</v>
      </c>
      <c r="S171" s="254">
        <v>32.202800750732422</v>
      </c>
      <c r="T171" s="255">
        <v>107.46162414550781</v>
      </c>
      <c r="U171"/>
      <c r="V171"/>
      <c r="W171"/>
      <c r="X171"/>
      <c r="Z171"/>
      <c r="AA171"/>
    </row>
    <row r="172" spans="2:27">
      <c r="B172" s="249" t="s">
        <v>501</v>
      </c>
      <c r="C172" s="250" t="s">
        <v>242</v>
      </c>
      <c r="D172" s="250" t="s">
        <v>201</v>
      </c>
      <c r="E172" s="251">
        <v>12</v>
      </c>
      <c r="F172" s="251" t="s">
        <v>281</v>
      </c>
      <c r="G172" s="250">
        <v>105570</v>
      </c>
      <c r="H172" s="250">
        <v>54283</v>
      </c>
      <c r="I172" s="250">
        <v>188936</v>
      </c>
      <c r="J172" s="252">
        <v>-1.24E-2</v>
      </c>
      <c r="K172" s="250">
        <v>64325</v>
      </c>
      <c r="L172" s="250">
        <v>32660</v>
      </c>
      <c r="M172" s="250">
        <v>116861</v>
      </c>
      <c r="N172" s="250">
        <v>41245</v>
      </c>
      <c r="O172" s="250">
        <v>21623</v>
      </c>
      <c r="P172" s="250">
        <v>72075</v>
      </c>
      <c r="Q172" s="253">
        <v>487356</v>
      </c>
      <c r="R172" s="254">
        <v>84.630126953125</v>
      </c>
      <c r="S172" s="254">
        <v>44.367977142333984</v>
      </c>
      <c r="T172" s="255">
        <v>147.88983154296875</v>
      </c>
      <c r="U172"/>
      <c r="V172"/>
      <c r="W172"/>
      <c r="X172"/>
      <c r="Z172"/>
      <c r="AA172"/>
    </row>
    <row r="173" spans="2:27">
      <c r="B173" s="249" t="s">
        <v>501</v>
      </c>
      <c r="C173" s="250" t="s">
        <v>242</v>
      </c>
      <c r="D173" s="250" t="s">
        <v>201</v>
      </c>
      <c r="E173" s="251">
        <v>13</v>
      </c>
      <c r="F173" s="251" t="s">
        <v>281</v>
      </c>
      <c r="G173" s="250">
        <v>105570</v>
      </c>
      <c r="H173" s="250">
        <v>54283</v>
      </c>
      <c r="I173" s="250">
        <v>188936</v>
      </c>
      <c r="J173" s="252">
        <v>-1.24E-2</v>
      </c>
      <c r="K173" s="250">
        <v>63743</v>
      </c>
      <c r="L173" s="250">
        <v>32267</v>
      </c>
      <c r="M173" s="250">
        <v>115682</v>
      </c>
      <c r="N173" s="250">
        <v>41827</v>
      </c>
      <c r="O173" s="250">
        <v>22016</v>
      </c>
      <c r="P173" s="250">
        <v>73254</v>
      </c>
      <c r="Q173" s="253">
        <v>504727</v>
      </c>
      <c r="R173" s="254">
        <v>82.87054443359375</v>
      </c>
      <c r="S173" s="254">
        <v>43.619621276855469</v>
      </c>
      <c r="T173" s="255">
        <v>145.13587951660156</v>
      </c>
      <c r="U173"/>
      <c r="V173"/>
      <c r="W173"/>
      <c r="X173"/>
      <c r="Z173"/>
      <c r="AA173"/>
    </row>
    <row r="174" spans="2:27">
      <c r="B174" s="249" t="s">
        <v>501</v>
      </c>
      <c r="C174" s="250" t="s">
        <v>242</v>
      </c>
      <c r="D174" s="250" t="s">
        <v>201</v>
      </c>
      <c r="E174" s="251">
        <v>14</v>
      </c>
      <c r="F174" s="251" t="s">
        <v>281</v>
      </c>
      <c r="G174" s="250">
        <v>105570</v>
      </c>
      <c r="H174" s="250">
        <v>54283</v>
      </c>
      <c r="I174" s="250">
        <v>188936</v>
      </c>
      <c r="J174" s="252">
        <v>-1.24E-2</v>
      </c>
      <c r="K174" s="250">
        <v>62778</v>
      </c>
      <c r="L174" s="250">
        <v>31926</v>
      </c>
      <c r="M174" s="250">
        <v>113928</v>
      </c>
      <c r="N174" s="250">
        <v>42792</v>
      </c>
      <c r="O174" s="250">
        <v>22357</v>
      </c>
      <c r="P174" s="250">
        <v>75008</v>
      </c>
      <c r="Q174" s="253">
        <v>487356</v>
      </c>
      <c r="R174" s="254">
        <v>87.804397583007813</v>
      </c>
      <c r="S174" s="254">
        <v>45.874061584472656</v>
      </c>
      <c r="T174" s="255">
        <v>153.90803527832031</v>
      </c>
      <c r="U174"/>
      <c r="V174"/>
      <c r="W174"/>
      <c r="X174"/>
      <c r="Z174"/>
      <c r="AA174"/>
    </row>
    <row r="175" spans="2:27">
      <c r="B175" s="256" t="s">
        <v>501</v>
      </c>
      <c r="C175" s="257" t="s">
        <v>242</v>
      </c>
      <c r="D175" s="257" t="s">
        <v>201</v>
      </c>
      <c r="E175" s="258">
        <v>15</v>
      </c>
      <c r="F175" s="258" t="s">
        <v>281</v>
      </c>
      <c r="G175" s="257">
        <v>105570</v>
      </c>
      <c r="H175" s="257">
        <v>54283</v>
      </c>
      <c r="I175" s="257">
        <v>188936</v>
      </c>
      <c r="J175" s="259">
        <v>-1.24E-2</v>
      </c>
      <c r="K175" s="257">
        <v>62209</v>
      </c>
      <c r="L175" s="257">
        <v>31636</v>
      </c>
      <c r="M175" s="257">
        <v>112823</v>
      </c>
      <c r="N175" s="257">
        <v>43361</v>
      </c>
      <c r="O175" s="257">
        <v>22647</v>
      </c>
      <c r="P175" s="257">
        <v>76113</v>
      </c>
      <c r="Q175" s="260">
        <v>487356</v>
      </c>
      <c r="R175" s="261">
        <v>88.971923828125</v>
      </c>
      <c r="S175" s="261">
        <v>46.469112396240234</v>
      </c>
      <c r="T175" s="262">
        <v>156.17535400390625</v>
      </c>
      <c r="U175"/>
      <c r="V175"/>
      <c r="W175"/>
      <c r="X175"/>
      <c r="Z175"/>
      <c r="AA175"/>
    </row>
    <row r="176" spans="2:27">
      <c r="B176" s="249" t="s">
        <v>501</v>
      </c>
      <c r="C176" s="250" t="s">
        <v>282</v>
      </c>
      <c r="D176" s="250" t="s">
        <v>502</v>
      </c>
      <c r="E176" s="251">
        <v>1</v>
      </c>
      <c r="F176" s="251" t="s">
        <v>281</v>
      </c>
      <c r="G176" s="250">
        <v>105570</v>
      </c>
      <c r="H176" s="250">
        <v>54283</v>
      </c>
      <c r="I176" s="250">
        <v>188936</v>
      </c>
      <c r="J176" s="252">
        <v>-3.6400000000000002E-2</v>
      </c>
      <c r="K176" s="250">
        <v>95624</v>
      </c>
      <c r="L176" s="250">
        <v>48415</v>
      </c>
      <c r="M176" s="250">
        <v>173503</v>
      </c>
      <c r="N176" s="250">
        <v>9946</v>
      </c>
      <c r="O176" s="250">
        <v>5868</v>
      </c>
      <c r="P176" s="250">
        <v>15433</v>
      </c>
      <c r="Q176" s="253">
        <v>420165</v>
      </c>
      <c r="R176" s="254">
        <v>23.671653747558594</v>
      </c>
      <c r="S176" s="254">
        <v>13.9659423828125</v>
      </c>
      <c r="T176" s="255">
        <v>36.730808258056641</v>
      </c>
    </row>
    <row r="177" spans="2:20">
      <c r="B177" s="249" t="s">
        <v>501</v>
      </c>
      <c r="C177" s="250" t="s">
        <v>282</v>
      </c>
      <c r="D177" s="250" t="s">
        <v>502</v>
      </c>
      <c r="E177" s="251">
        <v>2</v>
      </c>
      <c r="F177" s="251" t="s">
        <v>281</v>
      </c>
      <c r="G177" s="250">
        <v>105570</v>
      </c>
      <c r="H177" s="250">
        <v>54283</v>
      </c>
      <c r="I177" s="250">
        <v>188936</v>
      </c>
      <c r="J177" s="252">
        <v>-3.6400000000000002E-2</v>
      </c>
      <c r="K177" s="250">
        <v>92648</v>
      </c>
      <c r="L177" s="250">
        <v>46876</v>
      </c>
      <c r="M177" s="250">
        <v>167454</v>
      </c>
      <c r="N177" s="250">
        <v>12922</v>
      </c>
      <c r="O177" s="250">
        <v>7407</v>
      </c>
      <c r="P177" s="250">
        <v>21482</v>
      </c>
      <c r="Q177" s="253">
        <v>188719</v>
      </c>
      <c r="R177" s="254">
        <v>68.47216796875</v>
      </c>
      <c r="S177" s="254">
        <v>39.248832702636719</v>
      </c>
      <c r="T177" s="255">
        <v>113.83061981201172</v>
      </c>
    </row>
    <row r="178" spans="2:20">
      <c r="B178" s="249" t="s">
        <v>501</v>
      </c>
      <c r="C178" s="250" t="s">
        <v>282</v>
      </c>
      <c r="D178" s="250" t="s">
        <v>502</v>
      </c>
      <c r="E178" s="251">
        <v>3</v>
      </c>
      <c r="F178" s="251" t="s">
        <v>281</v>
      </c>
      <c r="G178" s="250">
        <v>105570</v>
      </c>
      <c r="H178" s="250">
        <v>54283</v>
      </c>
      <c r="I178" s="250">
        <v>188936</v>
      </c>
      <c r="J178" s="252">
        <v>-3.6400000000000002E-2</v>
      </c>
      <c r="K178" s="250">
        <v>89368</v>
      </c>
      <c r="L178" s="250">
        <v>45352</v>
      </c>
      <c r="M178" s="250">
        <v>161861</v>
      </c>
      <c r="N178" s="250">
        <v>16202</v>
      </c>
      <c r="O178" s="250">
        <v>8931</v>
      </c>
      <c r="P178" s="250">
        <v>27075</v>
      </c>
      <c r="Q178" s="253">
        <v>155920</v>
      </c>
      <c r="R178" s="254">
        <v>103.91226196289063</v>
      </c>
      <c r="S178" s="254">
        <v>57.279373168945313</v>
      </c>
      <c r="T178" s="255">
        <v>173.64674377441406</v>
      </c>
    </row>
    <row r="179" spans="2:20">
      <c r="B179" s="249" t="s">
        <v>501</v>
      </c>
      <c r="C179" s="250" t="s">
        <v>282</v>
      </c>
      <c r="D179" s="250" t="s">
        <v>502</v>
      </c>
      <c r="E179" s="251">
        <v>4</v>
      </c>
      <c r="F179" s="251" t="s">
        <v>281</v>
      </c>
      <c r="G179" s="250">
        <v>105570</v>
      </c>
      <c r="H179" s="250">
        <v>54283</v>
      </c>
      <c r="I179" s="250">
        <v>188936</v>
      </c>
      <c r="J179" s="252">
        <v>-3.6400000000000002E-2</v>
      </c>
      <c r="K179" s="250">
        <v>86352</v>
      </c>
      <c r="L179" s="250">
        <v>43805</v>
      </c>
      <c r="M179" s="250">
        <v>156034</v>
      </c>
      <c r="N179" s="250">
        <v>19218</v>
      </c>
      <c r="O179" s="250">
        <v>10478</v>
      </c>
      <c r="P179" s="250">
        <v>32902</v>
      </c>
      <c r="Q179" s="253">
        <v>155920</v>
      </c>
      <c r="R179" s="254">
        <v>123.25551605224609</v>
      </c>
      <c r="S179" s="254">
        <v>67.201133728027344</v>
      </c>
      <c r="T179" s="255">
        <v>211.01847839355469</v>
      </c>
    </row>
    <row r="180" spans="2:20">
      <c r="B180" s="249" t="s">
        <v>501</v>
      </c>
      <c r="C180" s="250" t="s">
        <v>282</v>
      </c>
      <c r="D180" s="250" t="s">
        <v>502</v>
      </c>
      <c r="E180" s="251">
        <v>5</v>
      </c>
      <c r="F180" s="251" t="s">
        <v>281</v>
      </c>
      <c r="G180" s="250">
        <v>105570</v>
      </c>
      <c r="H180" s="250">
        <v>54283</v>
      </c>
      <c r="I180" s="250">
        <v>188936</v>
      </c>
      <c r="J180" s="252">
        <v>-3.6400000000000002E-2</v>
      </c>
      <c r="K180" s="250">
        <v>83034</v>
      </c>
      <c r="L180" s="250">
        <v>42069</v>
      </c>
      <c r="M180" s="250">
        <v>150091</v>
      </c>
      <c r="N180" s="250">
        <v>22536</v>
      </c>
      <c r="O180" s="250">
        <v>12214</v>
      </c>
      <c r="P180" s="250">
        <v>38845</v>
      </c>
      <c r="Q180" s="253">
        <v>155920</v>
      </c>
      <c r="R180" s="254">
        <v>144.53565979003906</v>
      </c>
      <c r="S180" s="254">
        <v>78.335044860839844</v>
      </c>
      <c r="T180" s="255">
        <v>249.13417053222656</v>
      </c>
    </row>
    <row r="181" spans="2:20">
      <c r="B181" s="249" t="s">
        <v>501</v>
      </c>
      <c r="C181" s="250" t="s">
        <v>282</v>
      </c>
      <c r="D181" s="250" t="s">
        <v>201</v>
      </c>
      <c r="E181" s="251">
        <v>6</v>
      </c>
      <c r="F181" s="251" t="s">
        <v>281</v>
      </c>
      <c r="G181" s="250">
        <v>105570</v>
      </c>
      <c r="H181" s="250">
        <v>54283</v>
      </c>
      <c r="I181" s="250">
        <v>188936</v>
      </c>
      <c r="J181" s="252">
        <v>-9.1000000000000004E-3</v>
      </c>
      <c r="K181" s="250">
        <v>82471</v>
      </c>
      <c r="L181" s="250">
        <v>41709</v>
      </c>
      <c r="M181" s="250">
        <v>148994</v>
      </c>
      <c r="N181" s="250">
        <v>23099</v>
      </c>
      <c r="O181" s="250">
        <v>12574</v>
      </c>
      <c r="P181" s="250">
        <v>39942</v>
      </c>
      <c r="Q181" s="253">
        <v>188016</v>
      </c>
      <c r="R181" s="254">
        <v>122.8565673828125</v>
      </c>
      <c r="S181" s="254">
        <v>66.877288818359375</v>
      </c>
      <c r="T181" s="255">
        <v>212.43937683105469</v>
      </c>
    </row>
    <row r="182" spans="2:20">
      <c r="B182" s="249" t="s">
        <v>501</v>
      </c>
      <c r="C182" s="250" t="s">
        <v>282</v>
      </c>
      <c r="D182" s="250" t="s">
        <v>201</v>
      </c>
      <c r="E182" s="251">
        <v>7</v>
      </c>
      <c r="F182" s="251" t="s">
        <v>281</v>
      </c>
      <c r="G182" s="250">
        <v>105570</v>
      </c>
      <c r="H182" s="250">
        <v>54283</v>
      </c>
      <c r="I182" s="250">
        <v>188936</v>
      </c>
      <c r="J182" s="252">
        <v>-9.1000000000000004E-3</v>
      </c>
      <c r="K182" s="250">
        <v>81680</v>
      </c>
      <c r="L182" s="250">
        <v>41427</v>
      </c>
      <c r="M182" s="250">
        <v>147779</v>
      </c>
      <c r="N182" s="250">
        <v>23890</v>
      </c>
      <c r="O182" s="250">
        <v>12856</v>
      </c>
      <c r="P182" s="250">
        <v>41157</v>
      </c>
      <c r="Q182" s="253">
        <v>143207</v>
      </c>
      <c r="R182" s="254">
        <v>166.82145690917969</v>
      </c>
      <c r="S182" s="254">
        <v>89.772148132324219</v>
      </c>
      <c r="T182" s="255">
        <v>287.39517211914063</v>
      </c>
    </row>
    <row r="183" spans="2:20">
      <c r="B183" s="249" t="s">
        <v>501</v>
      </c>
      <c r="C183" s="250" t="s">
        <v>282</v>
      </c>
      <c r="D183" s="250" t="s">
        <v>201</v>
      </c>
      <c r="E183" s="251">
        <v>8</v>
      </c>
      <c r="F183" s="251" t="s">
        <v>281</v>
      </c>
      <c r="G183" s="250">
        <v>105570</v>
      </c>
      <c r="H183" s="250">
        <v>54283</v>
      </c>
      <c r="I183" s="250">
        <v>188936</v>
      </c>
      <c r="J183" s="252">
        <v>-9.1000000000000004E-3</v>
      </c>
      <c r="K183" s="250">
        <v>81147</v>
      </c>
      <c r="L183" s="250">
        <v>41174</v>
      </c>
      <c r="M183" s="250">
        <v>146425</v>
      </c>
      <c r="N183" s="250">
        <v>24423</v>
      </c>
      <c r="O183" s="250">
        <v>13109</v>
      </c>
      <c r="P183" s="250">
        <v>42511</v>
      </c>
      <c r="Q183" s="253">
        <v>143207</v>
      </c>
      <c r="R183" s="254">
        <v>170.54335021972656</v>
      </c>
      <c r="S183" s="254">
        <v>91.538825988769531</v>
      </c>
      <c r="T183" s="255">
        <v>296.85003662109375</v>
      </c>
    </row>
    <row r="184" spans="2:20">
      <c r="B184" s="249" t="s">
        <v>501</v>
      </c>
      <c r="C184" s="250" t="s">
        <v>282</v>
      </c>
      <c r="D184" s="250" t="s">
        <v>201</v>
      </c>
      <c r="E184" s="251">
        <v>9</v>
      </c>
      <c r="F184" s="251" t="s">
        <v>281</v>
      </c>
      <c r="G184" s="250">
        <v>105570</v>
      </c>
      <c r="H184" s="250">
        <v>54283</v>
      </c>
      <c r="I184" s="250">
        <v>188936</v>
      </c>
      <c r="J184" s="252">
        <v>-9.1000000000000004E-3</v>
      </c>
      <c r="K184" s="250">
        <v>80627</v>
      </c>
      <c r="L184" s="250">
        <v>40841</v>
      </c>
      <c r="M184" s="250">
        <v>145608</v>
      </c>
      <c r="N184" s="250">
        <v>24943</v>
      </c>
      <c r="O184" s="250">
        <v>13442</v>
      </c>
      <c r="P184" s="250">
        <v>43328</v>
      </c>
      <c r="Q184" s="253">
        <v>143207</v>
      </c>
      <c r="R184" s="254">
        <v>174.1744384765625</v>
      </c>
      <c r="S184" s="254">
        <v>93.864128112792969</v>
      </c>
      <c r="T184" s="255">
        <v>302.5550537109375</v>
      </c>
    </row>
    <row r="185" spans="2:20">
      <c r="B185" s="249" t="s">
        <v>501</v>
      </c>
      <c r="C185" s="250" t="s">
        <v>282</v>
      </c>
      <c r="D185" s="250" t="s">
        <v>201</v>
      </c>
      <c r="E185" s="251">
        <v>10</v>
      </c>
      <c r="F185" s="251" t="s">
        <v>281</v>
      </c>
      <c r="G185" s="250">
        <v>105570</v>
      </c>
      <c r="H185" s="250">
        <v>54283</v>
      </c>
      <c r="I185" s="250">
        <v>188936</v>
      </c>
      <c r="J185" s="252">
        <v>-9.1000000000000004E-3</v>
      </c>
      <c r="K185" s="250">
        <v>79382</v>
      </c>
      <c r="L185" s="250">
        <v>40072</v>
      </c>
      <c r="M185" s="250">
        <v>143423</v>
      </c>
      <c r="N185" s="250">
        <v>26188</v>
      </c>
      <c r="O185" s="250">
        <v>14211</v>
      </c>
      <c r="P185" s="250">
        <v>45513</v>
      </c>
      <c r="Q185" s="253">
        <v>143207</v>
      </c>
      <c r="R185" s="254">
        <v>182.86814880371094</v>
      </c>
      <c r="S185" s="254">
        <v>99.233978271484375</v>
      </c>
      <c r="T185" s="255">
        <v>317.81268310546875</v>
      </c>
    </row>
    <row r="186" spans="2:20">
      <c r="B186" s="249" t="s">
        <v>501</v>
      </c>
      <c r="C186" s="250" t="s">
        <v>282</v>
      </c>
      <c r="D186" s="250" t="s">
        <v>201</v>
      </c>
      <c r="E186" s="251">
        <v>11</v>
      </c>
      <c r="F186" s="251" t="s">
        <v>281</v>
      </c>
      <c r="G186" s="250">
        <v>105570</v>
      </c>
      <c r="H186" s="250">
        <v>54283</v>
      </c>
      <c r="I186" s="250">
        <v>188936</v>
      </c>
      <c r="J186" s="252">
        <v>-9.1000000000000004E-3</v>
      </c>
      <c r="K186" s="250">
        <v>78704</v>
      </c>
      <c r="L186" s="250">
        <v>39750</v>
      </c>
      <c r="M186" s="250">
        <v>142333</v>
      </c>
      <c r="N186" s="250">
        <v>26866</v>
      </c>
      <c r="O186" s="250">
        <v>14533</v>
      </c>
      <c r="P186" s="250">
        <v>46603</v>
      </c>
      <c r="Q186" s="253">
        <v>188016</v>
      </c>
      <c r="R186" s="254">
        <v>142.89208984375</v>
      </c>
      <c r="S186" s="254">
        <v>77.296615600585938</v>
      </c>
      <c r="T186" s="255">
        <v>247.86720275878906</v>
      </c>
    </row>
    <row r="187" spans="2:20">
      <c r="B187" s="249" t="s">
        <v>501</v>
      </c>
      <c r="C187" s="250" t="s">
        <v>282</v>
      </c>
      <c r="D187" s="250" t="s">
        <v>201</v>
      </c>
      <c r="E187" s="251">
        <v>12</v>
      </c>
      <c r="F187" s="251" t="s">
        <v>281</v>
      </c>
      <c r="G187" s="250">
        <v>105570</v>
      </c>
      <c r="H187" s="250">
        <v>54283</v>
      </c>
      <c r="I187" s="250">
        <v>188936</v>
      </c>
      <c r="J187" s="252">
        <v>-9.1000000000000004E-3</v>
      </c>
      <c r="K187" s="250">
        <v>78128</v>
      </c>
      <c r="L187" s="250">
        <v>39535</v>
      </c>
      <c r="M187" s="250">
        <v>140979</v>
      </c>
      <c r="N187" s="250">
        <v>27442</v>
      </c>
      <c r="O187" s="250">
        <v>14748</v>
      </c>
      <c r="P187" s="250">
        <v>47957</v>
      </c>
      <c r="Q187" s="253">
        <v>143207</v>
      </c>
      <c r="R187" s="254">
        <v>191.62471008300781</v>
      </c>
      <c r="S187" s="254">
        <v>102.98379516601563</v>
      </c>
      <c r="T187" s="255">
        <v>334.87890625</v>
      </c>
    </row>
    <row r="188" spans="2:20">
      <c r="B188" s="249" t="s">
        <v>501</v>
      </c>
      <c r="C188" s="250" t="s">
        <v>282</v>
      </c>
      <c r="D188" s="250" t="s">
        <v>201</v>
      </c>
      <c r="E188" s="251">
        <v>13</v>
      </c>
      <c r="F188" s="251" t="s">
        <v>281</v>
      </c>
      <c r="G188" s="250">
        <v>105570</v>
      </c>
      <c r="H188" s="250">
        <v>54283</v>
      </c>
      <c r="I188" s="250">
        <v>188936</v>
      </c>
      <c r="J188" s="252">
        <v>-9.1000000000000004E-3</v>
      </c>
      <c r="K188" s="250">
        <v>77208</v>
      </c>
      <c r="L188" s="250">
        <v>39114</v>
      </c>
      <c r="M188" s="250">
        <v>139336</v>
      </c>
      <c r="N188" s="250">
        <v>28362</v>
      </c>
      <c r="O188" s="250">
        <v>15169</v>
      </c>
      <c r="P188" s="250">
        <v>49600</v>
      </c>
      <c r="Q188" s="253">
        <v>143207</v>
      </c>
      <c r="R188" s="254">
        <v>198.04898071289063</v>
      </c>
      <c r="S188" s="254">
        <v>105.92359161376953</v>
      </c>
      <c r="T188" s="255">
        <v>346.35177612304688</v>
      </c>
    </row>
    <row r="189" spans="2:20">
      <c r="B189" s="249" t="s">
        <v>501</v>
      </c>
      <c r="C189" s="250" t="s">
        <v>282</v>
      </c>
      <c r="D189" s="250" t="s">
        <v>201</v>
      </c>
      <c r="E189" s="251">
        <v>14</v>
      </c>
      <c r="F189" s="251" t="s">
        <v>281</v>
      </c>
      <c r="G189" s="250">
        <v>105570</v>
      </c>
      <c r="H189" s="250">
        <v>54283</v>
      </c>
      <c r="I189" s="250">
        <v>188936</v>
      </c>
      <c r="J189" s="252">
        <v>-9.1000000000000004E-3</v>
      </c>
      <c r="K189" s="250">
        <v>76545</v>
      </c>
      <c r="L189" s="250">
        <v>38733</v>
      </c>
      <c r="M189" s="250">
        <v>138385</v>
      </c>
      <c r="N189" s="250">
        <v>29025</v>
      </c>
      <c r="O189" s="250">
        <v>15550</v>
      </c>
      <c r="P189" s="250">
        <v>50551</v>
      </c>
      <c r="Q189" s="253">
        <v>143207</v>
      </c>
      <c r="R189" s="254">
        <v>202.67863464355469</v>
      </c>
      <c r="S189" s="254">
        <v>108.58407592773438</v>
      </c>
      <c r="T189" s="255">
        <v>352.99252319335938</v>
      </c>
    </row>
    <row r="190" spans="2:20">
      <c r="B190" s="256" t="s">
        <v>501</v>
      </c>
      <c r="C190" s="257" t="s">
        <v>282</v>
      </c>
      <c r="D190" s="257" t="s">
        <v>201</v>
      </c>
      <c r="E190" s="258">
        <v>15</v>
      </c>
      <c r="F190" s="258" t="s">
        <v>281</v>
      </c>
      <c r="G190" s="257">
        <v>105570</v>
      </c>
      <c r="H190" s="257">
        <v>54283</v>
      </c>
      <c r="I190" s="257">
        <v>188936</v>
      </c>
      <c r="J190" s="259">
        <v>-9.1000000000000004E-3</v>
      </c>
      <c r="K190" s="257">
        <v>75964</v>
      </c>
      <c r="L190" s="257">
        <v>38497</v>
      </c>
      <c r="M190" s="257">
        <v>137226</v>
      </c>
      <c r="N190" s="257">
        <v>29606</v>
      </c>
      <c r="O190" s="257">
        <v>15786</v>
      </c>
      <c r="P190" s="257">
        <v>51710</v>
      </c>
      <c r="Q190" s="260">
        <v>143207</v>
      </c>
      <c r="R190" s="261">
        <v>206.73570251464844</v>
      </c>
      <c r="S190" s="261">
        <v>110.23204040527344</v>
      </c>
      <c r="T190" s="262">
        <v>361.08572387695313</v>
      </c>
    </row>
    <row r="191" spans="2:20">
      <c r="B191" s="249" t="s">
        <v>501</v>
      </c>
      <c r="C191" s="250" t="s">
        <v>77</v>
      </c>
      <c r="D191" s="250" t="s">
        <v>502</v>
      </c>
      <c r="E191" s="251">
        <v>1</v>
      </c>
      <c r="F191" s="251" t="s">
        <v>281</v>
      </c>
      <c r="G191" s="250">
        <v>105570</v>
      </c>
      <c r="H191" s="250">
        <v>54283</v>
      </c>
      <c r="I191" s="250">
        <v>188936</v>
      </c>
      <c r="J191" s="252">
        <v>-1.0800000000000001E-2</v>
      </c>
      <c r="K191" s="250">
        <v>97453</v>
      </c>
      <c r="L191" s="250">
        <v>49366</v>
      </c>
      <c r="M191" s="250">
        <v>176855</v>
      </c>
      <c r="N191" s="250">
        <v>8117</v>
      </c>
      <c r="O191" s="250">
        <v>4917</v>
      </c>
      <c r="P191" s="250">
        <v>12081</v>
      </c>
      <c r="Q191" s="253">
        <v>291952</v>
      </c>
      <c r="R191" s="254">
        <v>27.802515029907227</v>
      </c>
      <c r="S191" s="254">
        <v>16.84181022644043</v>
      </c>
      <c r="T191" s="255">
        <v>41.380088806152344</v>
      </c>
    </row>
    <row r="192" spans="2:20">
      <c r="B192" s="249" t="s">
        <v>501</v>
      </c>
      <c r="C192" s="250" t="s">
        <v>77</v>
      </c>
      <c r="D192" s="250" t="s">
        <v>502</v>
      </c>
      <c r="E192" s="251">
        <v>2</v>
      </c>
      <c r="F192" s="251" t="s">
        <v>281</v>
      </c>
      <c r="G192" s="250">
        <v>105570</v>
      </c>
      <c r="H192" s="250">
        <v>54283</v>
      </c>
      <c r="I192" s="250">
        <v>188936</v>
      </c>
      <c r="J192" s="252">
        <v>-1.0800000000000001E-2</v>
      </c>
      <c r="K192" s="250">
        <v>96724</v>
      </c>
      <c r="L192" s="250">
        <v>49016</v>
      </c>
      <c r="M192" s="250">
        <v>175614</v>
      </c>
      <c r="N192" s="250">
        <v>8846</v>
      </c>
      <c r="O192" s="250">
        <v>5267</v>
      </c>
      <c r="P192" s="250">
        <v>13322</v>
      </c>
      <c r="Q192" s="253">
        <v>503800</v>
      </c>
      <c r="R192" s="254">
        <v>17.558553695678711</v>
      </c>
      <c r="S192" s="254">
        <v>10.454545974731445</v>
      </c>
      <c r="T192" s="255">
        <v>26.443033218383789</v>
      </c>
    </row>
    <row r="193" spans="2:20">
      <c r="B193" s="249" t="s">
        <v>501</v>
      </c>
      <c r="C193" s="250" t="s">
        <v>77</v>
      </c>
      <c r="D193" s="250" t="s">
        <v>502</v>
      </c>
      <c r="E193" s="251">
        <v>3</v>
      </c>
      <c r="F193" s="251" t="s">
        <v>281</v>
      </c>
      <c r="G193" s="250">
        <v>105570</v>
      </c>
      <c r="H193" s="250">
        <v>54283</v>
      </c>
      <c r="I193" s="250">
        <v>188936</v>
      </c>
      <c r="J193" s="252">
        <v>-1.0800000000000001E-2</v>
      </c>
      <c r="K193" s="250">
        <v>96015</v>
      </c>
      <c r="L193" s="250">
        <v>48597</v>
      </c>
      <c r="M193" s="250">
        <v>174173</v>
      </c>
      <c r="N193" s="250">
        <v>9555</v>
      </c>
      <c r="O193" s="250">
        <v>5686</v>
      </c>
      <c r="P193" s="250">
        <v>14763</v>
      </c>
      <c r="Q193" s="253">
        <v>336131</v>
      </c>
      <c r="R193" s="254">
        <v>28.426416397094727</v>
      </c>
      <c r="S193" s="254">
        <v>16.916023254394531</v>
      </c>
      <c r="T193" s="255">
        <v>43.920375823974609</v>
      </c>
    </row>
    <row r="194" spans="2:20">
      <c r="B194" s="249" t="s">
        <v>501</v>
      </c>
      <c r="C194" s="250" t="s">
        <v>77</v>
      </c>
      <c r="D194" s="250" t="s">
        <v>502</v>
      </c>
      <c r="E194" s="251">
        <v>4</v>
      </c>
      <c r="F194" s="251" t="s">
        <v>281</v>
      </c>
      <c r="G194" s="250">
        <v>105570</v>
      </c>
      <c r="H194" s="250">
        <v>54283</v>
      </c>
      <c r="I194" s="250">
        <v>188936</v>
      </c>
      <c r="J194" s="252">
        <v>-1.0800000000000001E-2</v>
      </c>
      <c r="K194" s="250">
        <v>95121</v>
      </c>
      <c r="L194" s="250">
        <v>48179</v>
      </c>
      <c r="M194" s="250">
        <v>172635</v>
      </c>
      <c r="N194" s="250">
        <v>10449</v>
      </c>
      <c r="O194" s="250">
        <v>6104</v>
      </c>
      <c r="P194" s="250">
        <v>16301</v>
      </c>
      <c r="Q194" s="253">
        <v>353502</v>
      </c>
      <c r="R194" s="254">
        <v>29.55853271484375</v>
      </c>
      <c r="S194" s="254">
        <v>17.267229080200195</v>
      </c>
      <c r="T194" s="255">
        <v>46.112895965576172</v>
      </c>
    </row>
    <row r="195" spans="2:20">
      <c r="B195" s="249" t="s">
        <v>501</v>
      </c>
      <c r="C195" s="250" t="s">
        <v>77</v>
      </c>
      <c r="D195" s="250" t="s">
        <v>502</v>
      </c>
      <c r="E195" s="251">
        <v>5</v>
      </c>
      <c r="F195" s="251" t="s">
        <v>281</v>
      </c>
      <c r="G195" s="250">
        <v>105570</v>
      </c>
      <c r="H195" s="250">
        <v>54283</v>
      </c>
      <c r="I195" s="250">
        <v>188936</v>
      </c>
      <c r="J195" s="252">
        <v>-1.0800000000000001E-2</v>
      </c>
      <c r="K195" s="250">
        <v>94222</v>
      </c>
      <c r="L195" s="250">
        <v>47718</v>
      </c>
      <c r="M195" s="250">
        <v>170859</v>
      </c>
      <c r="N195" s="250">
        <v>11348</v>
      </c>
      <c r="O195" s="250">
        <v>6565</v>
      </c>
      <c r="P195" s="250">
        <v>18077</v>
      </c>
      <c r="Q195" s="253">
        <v>336131</v>
      </c>
      <c r="R195" s="254">
        <v>33.760646820068359</v>
      </c>
      <c r="S195" s="254">
        <v>19.531074523925781</v>
      </c>
      <c r="T195" s="255">
        <v>53.779628753662109</v>
      </c>
    </row>
    <row r="196" spans="2:20">
      <c r="B196" s="249" t="s">
        <v>501</v>
      </c>
      <c r="C196" s="250" t="s">
        <v>77</v>
      </c>
      <c r="D196" s="250" t="s">
        <v>201</v>
      </c>
      <c r="E196" s="251">
        <v>6</v>
      </c>
      <c r="F196" s="251" t="s">
        <v>281</v>
      </c>
      <c r="G196" s="250">
        <v>105570</v>
      </c>
      <c r="H196" s="250">
        <v>54283</v>
      </c>
      <c r="I196" s="250">
        <v>188936</v>
      </c>
      <c r="J196" s="252">
        <v>-8.0000000000000004E-4</v>
      </c>
      <c r="K196" s="250">
        <v>94214</v>
      </c>
      <c r="L196" s="250">
        <v>47700</v>
      </c>
      <c r="M196" s="250">
        <v>170781</v>
      </c>
      <c r="N196" s="250">
        <v>11356</v>
      </c>
      <c r="O196" s="250">
        <v>6583</v>
      </c>
      <c r="P196" s="250">
        <v>18155</v>
      </c>
      <c r="Q196" s="253">
        <v>231478</v>
      </c>
      <c r="R196" s="254">
        <v>49.058658599853516</v>
      </c>
      <c r="S196" s="254">
        <v>28.438987731933594</v>
      </c>
      <c r="T196" s="255">
        <v>78.430778503417969</v>
      </c>
    </row>
    <row r="197" spans="2:20">
      <c r="B197" s="249" t="s">
        <v>501</v>
      </c>
      <c r="C197" s="250" t="s">
        <v>77</v>
      </c>
      <c r="D197" s="250" t="s">
        <v>201</v>
      </c>
      <c r="E197" s="251">
        <v>7</v>
      </c>
      <c r="F197" s="251" t="s">
        <v>281</v>
      </c>
      <c r="G197" s="250">
        <v>105570</v>
      </c>
      <c r="H197" s="250">
        <v>54283</v>
      </c>
      <c r="I197" s="250">
        <v>188936</v>
      </c>
      <c r="J197" s="252">
        <v>-8.0000000000000004E-4</v>
      </c>
      <c r="K197" s="250">
        <v>94166</v>
      </c>
      <c r="L197" s="250">
        <v>47662</v>
      </c>
      <c r="M197" s="250">
        <v>170633</v>
      </c>
      <c r="N197" s="250">
        <v>11404</v>
      </c>
      <c r="O197" s="250">
        <v>6621</v>
      </c>
      <c r="P197" s="250">
        <v>18303</v>
      </c>
      <c r="Q197" s="253">
        <v>177294</v>
      </c>
      <c r="R197" s="254">
        <v>64.322540283203125</v>
      </c>
      <c r="S197" s="254">
        <v>37.344749450683594</v>
      </c>
      <c r="T197" s="255">
        <v>103.23530578613281</v>
      </c>
    </row>
    <row r="198" spans="2:20">
      <c r="B198" s="249" t="s">
        <v>501</v>
      </c>
      <c r="C198" s="250" t="s">
        <v>77</v>
      </c>
      <c r="D198" s="250" t="s">
        <v>201</v>
      </c>
      <c r="E198" s="251">
        <v>8</v>
      </c>
      <c r="F198" s="251" t="s">
        <v>281</v>
      </c>
      <c r="G198" s="250">
        <v>105570</v>
      </c>
      <c r="H198" s="250">
        <v>54283</v>
      </c>
      <c r="I198" s="250">
        <v>188936</v>
      </c>
      <c r="J198" s="252">
        <v>-8.0000000000000004E-4</v>
      </c>
      <c r="K198" s="250">
        <v>94110</v>
      </c>
      <c r="L198" s="250">
        <v>47633</v>
      </c>
      <c r="M198" s="250">
        <v>170566</v>
      </c>
      <c r="N198" s="250">
        <v>11460</v>
      </c>
      <c r="O198" s="250">
        <v>6650</v>
      </c>
      <c r="P198" s="250">
        <v>18370</v>
      </c>
      <c r="Q198" s="253">
        <v>159923</v>
      </c>
      <c r="R198" s="254">
        <v>71.65948486328125</v>
      </c>
      <c r="S198" s="254">
        <v>41.582508087158203</v>
      </c>
      <c r="T198" s="255">
        <v>114.86777496337891</v>
      </c>
    </row>
    <row r="199" spans="2:20">
      <c r="B199" s="249" t="s">
        <v>501</v>
      </c>
      <c r="C199" s="250" t="s">
        <v>77</v>
      </c>
      <c r="D199" s="250" t="s">
        <v>201</v>
      </c>
      <c r="E199" s="251">
        <v>9</v>
      </c>
      <c r="F199" s="251" t="s">
        <v>281</v>
      </c>
      <c r="G199" s="250">
        <v>105570</v>
      </c>
      <c r="H199" s="250">
        <v>54283</v>
      </c>
      <c r="I199" s="250">
        <v>188936</v>
      </c>
      <c r="J199" s="252">
        <v>-8.0000000000000004E-4</v>
      </c>
      <c r="K199" s="250">
        <v>93975</v>
      </c>
      <c r="L199" s="250">
        <v>47552</v>
      </c>
      <c r="M199" s="250">
        <v>170356</v>
      </c>
      <c r="N199" s="250">
        <v>11595</v>
      </c>
      <c r="O199" s="250">
        <v>6731</v>
      </c>
      <c r="P199" s="250">
        <v>18580</v>
      </c>
      <c r="Q199" s="253">
        <v>159923</v>
      </c>
      <c r="R199" s="254">
        <v>72.503639221191406</v>
      </c>
      <c r="S199" s="254">
        <v>42.089004516601563</v>
      </c>
      <c r="T199" s="255">
        <v>116.180908203125</v>
      </c>
    </row>
    <row r="200" spans="2:20">
      <c r="B200" s="249" t="s">
        <v>501</v>
      </c>
      <c r="C200" s="250" t="s">
        <v>77</v>
      </c>
      <c r="D200" s="250" t="s">
        <v>201</v>
      </c>
      <c r="E200" s="251">
        <v>10</v>
      </c>
      <c r="F200" s="251" t="s">
        <v>281</v>
      </c>
      <c r="G200" s="250">
        <v>105570</v>
      </c>
      <c r="H200" s="250">
        <v>54283</v>
      </c>
      <c r="I200" s="250">
        <v>188936</v>
      </c>
      <c r="J200" s="252">
        <v>-8.0000000000000004E-4</v>
      </c>
      <c r="K200" s="250">
        <v>93915</v>
      </c>
      <c r="L200" s="250">
        <v>47536</v>
      </c>
      <c r="M200" s="250">
        <v>170214</v>
      </c>
      <c r="N200" s="250">
        <v>11655</v>
      </c>
      <c r="O200" s="250">
        <v>6747</v>
      </c>
      <c r="P200" s="250">
        <v>18722</v>
      </c>
      <c r="Q200" s="253">
        <v>177294</v>
      </c>
      <c r="R200" s="254">
        <v>65.738265991210938</v>
      </c>
      <c r="S200" s="254">
        <v>38.055435180664063</v>
      </c>
      <c r="T200" s="255">
        <v>105.59860992431641</v>
      </c>
    </row>
    <row r="201" spans="2:20">
      <c r="B201" s="249" t="s">
        <v>501</v>
      </c>
      <c r="C201" s="250" t="s">
        <v>77</v>
      </c>
      <c r="D201" s="250" t="s">
        <v>201</v>
      </c>
      <c r="E201" s="251">
        <v>11</v>
      </c>
      <c r="F201" s="251" t="s">
        <v>281</v>
      </c>
      <c r="G201" s="250">
        <v>105570</v>
      </c>
      <c r="H201" s="250">
        <v>54283</v>
      </c>
      <c r="I201" s="250">
        <v>188936</v>
      </c>
      <c r="J201" s="252">
        <v>-8.0000000000000004E-4</v>
      </c>
      <c r="K201" s="250">
        <v>93878</v>
      </c>
      <c r="L201" s="250">
        <v>47523</v>
      </c>
      <c r="M201" s="250">
        <v>170097</v>
      </c>
      <c r="N201" s="250">
        <v>11692</v>
      </c>
      <c r="O201" s="250">
        <v>6760</v>
      </c>
      <c r="P201" s="250">
        <v>18839</v>
      </c>
      <c r="Q201" s="253">
        <v>231478</v>
      </c>
      <c r="R201" s="254">
        <v>50.510196685791016</v>
      </c>
      <c r="S201" s="254">
        <v>29.203638076782227</v>
      </c>
      <c r="T201" s="255">
        <v>81.385704040527344</v>
      </c>
    </row>
    <row r="202" spans="2:20">
      <c r="B202" s="249" t="s">
        <v>501</v>
      </c>
      <c r="C202" s="250" t="s">
        <v>77</v>
      </c>
      <c r="D202" s="250" t="s">
        <v>201</v>
      </c>
      <c r="E202" s="251">
        <v>12</v>
      </c>
      <c r="F202" s="251" t="s">
        <v>281</v>
      </c>
      <c r="G202" s="250">
        <v>105570</v>
      </c>
      <c r="H202" s="250">
        <v>54283</v>
      </c>
      <c r="I202" s="250">
        <v>188936</v>
      </c>
      <c r="J202" s="252">
        <v>-8.0000000000000004E-4</v>
      </c>
      <c r="K202" s="250">
        <v>93824</v>
      </c>
      <c r="L202" s="250">
        <v>47498</v>
      </c>
      <c r="M202" s="250">
        <v>170060</v>
      </c>
      <c r="N202" s="250">
        <v>11746</v>
      </c>
      <c r="O202" s="250">
        <v>6785</v>
      </c>
      <c r="P202" s="250">
        <v>18876</v>
      </c>
      <c r="Q202" s="253">
        <v>159923</v>
      </c>
      <c r="R202" s="254">
        <v>73.447845458984375</v>
      </c>
      <c r="S202" s="254">
        <v>42.426666259765625</v>
      </c>
      <c r="T202" s="255">
        <v>118.03179931640625</v>
      </c>
    </row>
    <row r="203" spans="2:20">
      <c r="B203" s="249" t="s">
        <v>501</v>
      </c>
      <c r="C203" s="250" t="s">
        <v>77</v>
      </c>
      <c r="D203" s="250" t="s">
        <v>201</v>
      </c>
      <c r="E203" s="251">
        <v>13</v>
      </c>
      <c r="F203" s="251" t="s">
        <v>281</v>
      </c>
      <c r="G203" s="250">
        <v>105570</v>
      </c>
      <c r="H203" s="250">
        <v>54283</v>
      </c>
      <c r="I203" s="250">
        <v>188936</v>
      </c>
      <c r="J203" s="252">
        <v>-8.0000000000000004E-4</v>
      </c>
      <c r="K203" s="250">
        <v>93741</v>
      </c>
      <c r="L203" s="250">
        <v>47441</v>
      </c>
      <c r="M203" s="250">
        <v>169831</v>
      </c>
      <c r="N203" s="250">
        <v>11829</v>
      </c>
      <c r="O203" s="250">
        <v>6842</v>
      </c>
      <c r="P203" s="250">
        <v>19105</v>
      </c>
      <c r="Q203" s="253">
        <v>177294</v>
      </c>
      <c r="R203" s="254">
        <v>66.719688415527344</v>
      </c>
      <c r="S203" s="254">
        <v>38.591266632080078</v>
      </c>
      <c r="T203" s="255">
        <v>107.75886535644531</v>
      </c>
    </row>
    <row r="204" spans="2:20">
      <c r="B204" s="249" t="s">
        <v>501</v>
      </c>
      <c r="C204" s="250" t="s">
        <v>77</v>
      </c>
      <c r="D204" s="250" t="s">
        <v>201</v>
      </c>
      <c r="E204" s="251">
        <v>14</v>
      </c>
      <c r="F204" s="251" t="s">
        <v>281</v>
      </c>
      <c r="G204" s="250">
        <v>105570</v>
      </c>
      <c r="H204" s="250">
        <v>54283</v>
      </c>
      <c r="I204" s="250">
        <v>188936</v>
      </c>
      <c r="J204" s="252">
        <v>-8.0000000000000004E-4</v>
      </c>
      <c r="K204" s="250">
        <v>93696</v>
      </c>
      <c r="L204" s="250">
        <v>47433</v>
      </c>
      <c r="M204" s="250">
        <v>169775</v>
      </c>
      <c r="N204" s="250">
        <v>11874</v>
      </c>
      <c r="O204" s="250">
        <v>6850</v>
      </c>
      <c r="P204" s="250">
        <v>19161</v>
      </c>
      <c r="Q204" s="253">
        <v>159923</v>
      </c>
      <c r="R204" s="254">
        <v>74.24822998046875</v>
      </c>
      <c r="S204" s="254">
        <v>42.833110809326172</v>
      </c>
      <c r="T204" s="255">
        <v>119.81391143798828</v>
      </c>
    </row>
    <row r="205" spans="2:20">
      <c r="B205" s="256" t="s">
        <v>501</v>
      </c>
      <c r="C205" s="257" t="s">
        <v>77</v>
      </c>
      <c r="D205" s="257" t="s">
        <v>201</v>
      </c>
      <c r="E205" s="258">
        <v>15</v>
      </c>
      <c r="F205" s="258" t="s">
        <v>281</v>
      </c>
      <c r="G205" s="257">
        <v>105570</v>
      </c>
      <c r="H205" s="257">
        <v>54283</v>
      </c>
      <c r="I205" s="257">
        <v>188936</v>
      </c>
      <c r="J205" s="259">
        <v>-8.0000000000000004E-4</v>
      </c>
      <c r="K205" s="257">
        <v>93641</v>
      </c>
      <c r="L205" s="257">
        <v>47425</v>
      </c>
      <c r="M205" s="257">
        <v>169722</v>
      </c>
      <c r="N205" s="257">
        <v>11929</v>
      </c>
      <c r="O205" s="257">
        <v>6858</v>
      </c>
      <c r="P205" s="257">
        <v>19214</v>
      </c>
      <c r="Q205" s="260">
        <v>159923</v>
      </c>
      <c r="R205" s="261">
        <v>74.592147827148438</v>
      </c>
      <c r="S205" s="261">
        <v>42.883140563964844</v>
      </c>
      <c r="T205" s="262">
        <v>120.14532470703125</v>
      </c>
    </row>
    <row r="206" spans="2:20">
      <c r="B206" s="249" t="s">
        <v>501</v>
      </c>
      <c r="C206" s="250" t="s">
        <v>121</v>
      </c>
      <c r="D206" s="250" t="s">
        <v>502</v>
      </c>
      <c r="E206" s="251">
        <v>1</v>
      </c>
      <c r="F206" s="251" t="s">
        <v>281</v>
      </c>
      <c r="G206" s="250">
        <v>105570</v>
      </c>
      <c r="H206" s="250">
        <v>54283</v>
      </c>
      <c r="I206" s="250">
        <v>188936</v>
      </c>
      <c r="J206" s="252">
        <v>-0.02</v>
      </c>
      <c r="K206" s="250">
        <v>96870</v>
      </c>
      <c r="L206" s="250">
        <v>49101</v>
      </c>
      <c r="M206" s="250">
        <v>175816</v>
      </c>
      <c r="N206" s="250">
        <v>8700</v>
      </c>
      <c r="O206" s="250">
        <v>5182</v>
      </c>
      <c r="P206" s="250">
        <v>13120</v>
      </c>
      <c r="Q206" s="253">
        <v>133969</v>
      </c>
      <c r="R206" s="254">
        <v>64.940391540527344</v>
      </c>
      <c r="S206" s="254">
        <v>38.680591583251953</v>
      </c>
      <c r="T206" s="255">
        <v>97.93310546875</v>
      </c>
    </row>
    <row r="207" spans="2:20">
      <c r="B207" s="249" t="s">
        <v>501</v>
      </c>
      <c r="C207" s="250" t="s">
        <v>121</v>
      </c>
      <c r="D207" s="250" t="s">
        <v>502</v>
      </c>
      <c r="E207" s="251">
        <v>2</v>
      </c>
      <c r="F207" s="251" t="s">
        <v>281</v>
      </c>
      <c r="G207" s="250">
        <v>105570</v>
      </c>
      <c r="H207" s="250">
        <v>54283</v>
      </c>
      <c r="I207" s="250">
        <v>188936</v>
      </c>
      <c r="J207" s="252">
        <v>-0.02</v>
      </c>
      <c r="K207" s="250">
        <v>95451</v>
      </c>
      <c r="L207" s="250">
        <v>48303</v>
      </c>
      <c r="M207" s="250">
        <v>173093</v>
      </c>
      <c r="N207" s="250">
        <v>10119</v>
      </c>
      <c r="O207" s="250">
        <v>5980</v>
      </c>
      <c r="P207" s="250">
        <v>15843</v>
      </c>
      <c r="Q207" s="253">
        <v>273304</v>
      </c>
      <c r="R207" s="254">
        <v>37.024707794189453</v>
      </c>
      <c r="S207" s="254">
        <v>21.880397796630859</v>
      </c>
      <c r="T207" s="255">
        <v>57.968414306640625</v>
      </c>
    </row>
    <row r="208" spans="2:20">
      <c r="B208" s="249" t="s">
        <v>501</v>
      </c>
      <c r="C208" s="250" t="s">
        <v>121</v>
      </c>
      <c r="D208" s="250" t="s">
        <v>502</v>
      </c>
      <c r="E208" s="251">
        <v>3</v>
      </c>
      <c r="F208" s="251" t="s">
        <v>281</v>
      </c>
      <c r="G208" s="250">
        <v>105570</v>
      </c>
      <c r="H208" s="250">
        <v>54283</v>
      </c>
      <c r="I208" s="250">
        <v>188936</v>
      </c>
      <c r="J208" s="252">
        <v>-0.02</v>
      </c>
      <c r="K208" s="250">
        <v>93793</v>
      </c>
      <c r="L208" s="250">
        <v>47479</v>
      </c>
      <c r="M208" s="250">
        <v>169970</v>
      </c>
      <c r="N208" s="250">
        <v>11777</v>
      </c>
      <c r="O208" s="250">
        <v>6804</v>
      </c>
      <c r="P208" s="250">
        <v>18966</v>
      </c>
      <c r="Q208" s="253">
        <v>170998</v>
      </c>
      <c r="R208" s="254">
        <v>68.872154235839844</v>
      </c>
      <c r="S208" s="254">
        <v>39.789936065673828</v>
      </c>
      <c r="T208" s="255">
        <v>110.91357421875</v>
      </c>
    </row>
    <row r="209" spans="2:20">
      <c r="B209" s="249" t="s">
        <v>501</v>
      </c>
      <c r="C209" s="250" t="s">
        <v>121</v>
      </c>
      <c r="D209" s="250" t="s">
        <v>502</v>
      </c>
      <c r="E209" s="251">
        <v>4</v>
      </c>
      <c r="F209" s="251" t="s">
        <v>281</v>
      </c>
      <c r="G209" s="250">
        <v>105570</v>
      </c>
      <c r="H209" s="250">
        <v>54283</v>
      </c>
      <c r="I209" s="250">
        <v>188936</v>
      </c>
      <c r="J209" s="252">
        <v>-0.02</v>
      </c>
      <c r="K209" s="250">
        <v>92054</v>
      </c>
      <c r="L209" s="250">
        <v>46608</v>
      </c>
      <c r="M209" s="250">
        <v>166498</v>
      </c>
      <c r="N209" s="250">
        <v>13516</v>
      </c>
      <c r="O209" s="250">
        <v>7675</v>
      </c>
      <c r="P209" s="250">
        <v>22438</v>
      </c>
      <c r="Q209" s="253">
        <v>170998</v>
      </c>
      <c r="R209" s="254">
        <v>79.041862487792969</v>
      </c>
      <c r="S209" s="254">
        <v>44.883563995361328</v>
      </c>
      <c r="T209" s="255">
        <v>131.21791076660156</v>
      </c>
    </row>
    <row r="210" spans="2:20">
      <c r="B210" s="249" t="s">
        <v>501</v>
      </c>
      <c r="C210" s="250" t="s">
        <v>121</v>
      </c>
      <c r="D210" s="250" t="s">
        <v>502</v>
      </c>
      <c r="E210" s="251">
        <v>5</v>
      </c>
      <c r="F210" s="251" t="s">
        <v>281</v>
      </c>
      <c r="G210" s="250">
        <v>105570</v>
      </c>
      <c r="H210" s="250">
        <v>54283</v>
      </c>
      <c r="I210" s="250">
        <v>188936</v>
      </c>
      <c r="J210" s="252">
        <v>-0.02</v>
      </c>
      <c r="K210" s="250">
        <v>90494</v>
      </c>
      <c r="L210" s="250">
        <v>45930</v>
      </c>
      <c r="M210" s="250">
        <v>163582</v>
      </c>
      <c r="N210" s="250">
        <v>15076</v>
      </c>
      <c r="O210" s="250">
        <v>8353</v>
      </c>
      <c r="P210" s="250">
        <v>25354</v>
      </c>
      <c r="Q210" s="253">
        <v>170998</v>
      </c>
      <c r="R210" s="254">
        <v>88.164779663085938</v>
      </c>
      <c r="S210" s="254">
        <v>48.848526000976563</v>
      </c>
      <c r="T210" s="255">
        <v>148.27073669433594</v>
      </c>
    </row>
    <row r="211" spans="2:20">
      <c r="B211" s="249" t="s">
        <v>501</v>
      </c>
      <c r="C211" s="250" t="s">
        <v>121</v>
      </c>
      <c r="D211" s="250" t="s">
        <v>201</v>
      </c>
      <c r="E211" s="251">
        <v>6</v>
      </c>
      <c r="F211" s="251" t="s">
        <v>281</v>
      </c>
      <c r="G211" s="250">
        <v>105570</v>
      </c>
      <c r="H211" s="250">
        <v>54283</v>
      </c>
      <c r="I211" s="250">
        <v>188936</v>
      </c>
      <c r="J211" s="252">
        <v>-2E-3</v>
      </c>
      <c r="K211" s="250">
        <v>90312</v>
      </c>
      <c r="L211" s="250">
        <v>45835</v>
      </c>
      <c r="M211" s="250">
        <v>163366</v>
      </c>
      <c r="N211" s="250">
        <v>15258</v>
      </c>
      <c r="O211" s="250">
        <v>8448</v>
      </c>
      <c r="P211" s="250">
        <v>25570</v>
      </c>
      <c r="Q211" s="253">
        <v>123966</v>
      </c>
      <c r="R211" s="254">
        <v>123.08213806152344</v>
      </c>
      <c r="S211" s="254">
        <v>68.147720336914063</v>
      </c>
      <c r="T211" s="255">
        <v>206.2662353515625</v>
      </c>
    </row>
    <row r="212" spans="2:20">
      <c r="B212" s="249" t="s">
        <v>501</v>
      </c>
      <c r="C212" s="250" t="s">
        <v>121</v>
      </c>
      <c r="D212" s="250" t="s">
        <v>201</v>
      </c>
      <c r="E212" s="251">
        <v>7</v>
      </c>
      <c r="F212" s="251" t="s">
        <v>281</v>
      </c>
      <c r="G212" s="250">
        <v>105570</v>
      </c>
      <c r="H212" s="250">
        <v>54283</v>
      </c>
      <c r="I212" s="250">
        <v>188936</v>
      </c>
      <c r="J212" s="252">
        <v>-2E-3</v>
      </c>
      <c r="K212" s="250">
        <v>90240</v>
      </c>
      <c r="L212" s="250">
        <v>45766</v>
      </c>
      <c r="M212" s="250">
        <v>163142</v>
      </c>
      <c r="N212" s="250">
        <v>15330</v>
      </c>
      <c r="O212" s="250">
        <v>8517</v>
      </c>
      <c r="P212" s="250">
        <v>25794</v>
      </c>
      <c r="Q212" s="253">
        <v>93727</v>
      </c>
      <c r="R212" s="254">
        <v>163.56011962890625</v>
      </c>
      <c r="S212" s="254">
        <v>90.870292663574219</v>
      </c>
      <c r="T212" s="255">
        <v>275.20352172851563</v>
      </c>
    </row>
    <row r="213" spans="2:20">
      <c r="B213" s="249" t="s">
        <v>501</v>
      </c>
      <c r="C213" s="250" t="s">
        <v>121</v>
      </c>
      <c r="D213" s="250" t="s">
        <v>201</v>
      </c>
      <c r="E213" s="251">
        <v>8</v>
      </c>
      <c r="F213" s="251" t="s">
        <v>281</v>
      </c>
      <c r="G213" s="250">
        <v>105570</v>
      </c>
      <c r="H213" s="250">
        <v>54283</v>
      </c>
      <c r="I213" s="250">
        <v>188936</v>
      </c>
      <c r="J213" s="252">
        <v>-2E-3</v>
      </c>
      <c r="K213" s="250">
        <v>89836</v>
      </c>
      <c r="L213" s="250">
        <v>45527</v>
      </c>
      <c r="M213" s="250">
        <v>162460</v>
      </c>
      <c r="N213" s="250">
        <v>15734</v>
      </c>
      <c r="O213" s="250">
        <v>8756</v>
      </c>
      <c r="P213" s="250">
        <v>26476</v>
      </c>
      <c r="Q213" s="253">
        <v>93727</v>
      </c>
      <c r="R213" s="254">
        <v>167.87051391601563</v>
      </c>
      <c r="S213" s="254">
        <v>93.420249938964844</v>
      </c>
      <c r="T213" s="255">
        <v>282.47998046875</v>
      </c>
    </row>
    <row r="214" spans="2:20">
      <c r="B214" s="249" t="s">
        <v>501</v>
      </c>
      <c r="C214" s="250" t="s">
        <v>121</v>
      </c>
      <c r="D214" s="250" t="s">
        <v>201</v>
      </c>
      <c r="E214" s="251">
        <v>9</v>
      </c>
      <c r="F214" s="251" t="s">
        <v>281</v>
      </c>
      <c r="G214" s="250">
        <v>105570</v>
      </c>
      <c r="H214" s="250">
        <v>54283</v>
      </c>
      <c r="I214" s="250">
        <v>188936</v>
      </c>
      <c r="J214" s="252">
        <v>-2E-3</v>
      </c>
      <c r="K214" s="250">
        <v>89681</v>
      </c>
      <c r="L214" s="250">
        <v>45469</v>
      </c>
      <c r="M214" s="250">
        <v>162255</v>
      </c>
      <c r="N214" s="250">
        <v>15889</v>
      </c>
      <c r="O214" s="250">
        <v>8814</v>
      </c>
      <c r="P214" s="250">
        <v>26681</v>
      </c>
      <c r="Q214" s="253">
        <v>93727</v>
      </c>
      <c r="R214" s="254">
        <v>169.52424621582031</v>
      </c>
      <c r="S214" s="254">
        <v>94.039070129394531</v>
      </c>
      <c r="T214" s="255">
        <v>284.66717529296875</v>
      </c>
    </row>
    <row r="215" spans="2:20">
      <c r="B215" s="249" t="s">
        <v>501</v>
      </c>
      <c r="C215" s="250" t="s">
        <v>121</v>
      </c>
      <c r="D215" s="250" t="s">
        <v>201</v>
      </c>
      <c r="E215" s="251">
        <v>10</v>
      </c>
      <c r="F215" s="251" t="s">
        <v>281</v>
      </c>
      <c r="G215" s="250">
        <v>105570</v>
      </c>
      <c r="H215" s="250">
        <v>54283</v>
      </c>
      <c r="I215" s="250">
        <v>188936</v>
      </c>
      <c r="J215" s="252">
        <v>-2E-3</v>
      </c>
      <c r="K215" s="250">
        <v>89473</v>
      </c>
      <c r="L215" s="250">
        <v>45409</v>
      </c>
      <c r="M215" s="250">
        <v>162026</v>
      </c>
      <c r="N215" s="250">
        <v>16097</v>
      </c>
      <c r="O215" s="250">
        <v>8874</v>
      </c>
      <c r="P215" s="250">
        <v>26910</v>
      </c>
      <c r="Q215" s="253">
        <v>93727</v>
      </c>
      <c r="R215" s="254">
        <v>171.74346923828125</v>
      </c>
      <c r="S215" s="254">
        <v>94.679229736328125</v>
      </c>
      <c r="T215" s="255">
        <v>287.11044311523438</v>
      </c>
    </row>
    <row r="216" spans="2:20">
      <c r="B216" s="249" t="s">
        <v>501</v>
      </c>
      <c r="C216" s="250" t="s">
        <v>121</v>
      </c>
      <c r="D216" s="250" t="s">
        <v>201</v>
      </c>
      <c r="E216" s="251">
        <v>11</v>
      </c>
      <c r="F216" s="251" t="s">
        <v>281</v>
      </c>
      <c r="G216" s="250">
        <v>105570</v>
      </c>
      <c r="H216" s="250">
        <v>54283</v>
      </c>
      <c r="I216" s="250">
        <v>188936</v>
      </c>
      <c r="J216" s="252">
        <v>-2E-3</v>
      </c>
      <c r="K216" s="250">
        <v>89360</v>
      </c>
      <c r="L216" s="250">
        <v>45285</v>
      </c>
      <c r="M216" s="250">
        <v>161685</v>
      </c>
      <c r="N216" s="250">
        <v>16210</v>
      </c>
      <c r="O216" s="250">
        <v>8998</v>
      </c>
      <c r="P216" s="250">
        <v>27251</v>
      </c>
      <c r="Q216" s="253">
        <v>123966</v>
      </c>
      <c r="R216" s="254">
        <v>130.76165771484375</v>
      </c>
      <c r="S216" s="254">
        <v>72.584419250488281</v>
      </c>
      <c r="T216" s="255">
        <v>219.82640075683594</v>
      </c>
    </row>
    <row r="217" spans="2:20">
      <c r="B217" s="249" t="s">
        <v>501</v>
      </c>
      <c r="C217" s="250" t="s">
        <v>121</v>
      </c>
      <c r="D217" s="250" t="s">
        <v>201</v>
      </c>
      <c r="E217" s="251">
        <v>12</v>
      </c>
      <c r="F217" s="251" t="s">
        <v>281</v>
      </c>
      <c r="G217" s="250">
        <v>105570</v>
      </c>
      <c r="H217" s="250">
        <v>54283</v>
      </c>
      <c r="I217" s="250">
        <v>188936</v>
      </c>
      <c r="J217" s="252">
        <v>-2E-3</v>
      </c>
      <c r="K217" s="250">
        <v>89161</v>
      </c>
      <c r="L217" s="250">
        <v>45225</v>
      </c>
      <c r="M217" s="250">
        <v>161356</v>
      </c>
      <c r="N217" s="250">
        <v>16409</v>
      </c>
      <c r="O217" s="250">
        <v>9058</v>
      </c>
      <c r="P217" s="250">
        <v>27580</v>
      </c>
      <c r="Q217" s="253">
        <v>93727</v>
      </c>
      <c r="R217" s="254">
        <v>175.07228088378906</v>
      </c>
      <c r="S217" s="254">
        <v>96.642372131347656</v>
      </c>
      <c r="T217" s="255">
        <v>294.25885009765625</v>
      </c>
    </row>
    <row r="218" spans="2:20">
      <c r="B218" s="249" t="s">
        <v>501</v>
      </c>
      <c r="C218" s="250" t="s">
        <v>121</v>
      </c>
      <c r="D218" s="250" t="s">
        <v>201</v>
      </c>
      <c r="E218" s="251">
        <v>13</v>
      </c>
      <c r="F218" s="251" t="s">
        <v>281</v>
      </c>
      <c r="G218" s="250">
        <v>105570</v>
      </c>
      <c r="H218" s="250">
        <v>54283</v>
      </c>
      <c r="I218" s="250">
        <v>188936</v>
      </c>
      <c r="J218" s="252">
        <v>-2E-3</v>
      </c>
      <c r="K218" s="250">
        <v>89020</v>
      </c>
      <c r="L218" s="250">
        <v>45167</v>
      </c>
      <c r="M218" s="250">
        <v>161211</v>
      </c>
      <c r="N218" s="250">
        <v>16550</v>
      </c>
      <c r="O218" s="250">
        <v>9116</v>
      </c>
      <c r="P218" s="250">
        <v>27725</v>
      </c>
      <c r="Q218" s="253">
        <v>93727</v>
      </c>
      <c r="R218" s="254">
        <v>176.57666015625</v>
      </c>
      <c r="S218" s="254">
        <v>97.261199951171875</v>
      </c>
      <c r="T218" s="255">
        <v>295.805908203125</v>
      </c>
    </row>
    <row r="219" spans="2:20">
      <c r="B219" s="249" t="s">
        <v>501</v>
      </c>
      <c r="C219" s="250" t="s">
        <v>121</v>
      </c>
      <c r="D219" s="250" t="s">
        <v>201</v>
      </c>
      <c r="E219" s="251">
        <v>14</v>
      </c>
      <c r="F219" s="251" t="s">
        <v>281</v>
      </c>
      <c r="G219" s="250">
        <v>105570</v>
      </c>
      <c r="H219" s="250">
        <v>54283</v>
      </c>
      <c r="I219" s="250">
        <v>188936</v>
      </c>
      <c r="J219" s="252">
        <v>-2E-3</v>
      </c>
      <c r="K219" s="250">
        <v>88444</v>
      </c>
      <c r="L219" s="250">
        <v>44994</v>
      </c>
      <c r="M219" s="250">
        <v>160511</v>
      </c>
      <c r="N219" s="250">
        <v>17126</v>
      </c>
      <c r="O219" s="250">
        <v>9289</v>
      </c>
      <c r="P219" s="250">
        <v>28425</v>
      </c>
      <c r="Q219" s="253">
        <v>93727</v>
      </c>
      <c r="R219" s="254">
        <v>182.72216796875</v>
      </c>
      <c r="S219" s="254">
        <v>99.106979370117188</v>
      </c>
      <c r="T219" s="255">
        <v>303.27438354492188</v>
      </c>
    </row>
    <row r="220" spans="2:20">
      <c r="B220" s="256" t="s">
        <v>501</v>
      </c>
      <c r="C220" s="257" t="s">
        <v>121</v>
      </c>
      <c r="D220" s="257" t="s">
        <v>201</v>
      </c>
      <c r="E220" s="258">
        <v>15</v>
      </c>
      <c r="F220" s="258" t="s">
        <v>281</v>
      </c>
      <c r="G220" s="257">
        <v>105570</v>
      </c>
      <c r="H220" s="257">
        <v>54283</v>
      </c>
      <c r="I220" s="257">
        <v>188936</v>
      </c>
      <c r="J220" s="259">
        <v>-2E-3</v>
      </c>
      <c r="K220" s="257">
        <v>88332</v>
      </c>
      <c r="L220" s="257">
        <v>44937</v>
      </c>
      <c r="M220" s="257">
        <v>160190</v>
      </c>
      <c r="N220" s="257">
        <v>17238</v>
      </c>
      <c r="O220" s="257">
        <v>9346</v>
      </c>
      <c r="P220" s="257">
        <v>28746</v>
      </c>
      <c r="Q220" s="260">
        <v>93727</v>
      </c>
      <c r="R220" s="261">
        <v>183.9171142578125</v>
      </c>
      <c r="S220" s="261">
        <v>99.715126037597656</v>
      </c>
      <c r="T220" s="262">
        <v>306.69924926757813</v>
      </c>
    </row>
    <row r="221" spans="2:20">
      <c r="B221" s="249" t="s">
        <v>501</v>
      </c>
      <c r="C221" s="250" t="s">
        <v>122</v>
      </c>
      <c r="D221" s="250" t="s">
        <v>502</v>
      </c>
      <c r="E221" s="251">
        <v>1</v>
      </c>
      <c r="F221" s="251" t="s">
        <v>281</v>
      </c>
      <c r="G221" s="250">
        <v>105570</v>
      </c>
      <c r="H221" s="250">
        <v>54283</v>
      </c>
      <c r="I221" s="250">
        <v>188936</v>
      </c>
      <c r="J221" s="252">
        <v>-1.2E-2</v>
      </c>
      <c r="K221" s="250">
        <v>97387</v>
      </c>
      <c r="L221" s="250">
        <v>49347</v>
      </c>
      <c r="M221" s="250">
        <v>176760</v>
      </c>
      <c r="N221" s="250">
        <v>8183</v>
      </c>
      <c r="O221" s="250">
        <v>4936</v>
      </c>
      <c r="P221" s="250">
        <v>12176</v>
      </c>
      <c r="Q221" s="253">
        <v>131759</v>
      </c>
      <c r="R221" s="254">
        <v>62.105815887451172</v>
      </c>
      <c r="S221" s="254">
        <v>37.462333679199219</v>
      </c>
      <c r="T221" s="255">
        <v>92.411148071289063</v>
      </c>
    </row>
    <row r="222" spans="2:20">
      <c r="B222" s="249" t="s">
        <v>501</v>
      </c>
      <c r="C222" s="250" t="s">
        <v>122</v>
      </c>
      <c r="D222" s="250" t="s">
        <v>502</v>
      </c>
      <c r="E222" s="251">
        <v>2</v>
      </c>
      <c r="F222" s="251" t="s">
        <v>281</v>
      </c>
      <c r="G222" s="250">
        <v>105570</v>
      </c>
      <c r="H222" s="250">
        <v>54283</v>
      </c>
      <c r="I222" s="250">
        <v>188936</v>
      </c>
      <c r="J222" s="252">
        <v>-1.2E-2</v>
      </c>
      <c r="K222" s="250">
        <v>96612</v>
      </c>
      <c r="L222" s="250">
        <v>48913</v>
      </c>
      <c r="M222" s="250">
        <v>175285</v>
      </c>
      <c r="N222" s="250">
        <v>8958</v>
      </c>
      <c r="O222" s="250">
        <v>5370</v>
      </c>
      <c r="P222" s="250">
        <v>13651</v>
      </c>
      <c r="Q222" s="253">
        <v>273529</v>
      </c>
      <c r="R222" s="254">
        <v>32.749729156494141</v>
      </c>
      <c r="S222" s="254">
        <v>19.632287979125977</v>
      </c>
      <c r="T222" s="255">
        <v>49.906959533691406</v>
      </c>
    </row>
    <row r="223" spans="2:20">
      <c r="B223" s="249" t="s">
        <v>501</v>
      </c>
      <c r="C223" s="250" t="s">
        <v>122</v>
      </c>
      <c r="D223" s="250" t="s">
        <v>502</v>
      </c>
      <c r="E223" s="251">
        <v>3</v>
      </c>
      <c r="F223" s="251" t="s">
        <v>281</v>
      </c>
      <c r="G223" s="250">
        <v>105570</v>
      </c>
      <c r="H223" s="250">
        <v>54283</v>
      </c>
      <c r="I223" s="250">
        <v>188936</v>
      </c>
      <c r="J223" s="252">
        <v>-1.2E-2</v>
      </c>
      <c r="K223" s="250">
        <v>95747</v>
      </c>
      <c r="L223" s="250">
        <v>48450</v>
      </c>
      <c r="M223" s="250">
        <v>173656</v>
      </c>
      <c r="N223" s="250">
        <v>9823</v>
      </c>
      <c r="O223" s="250">
        <v>5833</v>
      </c>
      <c r="P223" s="250">
        <v>15280</v>
      </c>
      <c r="Q223" s="253">
        <v>174910</v>
      </c>
      <c r="R223" s="254">
        <v>56.160312652587891</v>
      </c>
      <c r="S223" s="254">
        <v>33.348579406738281</v>
      </c>
      <c r="T223" s="255">
        <v>87.359214782714844</v>
      </c>
    </row>
    <row r="224" spans="2:20">
      <c r="B224" s="249" t="s">
        <v>501</v>
      </c>
      <c r="C224" s="250" t="s">
        <v>122</v>
      </c>
      <c r="D224" s="250" t="s">
        <v>502</v>
      </c>
      <c r="E224" s="251">
        <v>4</v>
      </c>
      <c r="F224" s="251" t="s">
        <v>281</v>
      </c>
      <c r="G224" s="250">
        <v>105570</v>
      </c>
      <c r="H224" s="250">
        <v>54283</v>
      </c>
      <c r="I224" s="250">
        <v>188936</v>
      </c>
      <c r="J224" s="252">
        <v>-1.2E-2</v>
      </c>
      <c r="K224" s="250">
        <v>94800</v>
      </c>
      <c r="L224" s="250">
        <v>47986</v>
      </c>
      <c r="M224" s="250">
        <v>171949</v>
      </c>
      <c r="N224" s="250">
        <v>10770</v>
      </c>
      <c r="O224" s="250">
        <v>6297</v>
      </c>
      <c r="P224" s="250">
        <v>16987</v>
      </c>
      <c r="Q224" s="253">
        <v>174910</v>
      </c>
      <c r="R224" s="254">
        <v>61.57452392578125</v>
      </c>
      <c r="S224" s="254">
        <v>36.001373291015625</v>
      </c>
      <c r="T224" s="255">
        <v>97.118522644042969</v>
      </c>
    </row>
    <row r="225" spans="2:27">
      <c r="B225" s="249" t="s">
        <v>501</v>
      </c>
      <c r="C225" s="250" t="s">
        <v>122</v>
      </c>
      <c r="D225" s="250" t="s">
        <v>502</v>
      </c>
      <c r="E225" s="251">
        <v>5</v>
      </c>
      <c r="F225" s="251" t="s">
        <v>281</v>
      </c>
      <c r="G225" s="250">
        <v>105570</v>
      </c>
      <c r="H225" s="250">
        <v>54283</v>
      </c>
      <c r="I225" s="250">
        <v>188936</v>
      </c>
      <c r="J225" s="252">
        <v>-1.2E-2</v>
      </c>
      <c r="K225" s="250">
        <v>93793</v>
      </c>
      <c r="L225" s="250">
        <v>47479</v>
      </c>
      <c r="M225" s="250">
        <v>169970</v>
      </c>
      <c r="N225" s="250">
        <v>11777</v>
      </c>
      <c r="O225" s="250">
        <v>6804</v>
      </c>
      <c r="P225" s="250">
        <v>18966</v>
      </c>
      <c r="Q225" s="253">
        <v>174910</v>
      </c>
      <c r="R225" s="254">
        <v>67.331771850585938</v>
      </c>
      <c r="S225" s="254">
        <v>38.900005340576172</v>
      </c>
      <c r="T225" s="255">
        <v>108.43291473388672</v>
      </c>
    </row>
    <row r="226" spans="2:27">
      <c r="B226" s="249" t="s">
        <v>501</v>
      </c>
      <c r="C226" s="250" t="s">
        <v>122</v>
      </c>
      <c r="D226" s="250" t="s">
        <v>201</v>
      </c>
      <c r="E226" s="251">
        <v>6</v>
      </c>
      <c r="F226" s="251" t="s">
        <v>281</v>
      </c>
      <c r="G226" s="250">
        <v>105570</v>
      </c>
      <c r="H226" s="250">
        <v>54283</v>
      </c>
      <c r="I226" s="250">
        <v>188936</v>
      </c>
      <c r="J226" s="252">
        <v>-3.0000000000000001E-3</v>
      </c>
      <c r="K226" s="250">
        <v>93570</v>
      </c>
      <c r="L226" s="250">
        <v>47386</v>
      </c>
      <c r="M226" s="250">
        <v>169520</v>
      </c>
      <c r="N226" s="250">
        <v>12000</v>
      </c>
      <c r="O226" s="250">
        <v>6897</v>
      </c>
      <c r="P226" s="250">
        <v>19416</v>
      </c>
      <c r="Q226" s="253">
        <v>117911</v>
      </c>
      <c r="R226" s="254">
        <v>101.77167510986328</v>
      </c>
      <c r="S226" s="254">
        <v>58.493270874023438</v>
      </c>
      <c r="T226" s="255">
        <v>164.66656494140625</v>
      </c>
    </row>
    <row r="227" spans="2:27">
      <c r="B227" s="249" t="s">
        <v>501</v>
      </c>
      <c r="C227" s="250" t="s">
        <v>122</v>
      </c>
      <c r="D227" s="250" t="s">
        <v>201</v>
      </c>
      <c r="E227" s="251">
        <v>7</v>
      </c>
      <c r="F227" s="251" t="s">
        <v>281</v>
      </c>
      <c r="G227" s="250">
        <v>105570</v>
      </c>
      <c r="H227" s="250">
        <v>54283</v>
      </c>
      <c r="I227" s="250">
        <v>188936</v>
      </c>
      <c r="J227" s="252">
        <v>-3.0000000000000001E-3</v>
      </c>
      <c r="K227" s="250">
        <v>93340</v>
      </c>
      <c r="L227" s="250">
        <v>47258</v>
      </c>
      <c r="M227" s="250">
        <v>169034</v>
      </c>
      <c r="N227" s="250">
        <v>12230</v>
      </c>
      <c r="O227" s="250">
        <v>7025</v>
      </c>
      <c r="P227" s="250">
        <v>19902</v>
      </c>
      <c r="Q227" s="253">
        <v>90500</v>
      </c>
      <c r="R227" s="254">
        <v>135.13812255859375</v>
      </c>
      <c r="S227" s="254">
        <v>77.624305725097656</v>
      </c>
      <c r="T227" s="255">
        <v>219.91160583496094</v>
      </c>
    </row>
    <row r="228" spans="2:27">
      <c r="B228" s="249" t="s">
        <v>501</v>
      </c>
      <c r="C228" s="250" t="s">
        <v>122</v>
      </c>
      <c r="D228" s="250" t="s">
        <v>201</v>
      </c>
      <c r="E228" s="251">
        <v>8</v>
      </c>
      <c r="F228" s="251" t="s">
        <v>281</v>
      </c>
      <c r="G228" s="250">
        <v>105570</v>
      </c>
      <c r="H228" s="250">
        <v>54283</v>
      </c>
      <c r="I228" s="250">
        <v>188936</v>
      </c>
      <c r="J228" s="252">
        <v>-3.0000000000000001E-3</v>
      </c>
      <c r="K228" s="250">
        <v>93095</v>
      </c>
      <c r="L228" s="250">
        <v>47106</v>
      </c>
      <c r="M228" s="250">
        <v>168468</v>
      </c>
      <c r="N228" s="250">
        <v>12475</v>
      </c>
      <c r="O228" s="250">
        <v>7177</v>
      </c>
      <c r="P228" s="250">
        <v>20468</v>
      </c>
      <c r="Q228" s="253">
        <v>90500</v>
      </c>
      <c r="R228" s="254">
        <v>137.84530639648438</v>
      </c>
      <c r="S228" s="254">
        <v>79.303871154785156</v>
      </c>
      <c r="T228" s="255">
        <v>226.16574096679688</v>
      </c>
    </row>
    <row r="229" spans="2:27">
      <c r="B229" s="249" t="s">
        <v>501</v>
      </c>
      <c r="C229" s="250" t="s">
        <v>122</v>
      </c>
      <c r="D229" s="250" t="s">
        <v>201</v>
      </c>
      <c r="E229" s="251">
        <v>9</v>
      </c>
      <c r="F229" s="251" t="s">
        <v>281</v>
      </c>
      <c r="G229" s="250">
        <v>105570</v>
      </c>
      <c r="H229" s="250">
        <v>54283</v>
      </c>
      <c r="I229" s="250">
        <v>188936</v>
      </c>
      <c r="J229" s="252">
        <v>-3.0000000000000001E-3</v>
      </c>
      <c r="K229" s="250">
        <v>92822</v>
      </c>
      <c r="L229" s="250">
        <v>46970</v>
      </c>
      <c r="M229" s="250">
        <v>168044</v>
      </c>
      <c r="N229" s="250">
        <v>12748</v>
      </c>
      <c r="O229" s="250">
        <v>7313</v>
      </c>
      <c r="P229" s="250">
        <v>20892</v>
      </c>
      <c r="Q229" s="253">
        <v>90500</v>
      </c>
      <c r="R229" s="254">
        <v>140.86187744140625</v>
      </c>
      <c r="S229" s="254">
        <v>80.806625366210938</v>
      </c>
      <c r="T229" s="255">
        <v>230.850830078125</v>
      </c>
    </row>
    <row r="230" spans="2:27">
      <c r="B230" s="249" t="s">
        <v>501</v>
      </c>
      <c r="C230" s="250" t="s">
        <v>122</v>
      </c>
      <c r="D230" s="250" t="s">
        <v>201</v>
      </c>
      <c r="E230" s="251">
        <v>10</v>
      </c>
      <c r="F230" s="251" t="s">
        <v>281</v>
      </c>
      <c r="G230" s="250">
        <v>105570</v>
      </c>
      <c r="H230" s="250">
        <v>54283</v>
      </c>
      <c r="I230" s="250">
        <v>188936</v>
      </c>
      <c r="J230" s="252">
        <v>-3.0000000000000001E-3</v>
      </c>
      <c r="K230" s="250">
        <v>92594</v>
      </c>
      <c r="L230" s="250">
        <v>46876</v>
      </c>
      <c r="M230" s="250">
        <v>167368</v>
      </c>
      <c r="N230" s="250">
        <v>12976</v>
      </c>
      <c r="O230" s="250">
        <v>7407</v>
      </c>
      <c r="P230" s="250">
        <v>21568</v>
      </c>
      <c r="Q230" s="253">
        <v>90500</v>
      </c>
      <c r="R230" s="254">
        <v>143.38121032714844</v>
      </c>
      <c r="S230" s="254">
        <v>81.845306396484375</v>
      </c>
      <c r="T230" s="255">
        <v>238.3204345703125</v>
      </c>
    </row>
    <row r="231" spans="2:27">
      <c r="B231" s="249" t="s">
        <v>501</v>
      </c>
      <c r="C231" s="250" t="s">
        <v>122</v>
      </c>
      <c r="D231" s="250" t="s">
        <v>201</v>
      </c>
      <c r="E231" s="251">
        <v>11</v>
      </c>
      <c r="F231" s="251" t="s">
        <v>281</v>
      </c>
      <c r="G231" s="250">
        <v>105570</v>
      </c>
      <c r="H231" s="250">
        <v>54283</v>
      </c>
      <c r="I231" s="250">
        <v>188936</v>
      </c>
      <c r="J231" s="252">
        <v>-3.0000000000000001E-3</v>
      </c>
      <c r="K231" s="250">
        <v>92369</v>
      </c>
      <c r="L231" s="250">
        <v>46775</v>
      </c>
      <c r="M231" s="250">
        <v>166917</v>
      </c>
      <c r="N231" s="250">
        <v>13201</v>
      </c>
      <c r="O231" s="250">
        <v>7508</v>
      </c>
      <c r="P231" s="250">
        <v>22019</v>
      </c>
      <c r="Q231" s="253">
        <v>117911</v>
      </c>
      <c r="R231" s="254">
        <v>111.95732879638672</v>
      </c>
      <c r="S231" s="254">
        <v>63.675144195556641</v>
      </c>
      <c r="T231" s="255">
        <v>186.74253845214844</v>
      </c>
    </row>
    <row r="232" spans="2:27">
      <c r="B232" s="249" t="s">
        <v>501</v>
      </c>
      <c r="C232" s="250" t="s">
        <v>122</v>
      </c>
      <c r="D232" s="250" t="s">
        <v>201</v>
      </c>
      <c r="E232" s="251">
        <v>12</v>
      </c>
      <c r="F232" s="251" t="s">
        <v>281</v>
      </c>
      <c r="G232" s="250">
        <v>105570</v>
      </c>
      <c r="H232" s="250">
        <v>54283</v>
      </c>
      <c r="I232" s="250">
        <v>188936</v>
      </c>
      <c r="J232" s="252">
        <v>-3.0000000000000001E-3</v>
      </c>
      <c r="K232" s="250">
        <v>92019</v>
      </c>
      <c r="L232" s="250">
        <v>46608</v>
      </c>
      <c r="M232" s="250">
        <v>166450</v>
      </c>
      <c r="N232" s="250">
        <v>13551</v>
      </c>
      <c r="O232" s="250">
        <v>7675</v>
      </c>
      <c r="P232" s="250">
        <v>22486</v>
      </c>
      <c r="Q232" s="253">
        <v>90500</v>
      </c>
      <c r="R232" s="254">
        <v>149.73481750488281</v>
      </c>
      <c r="S232" s="254">
        <v>84.806625366210938</v>
      </c>
      <c r="T232" s="255">
        <v>248.46409606933594</v>
      </c>
    </row>
    <row r="233" spans="2:27">
      <c r="B233" s="249" t="s">
        <v>501</v>
      </c>
      <c r="C233" s="250" t="s">
        <v>122</v>
      </c>
      <c r="D233" s="250" t="s">
        <v>201</v>
      </c>
      <c r="E233" s="251">
        <v>13</v>
      </c>
      <c r="F233" s="251" t="s">
        <v>281</v>
      </c>
      <c r="G233" s="250">
        <v>105570</v>
      </c>
      <c r="H233" s="250">
        <v>54283</v>
      </c>
      <c r="I233" s="250">
        <v>188936</v>
      </c>
      <c r="J233" s="252">
        <v>-3.0000000000000001E-3</v>
      </c>
      <c r="K233" s="250">
        <v>91899</v>
      </c>
      <c r="L233" s="250">
        <v>46568</v>
      </c>
      <c r="M233" s="250">
        <v>166147</v>
      </c>
      <c r="N233" s="250">
        <v>13671</v>
      </c>
      <c r="O233" s="250">
        <v>7715</v>
      </c>
      <c r="P233" s="250">
        <v>22789</v>
      </c>
      <c r="Q233" s="253">
        <v>90500</v>
      </c>
      <c r="R233" s="254">
        <v>151.06077575683594</v>
      </c>
      <c r="S233" s="254">
        <v>85.248619079589844</v>
      </c>
      <c r="T233" s="255">
        <v>251.81216430664063</v>
      </c>
    </row>
    <row r="234" spans="2:27">
      <c r="B234" s="249" t="s">
        <v>501</v>
      </c>
      <c r="C234" s="250" t="s">
        <v>122</v>
      </c>
      <c r="D234" s="250" t="s">
        <v>201</v>
      </c>
      <c r="E234" s="251">
        <v>14</v>
      </c>
      <c r="F234" s="251" t="s">
        <v>281</v>
      </c>
      <c r="G234" s="250">
        <v>105570</v>
      </c>
      <c r="H234" s="250">
        <v>54283</v>
      </c>
      <c r="I234" s="250">
        <v>188936</v>
      </c>
      <c r="J234" s="252">
        <v>-3.0000000000000001E-3</v>
      </c>
      <c r="K234" s="250">
        <v>91464</v>
      </c>
      <c r="L234" s="250">
        <v>46397</v>
      </c>
      <c r="M234" s="250">
        <v>165653</v>
      </c>
      <c r="N234" s="250">
        <v>14106</v>
      </c>
      <c r="O234" s="250">
        <v>7886</v>
      </c>
      <c r="P234" s="250">
        <v>23283</v>
      </c>
      <c r="Q234" s="253">
        <v>90500</v>
      </c>
      <c r="R234" s="254">
        <v>155.86740112304688</v>
      </c>
      <c r="S234" s="254">
        <v>87.13812255859375</v>
      </c>
      <c r="T234" s="255">
        <v>257.27072143554688</v>
      </c>
    </row>
    <row r="235" spans="2:27">
      <c r="B235" s="256" t="s">
        <v>501</v>
      </c>
      <c r="C235" s="257" t="s">
        <v>122</v>
      </c>
      <c r="D235" s="257" t="s">
        <v>201</v>
      </c>
      <c r="E235" s="258">
        <v>15</v>
      </c>
      <c r="F235" s="258" t="s">
        <v>281</v>
      </c>
      <c r="G235" s="257">
        <v>105570</v>
      </c>
      <c r="H235" s="257">
        <v>54283</v>
      </c>
      <c r="I235" s="257">
        <v>188936</v>
      </c>
      <c r="J235" s="259">
        <v>-3.0000000000000001E-3</v>
      </c>
      <c r="K235" s="257">
        <v>91305</v>
      </c>
      <c r="L235" s="257">
        <v>46282</v>
      </c>
      <c r="M235" s="257">
        <v>165167</v>
      </c>
      <c r="N235" s="257">
        <v>14265</v>
      </c>
      <c r="O235" s="257">
        <v>8001</v>
      </c>
      <c r="P235" s="257">
        <v>23769</v>
      </c>
      <c r="Q235" s="260">
        <v>90500</v>
      </c>
      <c r="R235" s="261">
        <v>157.62429809570313</v>
      </c>
      <c r="S235" s="261">
        <v>88.408843994140625</v>
      </c>
      <c r="T235" s="262">
        <v>262.64089965820313</v>
      </c>
    </row>
    <row r="236" spans="2:27">
      <c r="B236" s="249" t="s">
        <v>513</v>
      </c>
      <c r="C236" s="250" t="s">
        <v>242</v>
      </c>
      <c r="D236" s="250" t="s">
        <v>502</v>
      </c>
      <c r="E236" s="251">
        <v>1</v>
      </c>
      <c r="F236" s="251" t="s">
        <v>281</v>
      </c>
      <c r="G236" s="250">
        <v>93546</v>
      </c>
      <c r="H236" s="250">
        <v>50285</v>
      </c>
      <c r="I236" s="250">
        <v>163342</v>
      </c>
      <c r="J236" s="252">
        <v>-6.6000000000000003E-2</v>
      </c>
      <c r="K236" s="250">
        <v>83081</v>
      </c>
      <c r="L236" s="250">
        <v>44126</v>
      </c>
      <c r="M236" s="250">
        <v>146407</v>
      </c>
      <c r="N236" s="250">
        <v>10465</v>
      </c>
      <c r="O236" s="250">
        <v>6159</v>
      </c>
      <c r="P236" s="250">
        <v>16935</v>
      </c>
      <c r="Q236" s="253">
        <v>977845</v>
      </c>
      <c r="R236" s="254">
        <v>10.702105522155762</v>
      </c>
      <c r="S236" s="254">
        <v>6.2985444068908691</v>
      </c>
      <c r="T236" s="255">
        <v>17.318695068359375</v>
      </c>
      <c r="U236"/>
      <c r="V236"/>
      <c r="W236"/>
      <c r="X236"/>
      <c r="Y236"/>
      <c r="Z236"/>
      <c r="AA236"/>
    </row>
    <row r="237" spans="2:27">
      <c r="B237" s="249" t="s">
        <v>513</v>
      </c>
      <c r="C237" s="250" t="s">
        <v>242</v>
      </c>
      <c r="D237" s="250" t="s">
        <v>502</v>
      </c>
      <c r="E237" s="251">
        <v>2</v>
      </c>
      <c r="F237" s="251" t="s">
        <v>281</v>
      </c>
      <c r="G237" s="250">
        <v>93546</v>
      </c>
      <c r="H237" s="250">
        <v>50285</v>
      </c>
      <c r="I237" s="250">
        <v>163342</v>
      </c>
      <c r="J237" s="252">
        <v>-6.6000000000000003E-2</v>
      </c>
      <c r="K237" s="250">
        <v>77645</v>
      </c>
      <c r="L237" s="250">
        <v>41358</v>
      </c>
      <c r="M237" s="250">
        <v>136850</v>
      </c>
      <c r="N237" s="250">
        <v>15901</v>
      </c>
      <c r="O237" s="250">
        <v>8927</v>
      </c>
      <c r="P237" s="250">
        <v>26492</v>
      </c>
      <c r="Q237" s="253">
        <v>1239352</v>
      </c>
      <c r="R237" s="254">
        <v>12.83009147644043</v>
      </c>
      <c r="S237" s="254">
        <v>7.2029576301574707</v>
      </c>
      <c r="T237" s="255">
        <v>21.375686645507813</v>
      </c>
      <c r="U237"/>
      <c r="V237"/>
      <c r="W237"/>
      <c r="X237"/>
      <c r="Y237"/>
      <c r="Z237"/>
      <c r="AA237"/>
    </row>
    <row r="238" spans="2:27">
      <c r="B238" s="249" t="s">
        <v>513</v>
      </c>
      <c r="C238" s="250" t="s">
        <v>242</v>
      </c>
      <c r="D238" s="250" t="s">
        <v>502</v>
      </c>
      <c r="E238" s="251">
        <v>3</v>
      </c>
      <c r="F238" s="251" t="s">
        <v>281</v>
      </c>
      <c r="G238" s="250">
        <v>93546</v>
      </c>
      <c r="H238" s="250">
        <v>50285</v>
      </c>
      <c r="I238" s="250">
        <v>163342</v>
      </c>
      <c r="J238" s="252">
        <v>-6.6000000000000003E-2</v>
      </c>
      <c r="K238" s="250">
        <v>72694</v>
      </c>
      <c r="L238" s="250">
        <v>38644</v>
      </c>
      <c r="M238" s="250">
        <v>127962</v>
      </c>
      <c r="N238" s="250">
        <v>20852</v>
      </c>
      <c r="O238" s="250">
        <v>11641</v>
      </c>
      <c r="P238" s="250">
        <v>35380</v>
      </c>
      <c r="Q238" s="253">
        <v>837959</v>
      </c>
      <c r="R238" s="254">
        <v>24.884271621704102</v>
      </c>
      <c r="S238" s="254">
        <v>13.892087936401367</v>
      </c>
      <c r="T238" s="255">
        <v>42.221633911132813</v>
      </c>
      <c r="U238"/>
      <c r="V238"/>
      <c r="W238"/>
      <c r="X238"/>
      <c r="Y238"/>
      <c r="Z238"/>
      <c r="AA238"/>
    </row>
    <row r="239" spans="2:27">
      <c r="B239" s="249" t="s">
        <v>513</v>
      </c>
      <c r="C239" s="250" t="s">
        <v>242</v>
      </c>
      <c r="D239" s="250" t="s">
        <v>502</v>
      </c>
      <c r="E239" s="251">
        <v>4</v>
      </c>
      <c r="F239" s="251" t="s">
        <v>281</v>
      </c>
      <c r="G239" s="250">
        <v>93546</v>
      </c>
      <c r="H239" s="250">
        <v>50285</v>
      </c>
      <c r="I239" s="250">
        <v>163342</v>
      </c>
      <c r="J239" s="252">
        <v>-6.6000000000000003E-2</v>
      </c>
      <c r="K239" s="250">
        <v>67855</v>
      </c>
      <c r="L239" s="250">
        <v>36037</v>
      </c>
      <c r="M239" s="250">
        <v>119435</v>
      </c>
      <c r="N239" s="250">
        <v>25691</v>
      </c>
      <c r="O239" s="250">
        <v>14248</v>
      </c>
      <c r="P239" s="250">
        <v>43907</v>
      </c>
      <c r="Q239" s="253">
        <v>855330</v>
      </c>
      <c r="R239" s="254">
        <v>30.036359786987305</v>
      </c>
      <c r="S239" s="254">
        <v>16.65789794921875</v>
      </c>
      <c r="T239" s="255">
        <v>51.333404541015625</v>
      </c>
      <c r="U239"/>
      <c r="V239"/>
      <c r="W239"/>
      <c r="X239"/>
      <c r="Y239"/>
      <c r="Z239"/>
      <c r="AA239"/>
    </row>
    <row r="240" spans="2:27">
      <c r="B240" s="249" t="s">
        <v>513</v>
      </c>
      <c r="C240" s="250" t="s">
        <v>242</v>
      </c>
      <c r="D240" s="250" t="s">
        <v>502</v>
      </c>
      <c r="E240" s="251">
        <v>5</v>
      </c>
      <c r="F240" s="251" t="s">
        <v>281</v>
      </c>
      <c r="G240" s="250">
        <v>93546</v>
      </c>
      <c r="H240" s="250">
        <v>50285</v>
      </c>
      <c r="I240" s="250">
        <v>163342</v>
      </c>
      <c r="J240" s="252">
        <v>-6.6000000000000003E-2</v>
      </c>
      <c r="K240" s="250">
        <v>63399</v>
      </c>
      <c r="L240" s="250">
        <v>33643</v>
      </c>
      <c r="M240" s="250">
        <v>111227</v>
      </c>
      <c r="N240" s="250">
        <v>30147</v>
      </c>
      <c r="O240" s="250">
        <v>16642</v>
      </c>
      <c r="P240" s="250">
        <v>52115</v>
      </c>
      <c r="Q240" s="253">
        <v>837959</v>
      </c>
      <c r="R240" s="254">
        <v>35.976699829101563</v>
      </c>
      <c r="S240" s="254">
        <v>19.860158920288086</v>
      </c>
      <c r="T240" s="255">
        <v>62.192779541015625</v>
      </c>
      <c r="U240"/>
      <c r="V240"/>
      <c r="W240"/>
      <c r="X240"/>
      <c r="Y240"/>
      <c r="Z240"/>
      <c r="AA240"/>
    </row>
    <row r="241" spans="2:27">
      <c r="B241" s="249" t="s">
        <v>513</v>
      </c>
      <c r="C241" s="250" t="s">
        <v>242</v>
      </c>
      <c r="D241" s="250" t="s">
        <v>201</v>
      </c>
      <c r="E241" s="251">
        <v>6</v>
      </c>
      <c r="F241" s="251" t="s">
        <v>281</v>
      </c>
      <c r="G241" s="250">
        <v>93546</v>
      </c>
      <c r="H241" s="250">
        <v>50285</v>
      </c>
      <c r="I241" s="250">
        <v>163342</v>
      </c>
      <c r="J241" s="252">
        <v>-1.24E-2</v>
      </c>
      <c r="K241" s="250">
        <v>62644</v>
      </c>
      <c r="L241" s="250">
        <v>33230</v>
      </c>
      <c r="M241" s="250">
        <v>110100</v>
      </c>
      <c r="N241" s="250">
        <v>30902</v>
      </c>
      <c r="O241" s="250">
        <v>17055</v>
      </c>
      <c r="P241" s="250">
        <v>53242</v>
      </c>
      <c r="Q241" s="253">
        <v>661371</v>
      </c>
      <c r="R241" s="254">
        <v>46.724151611328125</v>
      </c>
      <c r="S241" s="254">
        <v>25.787342071533203</v>
      </c>
      <c r="T241" s="255">
        <v>80.502471923828125</v>
      </c>
      <c r="U241"/>
      <c r="V241"/>
      <c r="W241"/>
      <c r="X241"/>
      <c r="Y241"/>
      <c r="Z241"/>
      <c r="AA241"/>
    </row>
    <row r="242" spans="2:27">
      <c r="B242" s="249" t="s">
        <v>513</v>
      </c>
      <c r="C242" s="250" t="s">
        <v>242</v>
      </c>
      <c r="D242" s="250" t="s">
        <v>201</v>
      </c>
      <c r="E242" s="251">
        <v>7</v>
      </c>
      <c r="F242" s="251" t="s">
        <v>281</v>
      </c>
      <c r="G242" s="250">
        <v>93546</v>
      </c>
      <c r="H242" s="250">
        <v>50285</v>
      </c>
      <c r="I242" s="250">
        <v>163342</v>
      </c>
      <c r="J242" s="252">
        <v>-1.24E-2</v>
      </c>
      <c r="K242" s="250">
        <v>61875</v>
      </c>
      <c r="L242" s="250">
        <v>32793</v>
      </c>
      <c r="M242" s="250">
        <v>108726</v>
      </c>
      <c r="N242" s="250">
        <v>31671</v>
      </c>
      <c r="O242" s="250">
        <v>17492</v>
      </c>
      <c r="P242" s="250">
        <v>54616</v>
      </c>
      <c r="Q242" s="253">
        <v>504727</v>
      </c>
      <c r="R242" s="254">
        <v>62.748775482177734</v>
      </c>
      <c r="S242" s="254">
        <v>34.656356811523438</v>
      </c>
      <c r="T242" s="255">
        <v>108.20899200439453</v>
      </c>
      <c r="U242"/>
      <c r="V242"/>
      <c r="W242"/>
      <c r="X242"/>
      <c r="Y242"/>
      <c r="Z242"/>
      <c r="AA242"/>
    </row>
    <row r="243" spans="2:27">
      <c r="B243" s="249" t="s">
        <v>513</v>
      </c>
      <c r="C243" s="250" t="s">
        <v>242</v>
      </c>
      <c r="D243" s="250" t="s">
        <v>201</v>
      </c>
      <c r="E243" s="251">
        <v>8</v>
      </c>
      <c r="F243" s="251" t="s">
        <v>281</v>
      </c>
      <c r="G243" s="250">
        <v>93546</v>
      </c>
      <c r="H243" s="250">
        <v>50285</v>
      </c>
      <c r="I243" s="250">
        <v>163342</v>
      </c>
      <c r="J243" s="252">
        <v>-1.24E-2</v>
      </c>
      <c r="K243" s="250">
        <v>61081</v>
      </c>
      <c r="L243" s="250">
        <v>32487</v>
      </c>
      <c r="M243" s="250">
        <v>107345</v>
      </c>
      <c r="N243" s="250">
        <v>32465</v>
      </c>
      <c r="O243" s="250">
        <v>17798</v>
      </c>
      <c r="P243" s="250">
        <v>55997</v>
      </c>
      <c r="Q243" s="253">
        <v>487356</v>
      </c>
      <c r="R243" s="254">
        <v>66.614547729492188</v>
      </c>
      <c r="S243" s="254">
        <v>36.519504547119141</v>
      </c>
      <c r="T243" s="255">
        <v>114.89958190917969</v>
      </c>
      <c r="U243"/>
      <c r="V243"/>
      <c r="W243"/>
      <c r="X243"/>
      <c r="Y243"/>
      <c r="Z243"/>
      <c r="AA243"/>
    </row>
    <row r="244" spans="2:27">
      <c r="B244" s="249" t="s">
        <v>513</v>
      </c>
      <c r="C244" s="250" t="s">
        <v>242</v>
      </c>
      <c r="D244" s="250" t="s">
        <v>201</v>
      </c>
      <c r="E244" s="251">
        <v>9</v>
      </c>
      <c r="F244" s="251" t="s">
        <v>281</v>
      </c>
      <c r="G244" s="250">
        <v>93546</v>
      </c>
      <c r="H244" s="250">
        <v>50285</v>
      </c>
      <c r="I244" s="250">
        <v>163342</v>
      </c>
      <c r="J244" s="252">
        <v>-1.24E-2</v>
      </c>
      <c r="K244" s="250">
        <v>60484</v>
      </c>
      <c r="L244" s="250">
        <v>32115</v>
      </c>
      <c r="M244" s="250">
        <v>106235</v>
      </c>
      <c r="N244" s="250">
        <v>33062</v>
      </c>
      <c r="O244" s="250">
        <v>18170</v>
      </c>
      <c r="P244" s="250">
        <v>57107</v>
      </c>
      <c r="Q244" s="253">
        <v>487356</v>
      </c>
      <c r="R244" s="254">
        <v>67.839523315429688</v>
      </c>
      <c r="S244" s="254">
        <v>37.282806396484375</v>
      </c>
      <c r="T244" s="255">
        <v>117.17716979980469</v>
      </c>
      <c r="U244"/>
      <c r="V244"/>
      <c r="W244"/>
      <c r="X244"/>
      <c r="Y244"/>
      <c r="Z244"/>
      <c r="AA244"/>
    </row>
    <row r="245" spans="2:27">
      <c r="B245" s="249" t="s">
        <v>513</v>
      </c>
      <c r="C245" s="250" t="s">
        <v>242</v>
      </c>
      <c r="D245" s="250" t="s">
        <v>201</v>
      </c>
      <c r="E245" s="251">
        <v>10</v>
      </c>
      <c r="F245" s="251" t="s">
        <v>281</v>
      </c>
      <c r="G245" s="250">
        <v>93546</v>
      </c>
      <c r="H245" s="250">
        <v>50285</v>
      </c>
      <c r="I245" s="250">
        <v>163342</v>
      </c>
      <c r="J245" s="252">
        <v>-1.24E-2</v>
      </c>
      <c r="K245" s="250">
        <v>59960</v>
      </c>
      <c r="L245" s="250">
        <v>31807</v>
      </c>
      <c r="M245" s="250">
        <v>105283</v>
      </c>
      <c r="N245" s="250">
        <v>33586</v>
      </c>
      <c r="O245" s="250">
        <v>18478</v>
      </c>
      <c r="P245" s="250">
        <v>58059</v>
      </c>
      <c r="Q245" s="253">
        <v>504727</v>
      </c>
      <c r="R245" s="254">
        <v>66.542900085449219</v>
      </c>
      <c r="S245" s="254">
        <v>36.609889984130859</v>
      </c>
      <c r="T245" s="255">
        <v>115.03050231933594</v>
      </c>
      <c r="U245"/>
      <c r="V245"/>
      <c r="W245"/>
      <c r="X245"/>
      <c r="Y245"/>
      <c r="Z245"/>
      <c r="AA245"/>
    </row>
    <row r="246" spans="2:27">
      <c r="B246" s="249" t="s">
        <v>513</v>
      </c>
      <c r="C246" s="250" t="s">
        <v>242</v>
      </c>
      <c r="D246" s="250" t="s">
        <v>201</v>
      </c>
      <c r="E246" s="251">
        <v>11</v>
      </c>
      <c r="F246" s="251" t="s">
        <v>281</v>
      </c>
      <c r="G246" s="250">
        <v>93546</v>
      </c>
      <c r="H246" s="250">
        <v>50285</v>
      </c>
      <c r="I246" s="250">
        <v>163342</v>
      </c>
      <c r="J246" s="252">
        <v>-1.24E-2</v>
      </c>
      <c r="K246" s="250">
        <v>57876</v>
      </c>
      <c r="L246" s="250">
        <v>30891</v>
      </c>
      <c r="M246" s="250">
        <v>102276</v>
      </c>
      <c r="N246" s="250">
        <v>35670</v>
      </c>
      <c r="O246" s="250">
        <v>19394</v>
      </c>
      <c r="P246" s="250">
        <v>61066</v>
      </c>
      <c r="Q246" s="253">
        <v>661371</v>
      </c>
      <c r="R246" s="254">
        <v>53.933418273925781</v>
      </c>
      <c r="S246" s="254">
        <v>29.323936462402344</v>
      </c>
      <c r="T246" s="255">
        <v>92.332443237304688</v>
      </c>
      <c r="U246"/>
      <c r="V246"/>
      <c r="W246"/>
      <c r="X246"/>
      <c r="Y246"/>
      <c r="Z246"/>
      <c r="AA246"/>
    </row>
    <row r="247" spans="2:27">
      <c r="B247" s="249" t="s">
        <v>513</v>
      </c>
      <c r="C247" s="250" t="s">
        <v>242</v>
      </c>
      <c r="D247" s="250" t="s">
        <v>201</v>
      </c>
      <c r="E247" s="251">
        <v>12</v>
      </c>
      <c r="F247" s="251" t="s">
        <v>281</v>
      </c>
      <c r="G247" s="250">
        <v>93546</v>
      </c>
      <c r="H247" s="250">
        <v>50285</v>
      </c>
      <c r="I247" s="250">
        <v>163342</v>
      </c>
      <c r="J247" s="252">
        <v>-1.24E-2</v>
      </c>
      <c r="K247" s="250">
        <v>57306</v>
      </c>
      <c r="L247" s="250">
        <v>30591</v>
      </c>
      <c r="M247" s="250">
        <v>101353</v>
      </c>
      <c r="N247" s="250">
        <v>36240</v>
      </c>
      <c r="O247" s="250">
        <v>19694</v>
      </c>
      <c r="P247" s="250">
        <v>61989</v>
      </c>
      <c r="Q247" s="253">
        <v>487356</v>
      </c>
      <c r="R247" s="254">
        <v>74.360420227050781</v>
      </c>
      <c r="S247" s="254">
        <v>40.409885406494141</v>
      </c>
      <c r="T247" s="255">
        <v>127.19449615478516</v>
      </c>
      <c r="U247"/>
      <c r="V247"/>
      <c r="W247"/>
      <c r="X247"/>
      <c r="Y247"/>
      <c r="Z247"/>
      <c r="AA247"/>
    </row>
    <row r="248" spans="2:27">
      <c r="B248" s="249" t="s">
        <v>513</v>
      </c>
      <c r="C248" s="250" t="s">
        <v>242</v>
      </c>
      <c r="D248" s="250" t="s">
        <v>201</v>
      </c>
      <c r="E248" s="251">
        <v>13</v>
      </c>
      <c r="F248" s="251" t="s">
        <v>281</v>
      </c>
      <c r="G248" s="250">
        <v>93546</v>
      </c>
      <c r="H248" s="250">
        <v>50285</v>
      </c>
      <c r="I248" s="250">
        <v>163342</v>
      </c>
      <c r="J248" s="252">
        <v>-1.24E-2</v>
      </c>
      <c r="K248" s="250">
        <v>56755</v>
      </c>
      <c r="L248" s="250">
        <v>30206</v>
      </c>
      <c r="M248" s="250">
        <v>100318</v>
      </c>
      <c r="N248" s="250">
        <v>36791</v>
      </c>
      <c r="O248" s="250">
        <v>20079</v>
      </c>
      <c r="P248" s="250">
        <v>63024</v>
      </c>
      <c r="Q248" s="253">
        <v>504727</v>
      </c>
      <c r="R248" s="254">
        <v>72.892875671386719</v>
      </c>
      <c r="S248" s="254">
        <v>39.781902313232422</v>
      </c>
      <c r="T248" s="255">
        <v>124.86750793457031</v>
      </c>
      <c r="U248"/>
      <c r="V248"/>
      <c r="W248"/>
      <c r="X248"/>
      <c r="Y248"/>
      <c r="Z248"/>
      <c r="AA248"/>
    </row>
    <row r="249" spans="2:27">
      <c r="B249" s="249" t="s">
        <v>513</v>
      </c>
      <c r="C249" s="250" t="s">
        <v>242</v>
      </c>
      <c r="D249" s="250" t="s">
        <v>201</v>
      </c>
      <c r="E249" s="251">
        <v>14</v>
      </c>
      <c r="F249" s="251" t="s">
        <v>281</v>
      </c>
      <c r="G249" s="250">
        <v>93546</v>
      </c>
      <c r="H249" s="250">
        <v>50285</v>
      </c>
      <c r="I249" s="250">
        <v>163342</v>
      </c>
      <c r="J249" s="252">
        <v>-1.24E-2</v>
      </c>
      <c r="K249" s="250">
        <v>55914</v>
      </c>
      <c r="L249" s="250">
        <v>29865</v>
      </c>
      <c r="M249" s="250">
        <v>98871</v>
      </c>
      <c r="N249" s="250">
        <v>37632</v>
      </c>
      <c r="O249" s="250">
        <v>20420</v>
      </c>
      <c r="P249" s="250">
        <v>64471</v>
      </c>
      <c r="Q249" s="253">
        <v>487356</v>
      </c>
      <c r="R249" s="254">
        <v>77.216651916503906</v>
      </c>
      <c r="S249" s="254">
        <v>41.899555206298828</v>
      </c>
      <c r="T249" s="255">
        <v>132.28727722167969</v>
      </c>
      <c r="U249"/>
      <c r="V249"/>
      <c r="W249"/>
      <c r="X249"/>
      <c r="Y249"/>
      <c r="Z249"/>
      <c r="AA249"/>
    </row>
    <row r="250" spans="2:27">
      <c r="B250" s="256" t="s">
        <v>513</v>
      </c>
      <c r="C250" s="257" t="s">
        <v>242</v>
      </c>
      <c r="D250" s="257" t="s">
        <v>201</v>
      </c>
      <c r="E250" s="258">
        <v>15</v>
      </c>
      <c r="F250" s="258" t="s">
        <v>281</v>
      </c>
      <c r="G250" s="257">
        <v>93546</v>
      </c>
      <c r="H250" s="257">
        <v>50285</v>
      </c>
      <c r="I250" s="257">
        <v>163342</v>
      </c>
      <c r="J250" s="259">
        <v>-1.24E-2</v>
      </c>
      <c r="K250" s="257">
        <v>55408</v>
      </c>
      <c r="L250" s="257">
        <v>29598</v>
      </c>
      <c r="M250" s="257">
        <v>97864</v>
      </c>
      <c r="N250" s="257">
        <v>38138</v>
      </c>
      <c r="O250" s="257">
        <v>20687</v>
      </c>
      <c r="P250" s="257">
        <v>65478</v>
      </c>
      <c r="Q250" s="260">
        <v>487356</v>
      </c>
      <c r="R250" s="261">
        <v>78.254905700683594</v>
      </c>
      <c r="S250" s="261">
        <v>42.447410583496094</v>
      </c>
      <c r="T250" s="262">
        <v>134.35353088378906</v>
      </c>
      <c r="U250"/>
      <c r="V250"/>
      <c r="W250"/>
      <c r="X250"/>
      <c r="Y250"/>
      <c r="Z250"/>
      <c r="AA250"/>
    </row>
    <row r="251" spans="2:27">
      <c r="B251" s="249" t="s">
        <v>513</v>
      </c>
      <c r="C251" s="250" t="s">
        <v>282</v>
      </c>
      <c r="D251" s="250" t="s">
        <v>502</v>
      </c>
      <c r="E251" s="251">
        <v>1</v>
      </c>
      <c r="F251" s="251" t="s">
        <v>281</v>
      </c>
      <c r="G251" s="250">
        <v>93546</v>
      </c>
      <c r="H251" s="250">
        <v>50285</v>
      </c>
      <c r="I251" s="250">
        <v>163342</v>
      </c>
      <c r="J251" s="252">
        <v>-3.6400000000000002E-2</v>
      </c>
      <c r="K251" s="250">
        <v>85254</v>
      </c>
      <c r="L251" s="250">
        <v>45294</v>
      </c>
      <c r="M251" s="250">
        <v>150556</v>
      </c>
      <c r="N251" s="250">
        <v>8292</v>
      </c>
      <c r="O251" s="250">
        <v>4991</v>
      </c>
      <c r="P251" s="250">
        <v>12786</v>
      </c>
      <c r="Q251" s="253">
        <v>420165</v>
      </c>
      <c r="R251" s="254">
        <v>19.735103607177734</v>
      </c>
      <c r="S251" s="254">
        <v>11.878666877746582</v>
      </c>
      <c r="T251" s="255">
        <v>30.430902481079102</v>
      </c>
    </row>
    <row r="252" spans="2:27">
      <c r="B252" s="249" t="s">
        <v>513</v>
      </c>
      <c r="C252" s="250" t="s">
        <v>282</v>
      </c>
      <c r="D252" s="250" t="s">
        <v>502</v>
      </c>
      <c r="E252" s="251">
        <v>2</v>
      </c>
      <c r="F252" s="251" t="s">
        <v>281</v>
      </c>
      <c r="G252" s="250">
        <v>93546</v>
      </c>
      <c r="H252" s="250">
        <v>50285</v>
      </c>
      <c r="I252" s="250">
        <v>163342</v>
      </c>
      <c r="J252" s="252">
        <v>-3.6400000000000002E-2</v>
      </c>
      <c r="K252" s="250">
        <v>82586</v>
      </c>
      <c r="L252" s="250">
        <v>43822</v>
      </c>
      <c r="M252" s="250">
        <v>145358</v>
      </c>
      <c r="N252" s="250">
        <v>10960</v>
      </c>
      <c r="O252" s="250">
        <v>6463</v>
      </c>
      <c r="P252" s="250">
        <v>17984</v>
      </c>
      <c r="Q252" s="253">
        <v>188719</v>
      </c>
      <c r="R252" s="254">
        <v>58.075763702392578</v>
      </c>
      <c r="S252" s="254">
        <v>34.246681213378906</v>
      </c>
      <c r="T252" s="255">
        <v>95.295120239257813</v>
      </c>
    </row>
    <row r="253" spans="2:27">
      <c r="B253" s="249" t="s">
        <v>513</v>
      </c>
      <c r="C253" s="250" t="s">
        <v>282</v>
      </c>
      <c r="D253" s="250" t="s">
        <v>502</v>
      </c>
      <c r="E253" s="251">
        <v>3</v>
      </c>
      <c r="F253" s="251" t="s">
        <v>281</v>
      </c>
      <c r="G253" s="250">
        <v>93546</v>
      </c>
      <c r="H253" s="250">
        <v>50285</v>
      </c>
      <c r="I253" s="250">
        <v>163342</v>
      </c>
      <c r="J253" s="252">
        <v>-3.6400000000000002E-2</v>
      </c>
      <c r="K253" s="250">
        <v>79618</v>
      </c>
      <c r="L253" s="250">
        <v>42389</v>
      </c>
      <c r="M253" s="250">
        <v>140390</v>
      </c>
      <c r="N253" s="250">
        <v>13928</v>
      </c>
      <c r="O253" s="250">
        <v>7896</v>
      </c>
      <c r="P253" s="250">
        <v>22952</v>
      </c>
      <c r="Q253" s="253">
        <v>155920</v>
      </c>
      <c r="R253" s="254">
        <v>89.327857971191406</v>
      </c>
      <c r="S253" s="254">
        <v>50.641353607177734</v>
      </c>
      <c r="T253" s="255">
        <v>147.20370483398438</v>
      </c>
    </row>
    <row r="254" spans="2:27">
      <c r="B254" s="249" t="s">
        <v>513</v>
      </c>
      <c r="C254" s="250" t="s">
        <v>282</v>
      </c>
      <c r="D254" s="250" t="s">
        <v>502</v>
      </c>
      <c r="E254" s="251">
        <v>4</v>
      </c>
      <c r="F254" s="251" t="s">
        <v>281</v>
      </c>
      <c r="G254" s="250">
        <v>93546</v>
      </c>
      <c r="H254" s="250">
        <v>50285</v>
      </c>
      <c r="I254" s="250">
        <v>163342</v>
      </c>
      <c r="J254" s="252">
        <v>-3.6400000000000002E-2</v>
      </c>
      <c r="K254" s="250">
        <v>76999</v>
      </c>
      <c r="L254" s="250">
        <v>40919</v>
      </c>
      <c r="M254" s="250">
        <v>135365</v>
      </c>
      <c r="N254" s="250">
        <v>16547</v>
      </c>
      <c r="O254" s="250">
        <v>9366</v>
      </c>
      <c r="P254" s="250">
        <v>27977</v>
      </c>
      <c r="Q254" s="253">
        <v>155920</v>
      </c>
      <c r="R254" s="254">
        <v>106.12493896484375</v>
      </c>
      <c r="S254" s="254">
        <v>60.069267272949219</v>
      </c>
      <c r="T254" s="255">
        <v>179.4317626953125</v>
      </c>
    </row>
    <row r="255" spans="2:27">
      <c r="B255" s="249" t="s">
        <v>513</v>
      </c>
      <c r="C255" s="250" t="s">
        <v>282</v>
      </c>
      <c r="D255" s="250" t="s">
        <v>502</v>
      </c>
      <c r="E255" s="251">
        <v>5</v>
      </c>
      <c r="F255" s="251" t="s">
        <v>281</v>
      </c>
      <c r="G255" s="250">
        <v>93546</v>
      </c>
      <c r="H255" s="250">
        <v>50285</v>
      </c>
      <c r="I255" s="250">
        <v>163342</v>
      </c>
      <c r="J255" s="252">
        <v>-3.6400000000000002E-2</v>
      </c>
      <c r="K255" s="250">
        <v>74008</v>
      </c>
      <c r="L255" s="250">
        <v>39309</v>
      </c>
      <c r="M255" s="250">
        <v>130167</v>
      </c>
      <c r="N255" s="250">
        <v>19538</v>
      </c>
      <c r="O255" s="250">
        <v>10976</v>
      </c>
      <c r="P255" s="250">
        <v>33175</v>
      </c>
      <c r="Q255" s="253">
        <v>155920</v>
      </c>
      <c r="R255" s="254">
        <v>125.30784606933594</v>
      </c>
      <c r="S255" s="254">
        <v>70.395072937011719</v>
      </c>
      <c r="T255" s="255">
        <v>212.76937866210938</v>
      </c>
    </row>
    <row r="256" spans="2:27">
      <c r="B256" s="249" t="s">
        <v>513</v>
      </c>
      <c r="C256" s="250" t="s">
        <v>282</v>
      </c>
      <c r="D256" s="250" t="s">
        <v>201</v>
      </c>
      <c r="E256" s="251">
        <v>6</v>
      </c>
      <c r="F256" s="251" t="s">
        <v>281</v>
      </c>
      <c r="G256" s="250">
        <v>93546</v>
      </c>
      <c r="H256" s="250">
        <v>50285</v>
      </c>
      <c r="I256" s="250">
        <v>163342</v>
      </c>
      <c r="J256" s="252">
        <v>-9.1000000000000004E-3</v>
      </c>
      <c r="K256" s="250">
        <v>73475</v>
      </c>
      <c r="L256" s="250">
        <v>38964</v>
      </c>
      <c r="M256" s="250">
        <v>129182</v>
      </c>
      <c r="N256" s="250">
        <v>20071</v>
      </c>
      <c r="O256" s="250">
        <v>11321</v>
      </c>
      <c r="P256" s="250">
        <v>34160</v>
      </c>
      <c r="Q256" s="253">
        <v>188016</v>
      </c>
      <c r="R256" s="254">
        <v>106.75155639648438</v>
      </c>
      <c r="S256" s="254">
        <v>60.212963104248047</v>
      </c>
      <c r="T256" s="255">
        <v>181.68667602539063</v>
      </c>
    </row>
    <row r="257" spans="2:20">
      <c r="B257" s="249" t="s">
        <v>513</v>
      </c>
      <c r="C257" s="250" t="s">
        <v>282</v>
      </c>
      <c r="D257" s="250" t="s">
        <v>201</v>
      </c>
      <c r="E257" s="251">
        <v>7</v>
      </c>
      <c r="F257" s="251" t="s">
        <v>281</v>
      </c>
      <c r="G257" s="250">
        <v>93546</v>
      </c>
      <c r="H257" s="250">
        <v>50285</v>
      </c>
      <c r="I257" s="250">
        <v>163342</v>
      </c>
      <c r="J257" s="252">
        <v>-9.1000000000000004E-3</v>
      </c>
      <c r="K257" s="250">
        <v>72762</v>
      </c>
      <c r="L257" s="250">
        <v>38692</v>
      </c>
      <c r="M257" s="250">
        <v>128157</v>
      </c>
      <c r="N257" s="250">
        <v>20784</v>
      </c>
      <c r="O257" s="250">
        <v>11593</v>
      </c>
      <c r="P257" s="250">
        <v>35185</v>
      </c>
      <c r="Q257" s="253">
        <v>143207</v>
      </c>
      <c r="R257" s="254">
        <v>145.132568359375</v>
      </c>
      <c r="S257" s="254">
        <v>80.952751159667969</v>
      </c>
      <c r="T257" s="255">
        <v>245.69329833984375</v>
      </c>
    </row>
    <row r="258" spans="2:20">
      <c r="B258" s="249" t="s">
        <v>513</v>
      </c>
      <c r="C258" s="250" t="s">
        <v>282</v>
      </c>
      <c r="D258" s="250" t="s">
        <v>201</v>
      </c>
      <c r="E258" s="251">
        <v>8</v>
      </c>
      <c r="F258" s="251" t="s">
        <v>281</v>
      </c>
      <c r="G258" s="250">
        <v>93546</v>
      </c>
      <c r="H258" s="250">
        <v>50285</v>
      </c>
      <c r="I258" s="250">
        <v>163342</v>
      </c>
      <c r="J258" s="252">
        <v>-9.1000000000000004E-3</v>
      </c>
      <c r="K258" s="250">
        <v>72275</v>
      </c>
      <c r="L258" s="250">
        <v>38455</v>
      </c>
      <c r="M258" s="250">
        <v>126987</v>
      </c>
      <c r="N258" s="250">
        <v>21271</v>
      </c>
      <c r="O258" s="250">
        <v>11830</v>
      </c>
      <c r="P258" s="250">
        <v>36355</v>
      </c>
      <c r="Q258" s="253">
        <v>143207</v>
      </c>
      <c r="R258" s="254">
        <v>148.53323364257813</v>
      </c>
      <c r="S258" s="254">
        <v>82.607696533203125</v>
      </c>
      <c r="T258" s="255">
        <v>253.86328125</v>
      </c>
    </row>
    <row r="259" spans="2:20">
      <c r="B259" s="249" t="s">
        <v>513</v>
      </c>
      <c r="C259" s="250" t="s">
        <v>282</v>
      </c>
      <c r="D259" s="250" t="s">
        <v>201</v>
      </c>
      <c r="E259" s="251">
        <v>9</v>
      </c>
      <c r="F259" s="251" t="s">
        <v>281</v>
      </c>
      <c r="G259" s="250">
        <v>93546</v>
      </c>
      <c r="H259" s="250">
        <v>50285</v>
      </c>
      <c r="I259" s="250">
        <v>163342</v>
      </c>
      <c r="J259" s="252">
        <v>-9.1000000000000004E-3</v>
      </c>
      <c r="K259" s="250">
        <v>71766</v>
      </c>
      <c r="L259" s="250">
        <v>38122</v>
      </c>
      <c r="M259" s="250">
        <v>126231</v>
      </c>
      <c r="N259" s="250">
        <v>21780</v>
      </c>
      <c r="O259" s="250">
        <v>12163</v>
      </c>
      <c r="P259" s="250">
        <v>37111</v>
      </c>
      <c r="Q259" s="253">
        <v>143207</v>
      </c>
      <c r="R259" s="254">
        <v>152.08753967285156</v>
      </c>
      <c r="S259" s="254">
        <v>84.932998657226563</v>
      </c>
      <c r="T259" s="255">
        <v>259.14236450195313</v>
      </c>
    </row>
    <row r="260" spans="2:20">
      <c r="B260" s="249" t="s">
        <v>513</v>
      </c>
      <c r="C260" s="250" t="s">
        <v>282</v>
      </c>
      <c r="D260" s="250" t="s">
        <v>201</v>
      </c>
      <c r="E260" s="251">
        <v>10</v>
      </c>
      <c r="F260" s="251" t="s">
        <v>281</v>
      </c>
      <c r="G260" s="250">
        <v>93546</v>
      </c>
      <c r="H260" s="250">
        <v>50285</v>
      </c>
      <c r="I260" s="250">
        <v>163342</v>
      </c>
      <c r="J260" s="252">
        <v>-9.1000000000000004E-3</v>
      </c>
      <c r="K260" s="250">
        <v>70753</v>
      </c>
      <c r="L260" s="250">
        <v>37431</v>
      </c>
      <c r="M260" s="250">
        <v>124365</v>
      </c>
      <c r="N260" s="250">
        <v>22793</v>
      </c>
      <c r="O260" s="250">
        <v>12854</v>
      </c>
      <c r="P260" s="250">
        <v>38977</v>
      </c>
      <c r="Q260" s="253">
        <v>143207</v>
      </c>
      <c r="R260" s="254">
        <v>159.16120910644531</v>
      </c>
      <c r="S260" s="254">
        <v>89.7581787109375</v>
      </c>
      <c r="T260" s="255">
        <v>272.17245483398438</v>
      </c>
    </row>
    <row r="261" spans="2:20">
      <c r="B261" s="249" t="s">
        <v>513</v>
      </c>
      <c r="C261" s="250" t="s">
        <v>282</v>
      </c>
      <c r="D261" s="250" t="s">
        <v>201</v>
      </c>
      <c r="E261" s="251">
        <v>11</v>
      </c>
      <c r="F261" s="251" t="s">
        <v>281</v>
      </c>
      <c r="G261" s="250">
        <v>93546</v>
      </c>
      <c r="H261" s="250">
        <v>50285</v>
      </c>
      <c r="I261" s="250">
        <v>163342</v>
      </c>
      <c r="J261" s="252">
        <v>-9.1000000000000004E-3</v>
      </c>
      <c r="K261" s="250">
        <v>70137</v>
      </c>
      <c r="L261" s="250">
        <v>37127</v>
      </c>
      <c r="M261" s="250">
        <v>123394</v>
      </c>
      <c r="N261" s="250">
        <v>23409</v>
      </c>
      <c r="O261" s="250">
        <v>13158</v>
      </c>
      <c r="P261" s="250">
        <v>39948</v>
      </c>
      <c r="Q261" s="253">
        <v>188016</v>
      </c>
      <c r="R261" s="254">
        <v>124.50536346435547</v>
      </c>
      <c r="S261" s="254">
        <v>69.983406066894531</v>
      </c>
      <c r="T261" s="255">
        <v>212.47128295898438</v>
      </c>
    </row>
    <row r="262" spans="2:20">
      <c r="B262" s="249" t="s">
        <v>513</v>
      </c>
      <c r="C262" s="250" t="s">
        <v>282</v>
      </c>
      <c r="D262" s="250" t="s">
        <v>201</v>
      </c>
      <c r="E262" s="251">
        <v>12</v>
      </c>
      <c r="F262" s="251" t="s">
        <v>281</v>
      </c>
      <c r="G262" s="250">
        <v>93546</v>
      </c>
      <c r="H262" s="250">
        <v>50285</v>
      </c>
      <c r="I262" s="250">
        <v>163342</v>
      </c>
      <c r="J262" s="252">
        <v>-9.1000000000000004E-3</v>
      </c>
      <c r="K262" s="250">
        <v>69608</v>
      </c>
      <c r="L262" s="250">
        <v>36922</v>
      </c>
      <c r="M262" s="250">
        <v>122283</v>
      </c>
      <c r="N262" s="250">
        <v>23938</v>
      </c>
      <c r="O262" s="250">
        <v>13363</v>
      </c>
      <c r="P262" s="250">
        <v>41059</v>
      </c>
      <c r="Q262" s="253">
        <v>143207</v>
      </c>
      <c r="R262" s="254">
        <v>167.15663146972656</v>
      </c>
      <c r="S262" s="254">
        <v>93.312477111816406</v>
      </c>
      <c r="T262" s="255">
        <v>286.71084594726563</v>
      </c>
    </row>
    <row r="263" spans="2:20">
      <c r="B263" s="249" t="s">
        <v>513</v>
      </c>
      <c r="C263" s="250" t="s">
        <v>282</v>
      </c>
      <c r="D263" s="250" t="s">
        <v>201</v>
      </c>
      <c r="E263" s="251">
        <v>13</v>
      </c>
      <c r="F263" s="251" t="s">
        <v>281</v>
      </c>
      <c r="G263" s="250">
        <v>93546</v>
      </c>
      <c r="H263" s="250">
        <v>50285</v>
      </c>
      <c r="I263" s="250">
        <v>163342</v>
      </c>
      <c r="J263" s="252">
        <v>-9.1000000000000004E-3</v>
      </c>
      <c r="K263" s="250">
        <v>68799</v>
      </c>
      <c r="L263" s="250">
        <v>36515</v>
      </c>
      <c r="M263" s="250">
        <v>120888</v>
      </c>
      <c r="N263" s="250">
        <v>24747</v>
      </c>
      <c r="O263" s="250">
        <v>13770</v>
      </c>
      <c r="P263" s="250">
        <v>42454</v>
      </c>
      <c r="Q263" s="253">
        <v>143207</v>
      </c>
      <c r="R263" s="254">
        <v>172.80580139160156</v>
      </c>
      <c r="S263" s="254">
        <v>96.154518127441406</v>
      </c>
      <c r="T263" s="255">
        <v>296.45199584960938</v>
      </c>
    </row>
    <row r="264" spans="2:20">
      <c r="B264" s="249" t="s">
        <v>513</v>
      </c>
      <c r="C264" s="250" t="s">
        <v>282</v>
      </c>
      <c r="D264" s="250" t="s">
        <v>201</v>
      </c>
      <c r="E264" s="251">
        <v>14</v>
      </c>
      <c r="F264" s="251" t="s">
        <v>281</v>
      </c>
      <c r="G264" s="250">
        <v>93546</v>
      </c>
      <c r="H264" s="250">
        <v>50285</v>
      </c>
      <c r="I264" s="250">
        <v>163342</v>
      </c>
      <c r="J264" s="252">
        <v>-9.1000000000000004E-3</v>
      </c>
      <c r="K264" s="250">
        <v>68180</v>
      </c>
      <c r="L264" s="250">
        <v>36164</v>
      </c>
      <c r="M264" s="250">
        <v>120020</v>
      </c>
      <c r="N264" s="250">
        <v>25366</v>
      </c>
      <c r="O264" s="250">
        <v>14121</v>
      </c>
      <c r="P264" s="250">
        <v>43322</v>
      </c>
      <c r="Q264" s="253">
        <v>143207</v>
      </c>
      <c r="R264" s="254">
        <v>177.12820434570313</v>
      </c>
      <c r="S264" s="254">
        <v>98.605514526367188</v>
      </c>
      <c r="T264" s="255">
        <v>302.51315307617188</v>
      </c>
    </row>
    <row r="265" spans="2:20">
      <c r="B265" s="256" t="s">
        <v>513</v>
      </c>
      <c r="C265" s="257" t="s">
        <v>282</v>
      </c>
      <c r="D265" s="257" t="s">
        <v>201</v>
      </c>
      <c r="E265" s="258">
        <v>15</v>
      </c>
      <c r="F265" s="258" t="s">
        <v>281</v>
      </c>
      <c r="G265" s="257">
        <v>93546</v>
      </c>
      <c r="H265" s="257">
        <v>50285</v>
      </c>
      <c r="I265" s="257">
        <v>163342</v>
      </c>
      <c r="J265" s="259">
        <v>-9.1000000000000004E-3</v>
      </c>
      <c r="K265" s="257">
        <v>67657</v>
      </c>
      <c r="L265" s="257">
        <v>35938</v>
      </c>
      <c r="M265" s="257">
        <v>118997</v>
      </c>
      <c r="N265" s="257">
        <v>25889</v>
      </c>
      <c r="O265" s="257">
        <v>14347</v>
      </c>
      <c r="P265" s="257">
        <v>44345</v>
      </c>
      <c r="Q265" s="260">
        <v>143207</v>
      </c>
      <c r="R265" s="261">
        <v>180.78025817871094</v>
      </c>
      <c r="S265" s="261">
        <v>100.18364715576172</v>
      </c>
      <c r="T265" s="262">
        <v>309.65664672851563</v>
      </c>
    </row>
    <row r="266" spans="2:20">
      <c r="B266" s="249" t="s">
        <v>513</v>
      </c>
      <c r="C266" s="250" t="s">
        <v>77</v>
      </c>
      <c r="D266" s="250" t="s">
        <v>502</v>
      </c>
      <c r="E266" s="251">
        <v>1</v>
      </c>
      <c r="F266" s="251" t="s">
        <v>281</v>
      </c>
      <c r="G266" s="250">
        <v>93546</v>
      </c>
      <c r="H266" s="250">
        <v>50285</v>
      </c>
      <c r="I266" s="250">
        <v>163342</v>
      </c>
      <c r="J266" s="252">
        <v>-1.0800000000000001E-2</v>
      </c>
      <c r="K266" s="250">
        <v>86968</v>
      </c>
      <c r="L266" s="250">
        <v>46222</v>
      </c>
      <c r="M266" s="250">
        <v>153526</v>
      </c>
      <c r="N266" s="250">
        <v>6578</v>
      </c>
      <c r="O266" s="250">
        <v>4063</v>
      </c>
      <c r="P266" s="250">
        <v>9816</v>
      </c>
      <c r="Q266" s="253">
        <v>291952</v>
      </c>
      <c r="R266" s="254">
        <v>22.531101226806641</v>
      </c>
      <c r="S266" s="254">
        <v>13.916671752929688</v>
      </c>
      <c r="T266" s="255">
        <v>33.621967315673828</v>
      </c>
    </row>
    <row r="267" spans="2:20">
      <c r="B267" s="249" t="s">
        <v>513</v>
      </c>
      <c r="C267" s="250" t="s">
        <v>77</v>
      </c>
      <c r="D267" s="250" t="s">
        <v>502</v>
      </c>
      <c r="E267" s="251">
        <v>2</v>
      </c>
      <c r="F267" s="251" t="s">
        <v>281</v>
      </c>
      <c r="G267" s="250">
        <v>93546</v>
      </c>
      <c r="H267" s="250">
        <v>50285</v>
      </c>
      <c r="I267" s="250">
        <v>163342</v>
      </c>
      <c r="J267" s="252">
        <v>-1.0800000000000001E-2</v>
      </c>
      <c r="K267" s="250">
        <v>86274</v>
      </c>
      <c r="L267" s="250">
        <v>45872</v>
      </c>
      <c r="M267" s="250">
        <v>152405</v>
      </c>
      <c r="N267" s="250">
        <v>7272</v>
      </c>
      <c r="O267" s="250">
        <v>4413</v>
      </c>
      <c r="P267" s="250">
        <v>10937</v>
      </c>
      <c r="Q267" s="253">
        <v>503800</v>
      </c>
      <c r="R267" s="254">
        <v>14.434299468994141</v>
      </c>
      <c r="S267" s="254">
        <v>8.7594289779663086</v>
      </c>
      <c r="T267" s="255">
        <v>21.709011077880859</v>
      </c>
    </row>
    <row r="268" spans="2:20">
      <c r="B268" s="249" t="s">
        <v>513</v>
      </c>
      <c r="C268" s="250" t="s">
        <v>77</v>
      </c>
      <c r="D268" s="250" t="s">
        <v>502</v>
      </c>
      <c r="E268" s="251">
        <v>3</v>
      </c>
      <c r="F268" s="251" t="s">
        <v>281</v>
      </c>
      <c r="G268" s="250">
        <v>93546</v>
      </c>
      <c r="H268" s="250">
        <v>50285</v>
      </c>
      <c r="I268" s="250">
        <v>163342</v>
      </c>
      <c r="J268" s="252">
        <v>-1.0800000000000001E-2</v>
      </c>
      <c r="K268" s="250">
        <v>85618</v>
      </c>
      <c r="L268" s="250">
        <v>45476</v>
      </c>
      <c r="M268" s="250">
        <v>151121</v>
      </c>
      <c r="N268" s="250">
        <v>7928</v>
      </c>
      <c r="O268" s="250">
        <v>4809</v>
      </c>
      <c r="P268" s="250">
        <v>12221</v>
      </c>
      <c r="Q268" s="253">
        <v>336131</v>
      </c>
      <c r="R268" s="254">
        <v>23.586042404174805</v>
      </c>
      <c r="S268" s="254">
        <v>14.306922912597656</v>
      </c>
      <c r="T268" s="255">
        <v>36.35784912109375</v>
      </c>
    </row>
    <row r="269" spans="2:20">
      <c r="B269" s="249" t="s">
        <v>513</v>
      </c>
      <c r="C269" s="250" t="s">
        <v>77</v>
      </c>
      <c r="D269" s="250" t="s">
        <v>502</v>
      </c>
      <c r="E269" s="251">
        <v>4</v>
      </c>
      <c r="F269" s="251" t="s">
        <v>281</v>
      </c>
      <c r="G269" s="250">
        <v>93546</v>
      </c>
      <c r="H269" s="250">
        <v>50285</v>
      </c>
      <c r="I269" s="250">
        <v>163342</v>
      </c>
      <c r="J269" s="252">
        <v>-1.0800000000000001E-2</v>
      </c>
      <c r="K269" s="250">
        <v>84820</v>
      </c>
      <c r="L269" s="250">
        <v>45058</v>
      </c>
      <c r="M269" s="250">
        <v>149787</v>
      </c>
      <c r="N269" s="250">
        <v>8726</v>
      </c>
      <c r="O269" s="250">
        <v>5227</v>
      </c>
      <c r="P269" s="250">
        <v>13555</v>
      </c>
      <c r="Q269" s="253">
        <v>353502</v>
      </c>
      <c r="R269" s="254">
        <v>24.684442520141602</v>
      </c>
      <c r="S269" s="254">
        <v>14.786337852478027</v>
      </c>
      <c r="T269" s="255">
        <v>38.344905853271484</v>
      </c>
    </row>
    <row r="270" spans="2:20">
      <c r="B270" s="249" t="s">
        <v>513</v>
      </c>
      <c r="C270" s="250" t="s">
        <v>77</v>
      </c>
      <c r="D270" s="250" t="s">
        <v>502</v>
      </c>
      <c r="E270" s="251">
        <v>5</v>
      </c>
      <c r="F270" s="251" t="s">
        <v>281</v>
      </c>
      <c r="G270" s="250">
        <v>93546</v>
      </c>
      <c r="H270" s="250">
        <v>50285</v>
      </c>
      <c r="I270" s="250">
        <v>163342</v>
      </c>
      <c r="J270" s="252">
        <v>-1.0800000000000001E-2</v>
      </c>
      <c r="K270" s="250">
        <v>83994</v>
      </c>
      <c r="L270" s="250">
        <v>44625</v>
      </c>
      <c r="M270" s="250">
        <v>148225</v>
      </c>
      <c r="N270" s="250">
        <v>9552</v>
      </c>
      <c r="O270" s="250">
        <v>5660</v>
      </c>
      <c r="P270" s="250">
        <v>15117</v>
      </c>
      <c r="Q270" s="253">
        <v>336131</v>
      </c>
      <c r="R270" s="254">
        <v>28.417491912841797</v>
      </c>
      <c r="S270" s="254">
        <v>16.838672637939453</v>
      </c>
      <c r="T270" s="255">
        <v>44.973537445068359</v>
      </c>
    </row>
    <row r="271" spans="2:20">
      <c r="B271" s="249" t="s">
        <v>513</v>
      </c>
      <c r="C271" s="250" t="s">
        <v>77</v>
      </c>
      <c r="D271" s="250" t="s">
        <v>201</v>
      </c>
      <c r="E271" s="251">
        <v>6</v>
      </c>
      <c r="F271" s="251" t="s">
        <v>281</v>
      </c>
      <c r="G271" s="250">
        <v>93546</v>
      </c>
      <c r="H271" s="250">
        <v>50285</v>
      </c>
      <c r="I271" s="250">
        <v>163342</v>
      </c>
      <c r="J271" s="252">
        <v>-8.0000000000000004E-4</v>
      </c>
      <c r="K271" s="250">
        <v>83986</v>
      </c>
      <c r="L271" s="250">
        <v>44607</v>
      </c>
      <c r="M271" s="250">
        <v>148147</v>
      </c>
      <c r="N271" s="250">
        <v>9560</v>
      </c>
      <c r="O271" s="250">
        <v>5678</v>
      </c>
      <c r="P271" s="250">
        <v>15195</v>
      </c>
      <c r="Q271" s="253">
        <v>231478</v>
      </c>
      <c r="R271" s="254">
        <v>41.299819946289063</v>
      </c>
      <c r="S271" s="254">
        <v>24.529329299926758</v>
      </c>
      <c r="T271" s="255">
        <v>65.643386840820313</v>
      </c>
    </row>
    <row r="272" spans="2:20">
      <c r="B272" s="249" t="s">
        <v>513</v>
      </c>
      <c r="C272" s="250" t="s">
        <v>77</v>
      </c>
      <c r="D272" s="250" t="s">
        <v>201</v>
      </c>
      <c r="E272" s="251">
        <v>7</v>
      </c>
      <c r="F272" s="251" t="s">
        <v>281</v>
      </c>
      <c r="G272" s="250">
        <v>93546</v>
      </c>
      <c r="H272" s="250">
        <v>50285</v>
      </c>
      <c r="I272" s="250">
        <v>163342</v>
      </c>
      <c r="J272" s="252">
        <v>-8.0000000000000004E-4</v>
      </c>
      <c r="K272" s="250">
        <v>83938</v>
      </c>
      <c r="L272" s="250">
        <v>44569</v>
      </c>
      <c r="M272" s="250">
        <v>148030</v>
      </c>
      <c r="N272" s="250">
        <v>9608</v>
      </c>
      <c r="O272" s="250">
        <v>5716</v>
      </c>
      <c r="P272" s="250">
        <v>15312</v>
      </c>
      <c r="Q272" s="253">
        <v>177294</v>
      </c>
      <c r="R272" s="254">
        <v>54.192470550537109</v>
      </c>
      <c r="S272" s="254">
        <v>32.240234375</v>
      </c>
      <c r="T272" s="255">
        <v>86.365020751953125</v>
      </c>
    </row>
    <row r="273" spans="2:20">
      <c r="B273" s="249" t="s">
        <v>513</v>
      </c>
      <c r="C273" s="250" t="s">
        <v>77</v>
      </c>
      <c r="D273" s="250" t="s">
        <v>201</v>
      </c>
      <c r="E273" s="251">
        <v>8</v>
      </c>
      <c r="F273" s="251" t="s">
        <v>281</v>
      </c>
      <c r="G273" s="250">
        <v>93546</v>
      </c>
      <c r="H273" s="250">
        <v>50285</v>
      </c>
      <c r="I273" s="250">
        <v>163342</v>
      </c>
      <c r="J273" s="252">
        <v>-8.0000000000000004E-4</v>
      </c>
      <c r="K273" s="250">
        <v>83882</v>
      </c>
      <c r="L273" s="250">
        <v>44540</v>
      </c>
      <c r="M273" s="250">
        <v>147963</v>
      </c>
      <c r="N273" s="250">
        <v>9664</v>
      </c>
      <c r="O273" s="250">
        <v>5745</v>
      </c>
      <c r="P273" s="250">
        <v>15379</v>
      </c>
      <c r="Q273" s="253">
        <v>159923</v>
      </c>
      <c r="R273" s="254">
        <v>60.429080963134766</v>
      </c>
      <c r="S273" s="254">
        <v>35.923538208007813</v>
      </c>
      <c r="T273" s="255">
        <v>96.165031433105469</v>
      </c>
    </row>
    <row r="274" spans="2:20">
      <c r="B274" s="249" t="s">
        <v>513</v>
      </c>
      <c r="C274" s="250" t="s">
        <v>77</v>
      </c>
      <c r="D274" s="250" t="s">
        <v>201</v>
      </c>
      <c r="E274" s="251">
        <v>9</v>
      </c>
      <c r="F274" s="251" t="s">
        <v>281</v>
      </c>
      <c r="G274" s="250">
        <v>93546</v>
      </c>
      <c r="H274" s="250">
        <v>50285</v>
      </c>
      <c r="I274" s="250">
        <v>163342</v>
      </c>
      <c r="J274" s="252">
        <v>-8.0000000000000004E-4</v>
      </c>
      <c r="K274" s="250">
        <v>83767</v>
      </c>
      <c r="L274" s="250">
        <v>44473</v>
      </c>
      <c r="M274" s="250">
        <v>147796</v>
      </c>
      <c r="N274" s="250">
        <v>9779</v>
      </c>
      <c r="O274" s="250">
        <v>5812</v>
      </c>
      <c r="P274" s="250">
        <v>15546</v>
      </c>
      <c r="Q274" s="253">
        <v>159923</v>
      </c>
      <c r="R274" s="254">
        <v>61.148178100585938</v>
      </c>
      <c r="S274" s="254">
        <v>36.342491149902344</v>
      </c>
      <c r="T274" s="255">
        <v>97.209281921386719</v>
      </c>
    </row>
    <row r="275" spans="2:20">
      <c r="B275" s="249" t="s">
        <v>513</v>
      </c>
      <c r="C275" s="250" t="s">
        <v>77</v>
      </c>
      <c r="D275" s="250" t="s">
        <v>201</v>
      </c>
      <c r="E275" s="251">
        <v>10</v>
      </c>
      <c r="F275" s="251" t="s">
        <v>281</v>
      </c>
      <c r="G275" s="250">
        <v>93546</v>
      </c>
      <c r="H275" s="250">
        <v>50285</v>
      </c>
      <c r="I275" s="250">
        <v>163342</v>
      </c>
      <c r="J275" s="252">
        <v>-8.0000000000000004E-4</v>
      </c>
      <c r="K275" s="250">
        <v>83715</v>
      </c>
      <c r="L275" s="250">
        <v>44457</v>
      </c>
      <c r="M275" s="250">
        <v>147687</v>
      </c>
      <c r="N275" s="250">
        <v>9831</v>
      </c>
      <c r="O275" s="250">
        <v>5828</v>
      </c>
      <c r="P275" s="250">
        <v>15655</v>
      </c>
      <c r="Q275" s="253">
        <v>177294</v>
      </c>
      <c r="R275" s="254">
        <v>55.450267791748047</v>
      </c>
      <c r="S275" s="254">
        <v>32.871955871582031</v>
      </c>
      <c r="T275" s="255">
        <v>88.299659729003906</v>
      </c>
    </row>
    <row r="276" spans="2:20">
      <c r="B276" s="249" t="s">
        <v>513</v>
      </c>
      <c r="C276" s="250" t="s">
        <v>77</v>
      </c>
      <c r="D276" s="250" t="s">
        <v>201</v>
      </c>
      <c r="E276" s="251">
        <v>11</v>
      </c>
      <c r="F276" s="251" t="s">
        <v>281</v>
      </c>
      <c r="G276" s="250">
        <v>93546</v>
      </c>
      <c r="H276" s="250">
        <v>50285</v>
      </c>
      <c r="I276" s="250">
        <v>163342</v>
      </c>
      <c r="J276" s="252">
        <v>-8.0000000000000004E-4</v>
      </c>
      <c r="K276" s="250">
        <v>83683</v>
      </c>
      <c r="L276" s="250">
        <v>44449</v>
      </c>
      <c r="M276" s="250">
        <v>147570</v>
      </c>
      <c r="N276" s="250">
        <v>9863</v>
      </c>
      <c r="O276" s="250">
        <v>5836</v>
      </c>
      <c r="P276" s="250">
        <v>15772</v>
      </c>
      <c r="Q276" s="253">
        <v>231478</v>
      </c>
      <c r="R276" s="254">
        <v>42.608802795410156</v>
      </c>
      <c r="S276" s="254">
        <v>25.211898803710938</v>
      </c>
      <c r="T276" s="255">
        <v>68.136062622070313</v>
      </c>
    </row>
    <row r="277" spans="2:20">
      <c r="B277" s="249" t="s">
        <v>513</v>
      </c>
      <c r="C277" s="250" t="s">
        <v>77</v>
      </c>
      <c r="D277" s="250" t="s">
        <v>201</v>
      </c>
      <c r="E277" s="251">
        <v>12</v>
      </c>
      <c r="F277" s="251" t="s">
        <v>281</v>
      </c>
      <c r="G277" s="250">
        <v>93546</v>
      </c>
      <c r="H277" s="250">
        <v>50285</v>
      </c>
      <c r="I277" s="250">
        <v>163342</v>
      </c>
      <c r="J277" s="252">
        <v>-8.0000000000000004E-4</v>
      </c>
      <c r="K277" s="250">
        <v>83629</v>
      </c>
      <c r="L277" s="250">
        <v>44424</v>
      </c>
      <c r="M277" s="250">
        <v>147537</v>
      </c>
      <c r="N277" s="250">
        <v>9917</v>
      </c>
      <c r="O277" s="250">
        <v>5861</v>
      </c>
      <c r="P277" s="250">
        <v>15805</v>
      </c>
      <c r="Q277" s="253">
        <v>159923</v>
      </c>
      <c r="R277" s="254">
        <v>62.011093139648438</v>
      </c>
      <c r="S277" s="254">
        <v>36.648887634277344</v>
      </c>
      <c r="T277" s="255">
        <v>98.828811645507813</v>
      </c>
    </row>
    <row r="278" spans="2:20">
      <c r="B278" s="249" t="s">
        <v>513</v>
      </c>
      <c r="C278" s="250" t="s">
        <v>77</v>
      </c>
      <c r="D278" s="250" t="s">
        <v>201</v>
      </c>
      <c r="E278" s="251">
        <v>13</v>
      </c>
      <c r="F278" s="251" t="s">
        <v>281</v>
      </c>
      <c r="G278" s="250">
        <v>93546</v>
      </c>
      <c r="H278" s="250">
        <v>50285</v>
      </c>
      <c r="I278" s="250">
        <v>163342</v>
      </c>
      <c r="J278" s="252">
        <v>-8.0000000000000004E-4</v>
      </c>
      <c r="K278" s="250">
        <v>83546</v>
      </c>
      <c r="L278" s="250">
        <v>44367</v>
      </c>
      <c r="M278" s="250">
        <v>147330</v>
      </c>
      <c r="N278" s="250">
        <v>10000</v>
      </c>
      <c r="O278" s="250">
        <v>5918</v>
      </c>
      <c r="P278" s="250">
        <v>16012</v>
      </c>
      <c r="Q278" s="253">
        <v>177294</v>
      </c>
      <c r="R278" s="254">
        <v>56.403488159179688</v>
      </c>
      <c r="S278" s="254">
        <v>33.379585266113281</v>
      </c>
      <c r="T278" s="255">
        <v>90.313262939453125</v>
      </c>
    </row>
    <row r="279" spans="2:20">
      <c r="B279" s="249" t="s">
        <v>513</v>
      </c>
      <c r="C279" s="250" t="s">
        <v>77</v>
      </c>
      <c r="D279" s="250" t="s">
        <v>201</v>
      </c>
      <c r="E279" s="251">
        <v>14</v>
      </c>
      <c r="F279" s="251" t="s">
        <v>281</v>
      </c>
      <c r="G279" s="250">
        <v>93546</v>
      </c>
      <c r="H279" s="250">
        <v>50285</v>
      </c>
      <c r="I279" s="250">
        <v>163342</v>
      </c>
      <c r="J279" s="252">
        <v>-8.0000000000000004E-4</v>
      </c>
      <c r="K279" s="250">
        <v>83501</v>
      </c>
      <c r="L279" s="250">
        <v>44359</v>
      </c>
      <c r="M279" s="250">
        <v>147280</v>
      </c>
      <c r="N279" s="250">
        <v>10045</v>
      </c>
      <c r="O279" s="250">
        <v>5926</v>
      </c>
      <c r="P279" s="250">
        <v>16062</v>
      </c>
      <c r="Q279" s="253">
        <v>159923</v>
      </c>
      <c r="R279" s="254">
        <v>62.811477661132813</v>
      </c>
      <c r="S279" s="254">
        <v>37.055332183837891</v>
      </c>
      <c r="T279" s="255">
        <v>100.43583679199219</v>
      </c>
    </row>
    <row r="280" spans="2:20">
      <c r="B280" s="256" t="s">
        <v>513</v>
      </c>
      <c r="C280" s="257" t="s">
        <v>77</v>
      </c>
      <c r="D280" s="257" t="s">
        <v>201</v>
      </c>
      <c r="E280" s="258">
        <v>15</v>
      </c>
      <c r="F280" s="258" t="s">
        <v>281</v>
      </c>
      <c r="G280" s="257">
        <v>93546</v>
      </c>
      <c r="H280" s="257">
        <v>50285</v>
      </c>
      <c r="I280" s="257">
        <v>163342</v>
      </c>
      <c r="J280" s="259">
        <v>-8.0000000000000004E-4</v>
      </c>
      <c r="K280" s="257">
        <v>83450</v>
      </c>
      <c r="L280" s="257">
        <v>44351</v>
      </c>
      <c r="M280" s="257">
        <v>147227</v>
      </c>
      <c r="N280" s="257">
        <v>10096</v>
      </c>
      <c r="O280" s="257">
        <v>5934</v>
      </c>
      <c r="P280" s="257">
        <v>16115</v>
      </c>
      <c r="Q280" s="260">
        <v>159923</v>
      </c>
      <c r="R280" s="261">
        <v>63.130378723144531</v>
      </c>
      <c r="S280" s="261">
        <v>37.105354309082031</v>
      </c>
      <c r="T280" s="262">
        <v>100.76725006103516</v>
      </c>
    </row>
    <row r="281" spans="2:20">
      <c r="B281" s="249" t="s">
        <v>513</v>
      </c>
      <c r="C281" s="250" t="s">
        <v>121</v>
      </c>
      <c r="D281" s="250" t="s">
        <v>502</v>
      </c>
      <c r="E281" s="251">
        <v>1</v>
      </c>
      <c r="F281" s="251" t="s">
        <v>281</v>
      </c>
      <c r="G281" s="250">
        <v>93546</v>
      </c>
      <c r="H281" s="250">
        <v>50285</v>
      </c>
      <c r="I281" s="250">
        <v>163342</v>
      </c>
      <c r="J281" s="252">
        <v>-0.02</v>
      </c>
      <c r="K281" s="250">
        <v>86416</v>
      </c>
      <c r="L281" s="250">
        <v>45957</v>
      </c>
      <c r="M281" s="250">
        <v>152587</v>
      </c>
      <c r="N281" s="250">
        <v>7130</v>
      </c>
      <c r="O281" s="250">
        <v>4328</v>
      </c>
      <c r="P281" s="250">
        <v>10755</v>
      </c>
      <c r="Q281" s="253">
        <v>133969</v>
      </c>
      <c r="R281" s="254">
        <v>53.221267700195313</v>
      </c>
      <c r="S281" s="254">
        <v>32.305980682373047</v>
      </c>
      <c r="T281" s="255">
        <v>80.279769897460938</v>
      </c>
    </row>
    <row r="282" spans="2:20">
      <c r="B282" s="249" t="s">
        <v>513</v>
      </c>
      <c r="C282" s="250" t="s">
        <v>121</v>
      </c>
      <c r="D282" s="250" t="s">
        <v>502</v>
      </c>
      <c r="E282" s="251">
        <v>2</v>
      </c>
      <c r="F282" s="251" t="s">
        <v>281</v>
      </c>
      <c r="G282" s="250">
        <v>93546</v>
      </c>
      <c r="H282" s="250">
        <v>50285</v>
      </c>
      <c r="I282" s="250">
        <v>163342</v>
      </c>
      <c r="J282" s="252">
        <v>-0.02</v>
      </c>
      <c r="K282" s="250">
        <v>85104</v>
      </c>
      <c r="L282" s="250">
        <v>45182</v>
      </c>
      <c r="M282" s="250">
        <v>150200</v>
      </c>
      <c r="N282" s="250">
        <v>8442</v>
      </c>
      <c r="O282" s="250">
        <v>5103</v>
      </c>
      <c r="P282" s="250">
        <v>13142</v>
      </c>
      <c r="Q282" s="253">
        <v>273304</v>
      </c>
      <c r="R282" s="254">
        <v>30.888679504394531</v>
      </c>
      <c r="S282" s="254">
        <v>18.671516418457031</v>
      </c>
      <c r="T282" s="255">
        <v>48.085647583007813</v>
      </c>
    </row>
    <row r="283" spans="2:20">
      <c r="B283" s="249" t="s">
        <v>513</v>
      </c>
      <c r="C283" s="250" t="s">
        <v>121</v>
      </c>
      <c r="D283" s="250" t="s">
        <v>502</v>
      </c>
      <c r="E283" s="251">
        <v>3</v>
      </c>
      <c r="F283" s="251" t="s">
        <v>281</v>
      </c>
      <c r="G283" s="250">
        <v>93546</v>
      </c>
      <c r="H283" s="250">
        <v>50285</v>
      </c>
      <c r="I283" s="250">
        <v>163342</v>
      </c>
      <c r="J283" s="252">
        <v>-0.02</v>
      </c>
      <c r="K283" s="250">
        <v>83598</v>
      </c>
      <c r="L283" s="250">
        <v>44405</v>
      </c>
      <c r="M283" s="250">
        <v>147456</v>
      </c>
      <c r="N283" s="250">
        <v>9948</v>
      </c>
      <c r="O283" s="250">
        <v>5880</v>
      </c>
      <c r="P283" s="250">
        <v>15886</v>
      </c>
      <c r="Q283" s="253">
        <v>170998</v>
      </c>
      <c r="R283" s="254">
        <v>58.176120758056641</v>
      </c>
      <c r="S283" s="254">
        <v>34.386367797851563</v>
      </c>
      <c r="T283" s="255">
        <v>92.90167236328125</v>
      </c>
    </row>
    <row r="284" spans="2:20">
      <c r="B284" s="249" t="s">
        <v>513</v>
      </c>
      <c r="C284" s="250" t="s">
        <v>121</v>
      </c>
      <c r="D284" s="250" t="s">
        <v>502</v>
      </c>
      <c r="E284" s="251">
        <v>4</v>
      </c>
      <c r="F284" s="251" t="s">
        <v>281</v>
      </c>
      <c r="G284" s="250">
        <v>93546</v>
      </c>
      <c r="H284" s="250">
        <v>50285</v>
      </c>
      <c r="I284" s="250">
        <v>163342</v>
      </c>
      <c r="J284" s="252">
        <v>-0.02</v>
      </c>
      <c r="K284" s="250">
        <v>82032</v>
      </c>
      <c r="L284" s="250">
        <v>43571</v>
      </c>
      <c r="M284" s="250">
        <v>144486</v>
      </c>
      <c r="N284" s="250">
        <v>11514</v>
      </c>
      <c r="O284" s="250">
        <v>6714</v>
      </c>
      <c r="P284" s="250">
        <v>18856</v>
      </c>
      <c r="Q284" s="253">
        <v>170998</v>
      </c>
      <c r="R284" s="254">
        <v>67.334121704101563</v>
      </c>
      <c r="S284" s="254">
        <v>39.263618469238281</v>
      </c>
      <c r="T284" s="255">
        <v>110.27030181884766</v>
      </c>
    </row>
    <row r="285" spans="2:20">
      <c r="B285" s="249" t="s">
        <v>513</v>
      </c>
      <c r="C285" s="250" t="s">
        <v>121</v>
      </c>
      <c r="D285" s="250" t="s">
        <v>502</v>
      </c>
      <c r="E285" s="251">
        <v>5</v>
      </c>
      <c r="F285" s="251" t="s">
        <v>281</v>
      </c>
      <c r="G285" s="250">
        <v>93546</v>
      </c>
      <c r="H285" s="250">
        <v>50285</v>
      </c>
      <c r="I285" s="250">
        <v>163342</v>
      </c>
      <c r="J285" s="252">
        <v>-0.02</v>
      </c>
      <c r="K285" s="250">
        <v>80647</v>
      </c>
      <c r="L285" s="250">
        <v>42926</v>
      </c>
      <c r="M285" s="250">
        <v>141922</v>
      </c>
      <c r="N285" s="250">
        <v>12899</v>
      </c>
      <c r="O285" s="250">
        <v>7359</v>
      </c>
      <c r="P285" s="250">
        <v>21420</v>
      </c>
      <c r="Q285" s="253">
        <v>170998</v>
      </c>
      <c r="R285" s="254">
        <v>75.433631896972656</v>
      </c>
      <c r="S285" s="254">
        <v>43.035591125488281</v>
      </c>
      <c r="T285" s="255">
        <v>125.26463317871094</v>
      </c>
    </row>
    <row r="286" spans="2:20">
      <c r="B286" s="249" t="s">
        <v>513</v>
      </c>
      <c r="C286" s="250" t="s">
        <v>121</v>
      </c>
      <c r="D286" s="250" t="s">
        <v>201</v>
      </c>
      <c r="E286" s="251">
        <v>6</v>
      </c>
      <c r="F286" s="251" t="s">
        <v>281</v>
      </c>
      <c r="G286" s="250">
        <v>93546</v>
      </c>
      <c r="H286" s="250">
        <v>50285</v>
      </c>
      <c r="I286" s="250">
        <v>163342</v>
      </c>
      <c r="J286" s="252">
        <v>-2E-3</v>
      </c>
      <c r="K286" s="250">
        <v>80476</v>
      </c>
      <c r="L286" s="250">
        <v>42831</v>
      </c>
      <c r="M286" s="250">
        <v>141743</v>
      </c>
      <c r="N286" s="250">
        <v>13070</v>
      </c>
      <c r="O286" s="250">
        <v>7454</v>
      </c>
      <c r="P286" s="250">
        <v>21599</v>
      </c>
      <c r="Q286" s="253">
        <v>123966</v>
      </c>
      <c r="R286" s="254">
        <v>105.43213653564453</v>
      </c>
      <c r="S286" s="254">
        <v>60.129390716552734</v>
      </c>
      <c r="T286" s="255">
        <v>174.23326110839844</v>
      </c>
    </row>
    <row r="287" spans="2:20">
      <c r="B287" s="249" t="s">
        <v>513</v>
      </c>
      <c r="C287" s="250" t="s">
        <v>121</v>
      </c>
      <c r="D287" s="250" t="s">
        <v>201</v>
      </c>
      <c r="E287" s="251">
        <v>7</v>
      </c>
      <c r="F287" s="251" t="s">
        <v>281</v>
      </c>
      <c r="G287" s="250">
        <v>93546</v>
      </c>
      <c r="H287" s="250">
        <v>50285</v>
      </c>
      <c r="I287" s="250">
        <v>163342</v>
      </c>
      <c r="J287" s="252">
        <v>-2E-3</v>
      </c>
      <c r="K287" s="250">
        <v>80404</v>
      </c>
      <c r="L287" s="250">
        <v>42762</v>
      </c>
      <c r="M287" s="250">
        <v>141532</v>
      </c>
      <c r="N287" s="250">
        <v>13142</v>
      </c>
      <c r="O287" s="250">
        <v>7523</v>
      </c>
      <c r="P287" s="250">
        <v>21810</v>
      </c>
      <c r="Q287" s="253">
        <v>93727</v>
      </c>
      <c r="R287" s="254">
        <v>140.21574401855469</v>
      </c>
      <c r="S287" s="254">
        <v>80.265022277832031</v>
      </c>
      <c r="T287" s="255">
        <v>232.69708251953125</v>
      </c>
    </row>
    <row r="288" spans="2:20">
      <c r="B288" s="249" t="s">
        <v>513</v>
      </c>
      <c r="C288" s="250" t="s">
        <v>121</v>
      </c>
      <c r="D288" s="250" t="s">
        <v>201</v>
      </c>
      <c r="E288" s="251">
        <v>8</v>
      </c>
      <c r="F288" s="251" t="s">
        <v>281</v>
      </c>
      <c r="G288" s="250">
        <v>93546</v>
      </c>
      <c r="H288" s="250">
        <v>50285</v>
      </c>
      <c r="I288" s="250">
        <v>163342</v>
      </c>
      <c r="J288" s="252">
        <v>-2E-3</v>
      </c>
      <c r="K288" s="250">
        <v>80072</v>
      </c>
      <c r="L288" s="250">
        <v>42554</v>
      </c>
      <c r="M288" s="250">
        <v>140920</v>
      </c>
      <c r="N288" s="250">
        <v>13474</v>
      </c>
      <c r="O288" s="250">
        <v>7731</v>
      </c>
      <c r="P288" s="250">
        <v>22422</v>
      </c>
      <c r="Q288" s="253">
        <v>93727</v>
      </c>
      <c r="R288" s="254">
        <v>143.7579345703125</v>
      </c>
      <c r="S288" s="254">
        <v>82.484237670898438</v>
      </c>
      <c r="T288" s="255">
        <v>239.2266845703125</v>
      </c>
    </row>
    <row r="289" spans="2:20">
      <c r="B289" s="249" t="s">
        <v>513</v>
      </c>
      <c r="C289" s="250" t="s">
        <v>121</v>
      </c>
      <c r="D289" s="250" t="s">
        <v>201</v>
      </c>
      <c r="E289" s="251">
        <v>9</v>
      </c>
      <c r="F289" s="251" t="s">
        <v>281</v>
      </c>
      <c r="G289" s="250">
        <v>93546</v>
      </c>
      <c r="H289" s="250">
        <v>50285</v>
      </c>
      <c r="I289" s="250">
        <v>163342</v>
      </c>
      <c r="J289" s="252">
        <v>-2E-3</v>
      </c>
      <c r="K289" s="250">
        <v>79917</v>
      </c>
      <c r="L289" s="250">
        <v>42496</v>
      </c>
      <c r="M289" s="250">
        <v>140720</v>
      </c>
      <c r="N289" s="250">
        <v>13629</v>
      </c>
      <c r="O289" s="250">
        <v>7789</v>
      </c>
      <c r="P289" s="250">
        <v>22622</v>
      </c>
      <c r="Q289" s="253">
        <v>93727</v>
      </c>
      <c r="R289" s="254">
        <v>145.41166687011719</v>
      </c>
      <c r="S289" s="254">
        <v>83.103050231933594</v>
      </c>
      <c r="T289" s="255">
        <v>241.36054992675781</v>
      </c>
    </row>
    <row r="290" spans="2:20">
      <c r="B290" s="249" t="s">
        <v>513</v>
      </c>
      <c r="C290" s="250" t="s">
        <v>121</v>
      </c>
      <c r="D290" s="250" t="s">
        <v>201</v>
      </c>
      <c r="E290" s="251">
        <v>10</v>
      </c>
      <c r="F290" s="251" t="s">
        <v>281</v>
      </c>
      <c r="G290" s="250">
        <v>93546</v>
      </c>
      <c r="H290" s="250">
        <v>50285</v>
      </c>
      <c r="I290" s="250">
        <v>163342</v>
      </c>
      <c r="J290" s="252">
        <v>-2E-3</v>
      </c>
      <c r="K290" s="250">
        <v>79709</v>
      </c>
      <c r="L290" s="250">
        <v>42436</v>
      </c>
      <c r="M290" s="250">
        <v>140533</v>
      </c>
      <c r="N290" s="250">
        <v>13837</v>
      </c>
      <c r="O290" s="250">
        <v>7849</v>
      </c>
      <c r="P290" s="250">
        <v>22809</v>
      </c>
      <c r="Q290" s="253">
        <v>93727</v>
      </c>
      <c r="R290" s="254">
        <v>147.63088989257813</v>
      </c>
      <c r="S290" s="254">
        <v>83.743217468261719</v>
      </c>
      <c r="T290" s="255">
        <v>243.355712890625</v>
      </c>
    </row>
    <row r="291" spans="2:20">
      <c r="B291" s="249" t="s">
        <v>513</v>
      </c>
      <c r="C291" s="250" t="s">
        <v>121</v>
      </c>
      <c r="D291" s="250" t="s">
        <v>201</v>
      </c>
      <c r="E291" s="251">
        <v>11</v>
      </c>
      <c r="F291" s="251" t="s">
        <v>281</v>
      </c>
      <c r="G291" s="250">
        <v>93546</v>
      </c>
      <c r="H291" s="250">
        <v>50285</v>
      </c>
      <c r="I291" s="250">
        <v>163342</v>
      </c>
      <c r="J291" s="252">
        <v>-2E-3</v>
      </c>
      <c r="K291" s="250">
        <v>79610</v>
      </c>
      <c r="L291" s="250">
        <v>42322</v>
      </c>
      <c r="M291" s="250">
        <v>140227</v>
      </c>
      <c r="N291" s="250">
        <v>13936</v>
      </c>
      <c r="O291" s="250">
        <v>7963</v>
      </c>
      <c r="P291" s="250">
        <v>23115</v>
      </c>
      <c r="Q291" s="253">
        <v>123966</v>
      </c>
      <c r="R291" s="254">
        <v>112.41792297363281</v>
      </c>
      <c r="S291" s="254">
        <v>64.2353515625</v>
      </c>
      <c r="T291" s="255">
        <v>186.46241760253906</v>
      </c>
    </row>
    <row r="292" spans="2:20">
      <c r="B292" s="249" t="s">
        <v>513</v>
      </c>
      <c r="C292" s="250" t="s">
        <v>121</v>
      </c>
      <c r="D292" s="250" t="s">
        <v>201</v>
      </c>
      <c r="E292" s="251">
        <v>12</v>
      </c>
      <c r="F292" s="251" t="s">
        <v>281</v>
      </c>
      <c r="G292" s="250">
        <v>93546</v>
      </c>
      <c r="H292" s="250">
        <v>50285</v>
      </c>
      <c r="I292" s="250">
        <v>163342</v>
      </c>
      <c r="J292" s="252">
        <v>-2E-3</v>
      </c>
      <c r="K292" s="250">
        <v>79411</v>
      </c>
      <c r="L292" s="250">
        <v>42262</v>
      </c>
      <c r="M292" s="250">
        <v>139965</v>
      </c>
      <c r="N292" s="250">
        <v>14135</v>
      </c>
      <c r="O292" s="250">
        <v>8023</v>
      </c>
      <c r="P292" s="250">
        <v>23377</v>
      </c>
      <c r="Q292" s="253">
        <v>93727</v>
      </c>
      <c r="R292" s="254">
        <v>150.81033325195313</v>
      </c>
      <c r="S292" s="254">
        <v>85.59967041015625</v>
      </c>
      <c r="T292" s="255">
        <v>249.41586303710938</v>
      </c>
    </row>
    <row r="293" spans="2:20">
      <c r="B293" s="249" t="s">
        <v>513</v>
      </c>
      <c r="C293" s="250" t="s">
        <v>121</v>
      </c>
      <c r="D293" s="250" t="s">
        <v>201</v>
      </c>
      <c r="E293" s="251">
        <v>13</v>
      </c>
      <c r="F293" s="251" t="s">
        <v>281</v>
      </c>
      <c r="G293" s="250">
        <v>93546</v>
      </c>
      <c r="H293" s="250">
        <v>50285</v>
      </c>
      <c r="I293" s="250">
        <v>163342</v>
      </c>
      <c r="J293" s="252">
        <v>-2E-3</v>
      </c>
      <c r="K293" s="250">
        <v>79281</v>
      </c>
      <c r="L293" s="250">
        <v>42204</v>
      </c>
      <c r="M293" s="250">
        <v>139829</v>
      </c>
      <c r="N293" s="250">
        <v>14265</v>
      </c>
      <c r="O293" s="250">
        <v>8081</v>
      </c>
      <c r="P293" s="250">
        <v>23513</v>
      </c>
      <c r="Q293" s="253">
        <v>93727</v>
      </c>
      <c r="R293" s="254">
        <v>152.19734191894531</v>
      </c>
      <c r="S293" s="254">
        <v>86.218482971191406</v>
      </c>
      <c r="T293" s="255">
        <v>250.86688232421875</v>
      </c>
    </row>
    <row r="294" spans="2:20">
      <c r="B294" s="249" t="s">
        <v>513</v>
      </c>
      <c r="C294" s="250" t="s">
        <v>121</v>
      </c>
      <c r="D294" s="250" t="s">
        <v>201</v>
      </c>
      <c r="E294" s="251">
        <v>14</v>
      </c>
      <c r="F294" s="251" t="s">
        <v>281</v>
      </c>
      <c r="G294" s="250">
        <v>93546</v>
      </c>
      <c r="H294" s="250">
        <v>50285</v>
      </c>
      <c r="I294" s="250">
        <v>163342</v>
      </c>
      <c r="J294" s="252">
        <v>-2E-3</v>
      </c>
      <c r="K294" s="250">
        <v>78783</v>
      </c>
      <c r="L294" s="250">
        <v>42045</v>
      </c>
      <c r="M294" s="250">
        <v>139287</v>
      </c>
      <c r="N294" s="250">
        <v>14763</v>
      </c>
      <c r="O294" s="250">
        <v>8240</v>
      </c>
      <c r="P294" s="250">
        <v>24055</v>
      </c>
      <c r="Q294" s="253">
        <v>93727</v>
      </c>
      <c r="R294" s="254">
        <v>157.51063537597656</v>
      </c>
      <c r="S294" s="254">
        <v>87.914901733398438</v>
      </c>
      <c r="T294" s="255">
        <v>256.649658203125</v>
      </c>
    </row>
    <row r="295" spans="2:20">
      <c r="B295" s="256" t="s">
        <v>513</v>
      </c>
      <c r="C295" s="257" t="s">
        <v>121</v>
      </c>
      <c r="D295" s="257" t="s">
        <v>201</v>
      </c>
      <c r="E295" s="258">
        <v>15</v>
      </c>
      <c r="F295" s="258" t="s">
        <v>281</v>
      </c>
      <c r="G295" s="257">
        <v>93546</v>
      </c>
      <c r="H295" s="257">
        <v>50285</v>
      </c>
      <c r="I295" s="257">
        <v>163342</v>
      </c>
      <c r="J295" s="259">
        <v>-2E-3</v>
      </c>
      <c r="K295" s="257">
        <v>78685</v>
      </c>
      <c r="L295" s="257">
        <v>41988</v>
      </c>
      <c r="M295" s="257">
        <v>138999</v>
      </c>
      <c r="N295" s="257">
        <v>14861</v>
      </c>
      <c r="O295" s="257">
        <v>8297</v>
      </c>
      <c r="P295" s="257">
        <v>24343</v>
      </c>
      <c r="Q295" s="260">
        <v>93727</v>
      </c>
      <c r="R295" s="261">
        <v>158.55624389648438</v>
      </c>
      <c r="S295" s="261">
        <v>88.523056030273438</v>
      </c>
      <c r="T295" s="262">
        <v>259.72238159179688</v>
      </c>
    </row>
    <row r="296" spans="2:20">
      <c r="B296" s="249" t="s">
        <v>513</v>
      </c>
      <c r="C296" s="250" t="s">
        <v>122</v>
      </c>
      <c r="D296" s="250" t="s">
        <v>502</v>
      </c>
      <c r="E296" s="251">
        <v>1</v>
      </c>
      <c r="F296" s="251" t="s">
        <v>281</v>
      </c>
      <c r="G296" s="250">
        <v>93546</v>
      </c>
      <c r="H296" s="250">
        <v>50285</v>
      </c>
      <c r="I296" s="250">
        <v>163342</v>
      </c>
      <c r="J296" s="252">
        <v>-1.2E-2</v>
      </c>
      <c r="K296" s="250">
        <v>86910</v>
      </c>
      <c r="L296" s="250">
        <v>46203</v>
      </c>
      <c r="M296" s="250">
        <v>153435</v>
      </c>
      <c r="N296" s="250">
        <v>6636</v>
      </c>
      <c r="O296" s="250">
        <v>4082</v>
      </c>
      <c r="P296" s="250">
        <v>9907</v>
      </c>
      <c r="Q296" s="253">
        <v>131759</v>
      </c>
      <c r="R296" s="254">
        <v>50.364681243896484</v>
      </c>
      <c r="S296" s="254">
        <v>30.980804443359375</v>
      </c>
      <c r="T296" s="255">
        <v>75.190315246582031</v>
      </c>
    </row>
    <row r="297" spans="2:20">
      <c r="B297" s="249" t="s">
        <v>513</v>
      </c>
      <c r="C297" s="250" t="s">
        <v>122</v>
      </c>
      <c r="D297" s="250" t="s">
        <v>502</v>
      </c>
      <c r="E297" s="251">
        <v>2</v>
      </c>
      <c r="F297" s="251" t="s">
        <v>281</v>
      </c>
      <c r="G297" s="250">
        <v>93546</v>
      </c>
      <c r="H297" s="250">
        <v>50285</v>
      </c>
      <c r="I297" s="250">
        <v>163342</v>
      </c>
      <c r="J297" s="252">
        <v>-1.2E-2</v>
      </c>
      <c r="K297" s="250">
        <v>86185</v>
      </c>
      <c r="L297" s="250">
        <v>45777</v>
      </c>
      <c r="M297" s="250">
        <v>152145</v>
      </c>
      <c r="N297" s="250">
        <v>7361</v>
      </c>
      <c r="O297" s="250">
        <v>4508</v>
      </c>
      <c r="P297" s="250">
        <v>11197</v>
      </c>
      <c r="Q297" s="253">
        <v>273529</v>
      </c>
      <c r="R297" s="254">
        <v>26.911222457885742</v>
      </c>
      <c r="S297" s="254">
        <v>16.480884552001953</v>
      </c>
      <c r="T297" s="255">
        <v>40.935329437255859</v>
      </c>
    </row>
    <row r="298" spans="2:20">
      <c r="B298" s="249" t="s">
        <v>513</v>
      </c>
      <c r="C298" s="250" t="s">
        <v>122</v>
      </c>
      <c r="D298" s="250" t="s">
        <v>502</v>
      </c>
      <c r="E298" s="251">
        <v>3</v>
      </c>
      <c r="F298" s="251" t="s">
        <v>281</v>
      </c>
      <c r="G298" s="250">
        <v>93546</v>
      </c>
      <c r="H298" s="250">
        <v>50285</v>
      </c>
      <c r="I298" s="250">
        <v>163342</v>
      </c>
      <c r="J298" s="252">
        <v>-1.2E-2</v>
      </c>
      <c r="K298" s="250">
        <v>85377</v>
      </c>
      <c r="L298" s="250">
        <v>45329</v>
      </c>
      <c r="M298" s="250">
        <v>150673</v>
      </c>
      <c r="N298" s="250">
        <v>8169</v>
      </c>
      <c r="O298" s="250">
        <v>4956</v>
      </c>
      <c r="P298" s="250">
        <v>12669</v>
      </c>
      <c r="Q298" s="253">
        <v>174910</v>
      </c>
      <c r="R298" s="254">
        <v>46.704021453857422</v>
      </c>
      <c r="S298" s="254">
        <v>28.334573745727539</v>
      </c>
      <c r="T298" s="255">
        <v>72.431533813476563</v>
      </c>
    </row>
    <row r="299" spans="2:20">
      <c r="B299" s="249" t="s">
        <v>513</v>
      </c>
      <c r="C299" s="250" t="s">
        <v>122</v>
      </c>
      <c r="D299" s="250" t="s">
        <v>502</v>
      </c>
      <c r="E299" s="251">
        <v>4</v>
      </c>
      <c r="F299" s="251" t="s">
        <v>281</v>
      </c>
      <c r="G299" s="250">
        <v>93546</v>
      </c>
      <c r="H299" s="250">
        <v>50285</v>
      </c>
      <c r="I299" s="250">
        <v>163342</v>
      </c>
      <c r="J299" s="252">
        <v>-1.2E-2</v>
      </c>
      <c r="K299" s="250">
        <v>84518</v>
      </c>
      <c r="L299" s="250">
        <v>44883</v>
      </c>
      <c r="M299" s="250">
        <v>149168</v>
      </c>
      <c r="N299" s="250">
        <v>9028</v>
      </c>
      <c r="O299" s="250">
        <v>5402</v>
      </c>
      <c r="P299" s="250">
        <v>14174</v>
      </c>
      <c r="Q299" s="253">
        <v>174910</v>
      </c>
      <c r="R299" s="254">
        <v>51.615116119384766</v>
      </c>
      <c r="S299" s="254">
        <v>30.884454727172852</v>
      </c>
      <c r="T299" s="255">
        <v>81.035964965820313</v>
      </c>
    </row>
    <row r="300" spans="2:20">
      <c r="B300" s="249" t="s">
        <v>513</v>
      </c>
      <c r="C300" s="250" t="s">
        <v>122</v>
      </c>
      <c r="D300" s="250" t="s">
        <v>502</v>
      </c>
      <c r="E300" s="251">
        <v>5</v>
      </c>
      <c r="F300" s="251" t="s">
        <v>281</v>
      </c>
      <c r="G300" s="250">
        <v>93546</v>
      </c>
      <c r="H300" s="250">
        <v>50285</v>
      </c>
      <c r="I300" s="250">
        <v>163342</v>
      </c>
      <c r="J300" s="252">
        <v>-1.2E-2</v>
      </c>
      <c r="K300" s="250">
        <v>83598</v>
      </c>
      <c r="L300" s="250">
        <v>44405</v>
      </c>
      <c r="M300" s="250">
        <v>147456</v>
      </c>
      <c r="N300" s="250">
        <v>9948</v>
      </c>
      <c r="O300" s="250">
        <v>5880</v>
      </c>
      <c r="P300" s="250">
        <v>15886</v>
      </c>
      <c r="Q300" s="253">
        <v>174910</v>
      </c>
      <c r="R300" s="254">
        <v>56.874965667724609</v>
      </c>
      <c r="S300" s="254">
        <v>33.617286682128906</v>
      </c>
      <c r="T300" s="255">
        <v>90.8238525390625</v>
      </c>
    </row>
    <row r="301" spans="2:20">
      <c r="B301" s="249" t="s">
        <v>513</v>
      </c>
      <c r="C301" s="250" t="s">
        <v>122</v>
      </c>
      <c r="D301" s="250" t="s">
        <v>201</v>
      </c>
      <c r="E301" s="251">
        <v>6</v>
      </c>
      <c r="F301" s="251" t="s">
        <v>281</v>
      </c>
      <c r="G301" s="250">
        <v>93546</v>
      </c>
      <c r="H301" s="250">
        <v>50285</v>
      </c>
      <c r="I301" s="250">
        <v>163342</v>
      </c>
      <c r="J301" s="252">
        <v>-3.0000000000000001E-3</v>
      </c>
      <c r="K301" s="250">
        <v>83390</v>
      </c>
      <c r="L301" s="250">
        <v>44312</v>
      </c>
      <c r="M301" s="250">
        <v>147038</v>
      </c>
      <c r="N301" s="250">
        <v>10156</v>
      </c>
      <c r="O301" s="250">
        <v>5973</v>
      </c>
      <c r="P301" s="250">
        <v>16304</v>
      </c>
      <c r="Q301" s="253">
        <v>117911</v>
      </c>
      <c r="R301" s="254">
        <v>86.132766723632813</v>
      </c>
      <c r="S301" s="254">
        <v>50.656852722167969</v>
      </c>
      <c r="T301" s="255">
        <v>138.27377319335938</v>
      </c>
    </row>
    <row r="302" spans="2:20">
      <c r="B302" s="249" t="s">
        <v>513</v>
      </c>
      <c r="C302" s="250" t="s">
        <v>122</v>
      </c>
      <c r="D302" s="250" t="s">
        <v>201</v>
      </c>
      <c r="E302" s="251">
        <v>7</v>
      </c>
      <c r="F302" s="251" t="s">
        <v>281</v>
      </c>
      <c r="G302" s="250">
        <v>93546</v>
      </c>
      <c r="H302" s="250">
        <v>50285</v>
      </c>
      <c r="I302" s="250">
        <v>163342</v>
      </c>
      <c r="J302" s="252">
        <v>-3.0000000000000001E-3</v>
      </c>
      <c r="K302" s="250">
        <v>83177</v>
      </c>
      <c r="L302" s="250">
        <v>44192</v>
      </c>
      <c r="M302" s="250">
        <v>146592</v>
      </c>
      <c r="N302" s="250">
        <v>10369</v>
      </c>
      <c r="O302" s="250">
        <v>6093</v>
      </c>
      <c r="P302" s="250">
        <v>16750</v>
      </c>
      <c r="Q302" s="253">
        <v>90500</v>
      </c>
      <c r="R302" s="254">
        <v>114.57459259033203</v>
      </c>
      <c r="S302" s="254">
        <v>67.325965881347656</v>
      </c>
      <c r="T302" s="255">
        <v>185.08287048339844</v>
      </c>
    </row>
    <row r="303" spans="2:20">
      <c r="B303" s="249" t="s">
        <v>513</v>
      </c>
      <c r="C303" s="250" t="s">
        <v>122</v>
      </c>
      <c r="D303" s="250" t="s">
        <v>201</v>
      </c>
      <c r="E303" s="251">
        <v>8</v>
      </c>
      <c r="F303" s="251" t="s">
        <v>281</v>
      </c>
      <c r="G303" s="250">
        <v>93546</v>
      </c>
      <c r="H303" s="250">
        <v>50285</v>
      </c>
      <c r="I303" s="250">
        <v>163342</v>
      </c>
      <c r="J303" s="252">
        <v>-3.0000000000000001E-3</v>
      </c>
      <c r="K303" s="250">
        <v>82993</v>
      </c>
      <c r="L303" s="250">
        <v>44044</v>
      </c>
      <c r="M303" s="250">
        <v>146151</v>
      </c>
      <c r="N303" s="250">
        <v>10553</v>
      </c>
      <c r="O303" s="250">
        <v>6241</v>
      </c>
      <c r="P303" s="250">
        <v>17191</v>
      </c>
      <c r="Q303" s="253">
        <v>90500</v>
      </c>
      <c r="R303" s="254">
        <v>116.60773468017578</v>
      </c>
      <c r="S303" s="254">
        <v>68.961318969726563</v>
      </c>
      <c r="T303" s="255">
        <v>189.95579528808594</v>
      </c>
    </row>
    <row r="304" spans="2:20">
      <c r="B304" s="249" t="s">
        <v>513</v>
      </c>
      <c r="C304" s="250" t="s">
        <v>122</v>
      </c>
      <c r="D304" s="250" t="s">
        <v>201</v>
      </c>
      <c r="E304" s="251">
        <v>9</v>
      </c>
      <c r="F304" s="251" t="s">
        <v>281</v>
      </c>
      <c r="G304" s="250">
        <v>93546</v>
      </c>
      <c r="H304" s="250">
        <v>50285</v>
      </c>
      <c r="I304" s="250">
        <v>163342</v>
      </c>
      <c r="J304" s="252">
        <v>-3.0000000000000001E-3</v>
      </c>
      <c r="K304" s="250">
        <v>82728</v>
      </c>
      <c r="L304" s="250">
        <v>43916</v>
      </c>
      <c r="M304" s="250">
        <v>145777</v>
      </c>
      <c r="N304" s="250">
        <v>10818</v>
      </c>
      <c r="O304" s="250">
        <v>6369</v>
      </c>
      <c r="P304" s="250">
        <v>17565</v>
      </c>
      <c r="Q304" s="253">
        <v>90500</v>
      </c>
      <c r="R304" s="254">
        <v>119.53591156005859</v>
      </c>
      <c r="S304" s="254">
        <v>70.375686645507813</v>
      </c>
      <c r="T304" s="255">
        <v>194.08839416503906</v>
      </c>
    </row>
    <row r="305" spans="2:23">
      <c r="B305" s="249" t="s">
        <v>513</v>
      </c>
      <c r="C305" s="250" t="s">
        <v>122</v>
      </c>
      <c r="D305" s="250" t="s">
        <v>201</v>
      </c>
      <c r="E305" s="251">
        <v>10</v>
      </c>
      <c r="F305" s="251" t="s">
        <v>281</v>
      </c>
      <c r="G305" s="250">
        <v>93546</v>
      </c>
      <c r="H305" s="250">
        <v>50285</v>
      </c>
      <c r="I305" s="250">
        <v>163342</v>
      </c>
      <c r="J305" s="252">
        <v>-3.0000000000000001E-3</v>
      </c>
      <c r="K305" s="250">
        <v>82532</v>
      </c>
      <c r="L305" s="250">
        <v>43822</v>
      </c>
      <c r="M305" s="250">
        <v>145272</v>
      </c>
      <c r="N305" s="250">
        <v>11014</v>
      </c>
      <c r="O305" s="250">
        <v>6463</v>
      </c>
      <c r="P305" s="250">
        <v>18070</v>
      </c>
      <c r="Q305" s="253">
        <v>90500</v>
      </c>
      <c r="R305" s="254">
        <v>121.70166015625</v>
      </c>
      <c r="S305" s="254">
        <v>71.41436767578125</v>
      </c>
      <c r="T305" s="255">
        <v>199.66851806640625</v>
      </c>
    </row>
    <row r="306" spans="2:23">
      <c r="B306" s="249" t="s">
        <v>513</v>
      </c>
      <c r="C306" s="250" t="s">
        <v>122</v>
      </c>
      <c r="D306" s="250" t="s">
        <v>201</v>
      </c>
      <c r="E306" s="251">
        <v>11</v>
      </c>
      <c r="F306" s="251" t="s">
        <v>281</v>
      </c>
      <c r="G306" s="250">
        <v>93546</v>
      </c>
      <c r="H306" s="250">
        <v>50285</v>
      </c>
      <c r="I306" s="250">
        <v>163342</v>
      </c>
      <c r="J306" s="252">
        <v>-3.0000000000000001E-3</v>
      </c>
      <c r="K306" s="250">
        <v>82338</v>
      </c>
      <c r="L306" s="250">
        <v>43721</v>
      </c>
      <c r="M306" s="250">
        <v>144853</v>
      </c>
      <c r="N306" s="250">
        <v>11208</v>
      </c>
      <c r="O306" s="250">
        <v>6564</v>
      </c>
      <c r="P306" s="250">
        <v>18489</v>
      </c>
      <c r="Q306" s="253">
        <v>117911</v>
      </c>
      <c r="R306" s="254">
        <v>95.05474853515625</v>
      </c>
      <c r="S306" s="254">
        <v>55.669105529785156</v>
      </c>
      <c r="T306" s="255">
        <v>156.80471801757813</v>
      </c>
    </row>
    <row r="307" spans="2:23">
      <c r="B307" s="249" t="s">
        <v>513</v>
      </c>
      <c r="C307" s="250" t="s">
        <v>122</v>
      </c>
      <c r="D307" s="250" t="s">
        <v>201</v>
      </c>
      <c r="E307" s="251">
        <v>12</v>
      </c>
      <c r="F307" s="251" t="s">
        <v>281</v>
      </c>
      <c r="G307" s="250">
        <v>93546</v>
      </c>
      <c r="H307" s="250">
        <v>50285</v>
      </c>
      <c r="I307" s="250">
        <v>163342</v>
      </c>
      <c r="J307" s="252">
        <v>-3.0000000000000001E-3</v>
      </c>
      <c r="K307" s="250">
        <v>81997</v>
      </c>
      <c r="L307" s="250">
        <v>43571</v>
      </c>
      <c r="M307" s="250">
        <v>144447</v>
      </c>
      <c r="N307" s="250">
        <v>11549</v>
      </c>
      <c r="O307" s="250">
        <v>6714</v>
      </c>
      <c r="P307" s="250">
        <v>18895</v>
      </c>
      <c r="Q307" s="253">
        <v>90500</v>
      </c>
      <c r="R307" s="254">
        <v>127.61325836181641</v>
      </c>
      <c r="S307" s="254">
        <v>74.187843322753906</v>
      </c>
      <c r="T307" s="255">
        <v>208.78453063964844</v>
      </c>
    </row>
    <row r="308" spans="2:23">
      <c r="B308" s="249" t="s">
        <v>513</v>
      </c>
      <c r="C308" s="250" t="s">
        <v>122</v>
      </c>
      <c r="D308" s="250" t="s">
        <v>201</v>
      </c>
      <c r="E308" s="251">
        <v>13</v>
      </c>
      <c r="F308" s="251" t="s">
        <v>281</v>
      </c>
      <c r="G308" s="250">
        <v>93546</v>
      </c>
      <c r="H308" s="250">
        <v>50285</v>
      </c>
      <c r="I308" s="250">
        <v>163342</v>
      </c>
      <c r="J308" s="252">
        <v>-3.0000000000000001E-3</v>
      </c>
      <c r="K308" s="250">
        <v>81908</v>
      </c>
      <c r="L308" s="250">
        <v>43541</v>
      </c>
      <c r="M308" s="250">
        <v>144148</v>
      </c>
      <c r="N308" s="250">
        <v>11638</v>
      </c>
      <c r="O308" s="250">
        <v>6744</v>
      </c>
      <c r="P308" s="250">
        <v>19194</v>
      </c>
      <c r="Q308" s="253">
        <v>90500</v>
      </c>
      <c r="R308" s="254">
        <v>128.5966796875</v>
      </c>
      <c r="S308" s="254">
        <v>74.519332885742188</v>
      </c>
      <c r="T308" s="255">
        <v>212.08839416503906</v>
      </c>
    </row>
    <row r="309" spans="2:23">
      <c r="B309" s="249" t="s">
        <v>513</v>
      </c>
      <c r="C309" s="250" t="s">
        <v>122</v>
      </c>
      <c r="D309" s="250" t="s">
        <v>201</v>
      </c>
      <c r="E309" s="251">
        <v>14</v>
      </c>
      <c r="F309" s="251" t="s">
        <v>281</v>
      </c>
      <c r="G309" s="250">
        <v>93546</v>
      </c>
      <c r="H309" s="250">
        <v>50285</v>
      </c>
      <c r="I309" s="250">
        <v>163342</v>
      </c>
      <c r="J309" s="252">
        <v>-3.0000000000000001E-3</v>
      </c>
      <c r="K309" s="250">
        <v>81511</v>
      </c>
      <c r="L309" s="250">
        <v>43370</v>
      </c>
      <c r="M309" s="250">
        <v>143730</v>
      </c>
      <c r="N309" s="250">
        <v>12035</v>
      </c>
      <c r="O309" s="250">
        <v>6915</v>
      </c>
      <c r="P309" s="250">
        <v>19612</v>
      </c>
      <c r="Q309" s="253">
        <v>90500</v>
      </c>
      <c r="R309" s="254">
        <v>132.98342895507813</v>
      </c>
      <c r="S309" s="254">
        <v>76.408843994140625</v>
      </c>
      <c r="T309" s="255">
        <v>216.70718383789063</v>
      </c>
    </row>
    <row r="310" spans="2:23">
      <c r="B310" s="256" t="s">
        <v>513</v>
      </c>
      <c r="C310" s="257" t="s">
        <v>122</v>
      </c>
      <c r="D310" s="257" t="s">
        <v>201</v>
      </c>
      <c r="E310" s="258">
        <v>15</v>
      </c>
      <c r="F310" s="258" t="s">
        <v>281</v>
      </c>
      <c r="G310" s="257">
        <v>93546</v>
      </c>
      <c r="H310" s="257">
        <v>50285</v>
      </c>
      <c r="I310" s="257">
        <v>163342</v>
      </c>
      <c r="J310" s="259">
        <v>-3.0000000000000001E-3</v>
      </c>
      <c r="K310" s="257">
        <v>81368</v>
      </c>
      <c r="L310" s="257">
        <v>43260</v>
      </c>
      <c r="M310" s="257">
        <v>143271</v>
      </c>
      <c r="N310" s="257">
        <v>12178</v>
      </c>
      <c r="O310" s="257">
        <v>7025</v>
      </c>
      <c r="P310" s="257">
        <v>20071</v>
      </c>
      <c r="Q310" s="260">
        <v>90500</v>
      </c>
      <c r="R310" s="261">
        <v>134.56353759765625</v>
      </c>
      <c r="S310" s="261">
        <v>77.624305725097656</v>
      </c>
      <c r="T310" s="262">
        <v>221.77900695800781</v>
      </c>
    </row>
    <row r="311" spans="2:23">
      <c r="B311" s="249" t="s">
        <v>514</v>
      </c>
      <c r="C311" s="250" t="s">
        <v>242</v>
      </c>
      <c r="D311" s="250" t="s">
        <v>502</v>
      </c>
      <c r="E311" s="251">
        <v>1</v>
      </c>
      <c r="F311" s="251" t="s">
        <v>281</v>
      </c>
      <c r="G311" s="250">
        <v>12024</v>
      </c>
      <c r="H311" s="250">
        <v>3998</v>
      </c>
      <c r="I311" s="250">
        <v>25594</v>
      </c>
      <c r="J311" s="252">
        <v>-6.6000000000000003E-2</v>
      </c>
      <c r="K311" s="250">
        <v>10163</v>
      </c>
      <c r="L311" s="250">
        <v>3066</v>
      </c>
      <c r="M311" s="250">
        <v>22420</v>
      </c>
      <c r="N311" s="250">
        <v>1861</v>
      </c>
      <c r="O311" s="250">
        <v>932</v>
      </c>
      <c r="P311" s="250">
        <v>3174</v>
      </c>
      <c r="Q311" s="253">
        <v>977845</v>
      </c>
      <c r="R311" s="254">
        <v>1.9031646251678467</v>
      </c>
      <c r="S311" s="254">
        <v>0.95311629772186279</v>
      </c>
      <c r="T311" s="255">
        <v>3.2459132671356201</v>
      </c>
      <c r="U311"/>
      <c r="V311"/>
      <c r="W311"/>
    </row>
    <row r="312" spans="2:23">
      <c r="B312" s="249" t="s">
        <v>514</v>
      </c>
      <c r="C312" s="250" t="s">
        <v>242</v>
      </c>
      <c r="D312" s="250" t="s">
        <v>502</v>
      </c>
      <c r="E312" s="251">
        <v>2</v>
      </c>
      <c r="F312" s="251" t="s">
        <v>281</v>
      </c>
      <c r="G312" s="250">
        <v>12024</v>
      </c>
      <c r="H312" s="250">
        <v>3998</v>
      </c>
      <c r="I312" s="250">
        <v>25594</v>
      </c>
      <c r="J312" s="252">
        <v>-6.6000000000000003E-2</v>
      </c>
      <c r="K312" s="250">
        <v>9456</v>
      </c>
      <c r="L312" s="250">
        <v>2910</v>
      </c>
      <c r="M312" s="250">
        <v>20915</v>
      </c>
      <c r="N312" s="250">
        <v>2568</v>
      </c>
      <c r="O312" s="250">
        <v>1088</v>
      </c>
      <c r="P312" s="250">
        <v>4679</v>
      </c>
      <c r="Q312" s="253">
        <v>1239352</v>
      </c>
      <c r="R312" s="254">
        <v>2.0720505714416504</v>
      </c>
      <c r="S312" s="254">
        <v>0.87787812948226929</v>
      </c>
      <c r="T312" s="255">
        <v>3.775360107421875</v>
      </c>
      <c r="U312"/>
      <c r="V312"/>
      <c r="W312"/>
    </row>
    <row r="313" spans="2:23">
      <c r="B313" s="249" t="s">
        <v>514</v>
      </c>
      <c r="C313" s="250" t="s">
        <v>242</v>
      </c>
      <c r="D313" s="250" t="s">
        <v>502</v>
      </c>
      <c r="E313" s="251">
        <v>3</v>
      </c>
      <c r="F313" s="251" t="s">
        <v>281</v>
      </c>
      <c r="G313" s="250">
        <v>12024</v>
      </c>
      <c r="H313" s="250">
        <v>3998</v>
      </c>
      <c r="I313" s="250">
        <v>25594</v>
      </c>
      <c r="J313" s="252">
        <v>-6.6000000000000003E-2</v>
      </c>
      <c r="K313" s="250">
        <v>8912</v>
      </c>
      <c r="L313" s="250">
        <v>2735</v>
      </c>
      <c r="M313" s="250">
        <v>19597</v>
      </c>
      <c r="N313" s="250">
        <v>3112</v>
      </c>
      <c r="O313" s="250">
        <v>1263</v>
      </c>
      <c r="P313" s="250">
        <v>5997</v>
      </c>
      <c r="Q313" s="253">
        <v>837959</v>
      </c>
      <c r="R313" s="254">
        <v>3.7137854099273682</v>
      </c>
      <c r="S313" s="254">
        <v>1.5072336196899414</v>
      </c>
      <c r="T313" s="255">
        <v>7.156674861907959</v>
      </c>
      <c r="U313"/>
      <c r="V313"/>
      <c r="W313"/>
    </row>
    <row r="314" spans="2:23">
      <c r="B314" s="249" t="s">
        <v>514</v>
      </c>
      <c r="C314" s="250" t="s">
        <v>242</v>
      </c>
      <c r="D314" s="250" t="s">
        <v>502</v>
      </c>
      <c r="E314" s="251">
        <v>4</v>
      </c>
      <c r="F314" s="251" t="s">
        <v>281</v>
      </c>
      <c r="G314" s="250">
        <v>12024</v>
      </c>
      <c r="H314" s="250">
        <v>3998</v>
      </c>
      <c r="I314" s="250">
        <v>25594</v>
      </c>
      <c r="J314" s="252">
        <v>-6.6000000000000003E-2</v>
      </c>
      <c r="K314" s="250">
        <v>8336</v>
      </c>
      <c r="L314" s="250">
        <v>2559</v>
      </c>
      <c r="M314" s="250">
        <v>18278</v>
      </c>
      <c r="N314" s="250">
        <v>3688</v>
      </c>
      <c r="O314" s="250">
        <v>1439</v>
      </c>
      <c r="P314" s="250">
        <v>7316</v>
      </c>
      <c r="Q314" s="253">
        <v>855330</v>
      </c>
      <c r="R314" s="254">
        <v>4.3117861747741699</v>
      </c>
      <c r="S314" s="254">
        <v>1.6823916435241699</v>
      </c>
      <c r="T314" s="255">
        <v>8.5534238815307617</v>
      </c>
      <c r="U314"/>
      <c r="V314"/>
      <c r="W314"/>
    </row>
    <row r="315" spans="2:23">
      <c r="B315" s="249" t="s">
        <v>514</v>
      </c>
      <c r="C315" s="250" t="s">
        <v>242</v>
      </c>
      <c r="D315" s="250" t="s">
        <v>502</v>
      </c>
      <c r="E315" s="251">
        <v>5</v>
      </c>
      <c r="F315" s="251" t="s">
        <v>281</v>
      </c>
      <c r="G315" s="250">
        <v>12024</v>
      </c>
      <c r="H315" s="250">
        <v>3998</v>
      </c>
      <c r="I315" s="250">
        <v>25594</v>
      </c>
      <c r="J315" s="252">
        <v>-6.6000000000000003E-2</v>
      </c>
      <c r="K315" s="250">
        <v>7631</v>
      </c>
      <c r="L315" s="250">
        <v>2401</v>
      </c>
      <c r="M315" s="250">
        <v>16901</v>
      </c>
      <c r="N315" s="250">
        <v>4393</v>
      </c>
      <c r="O315" s="250">
        <v>1597</v>
      </c>
      <c r="P315" s="250">
        <v>8693</v>
      </c>
      <c r="Q315" s="253">
        <v>837959</v>
      </c>
      <c r="R315" s="254">
        <v>5.242499828338623</v>
      </c>
      <c r="S315" s="254">
        <v>1.9058212041854858</v>
      </c>
      <c r="T315" s="255">
        <v>10.374015808105469</v>
      </c>
      <c r="U315"/>
      <c r="V315"/>
      <c r="W315"/>
    </row>
    <row r="316" spans="2:23">
      <c r="B316" s="249" t="s">
        <v>514</v>
      </c>
      <c r="C316" s="250" t="s">
        <v>242</v>
      </c>
      <c r="D316" s="250" t="s">
        <v>201</v>
      </c>
      <c r="E316" s="251">
        <v>6</v>
      </c>
      <c r="F316" s="251" t="s">
        <v>281</v>
      </c>
      <c r="G316" s="250">
        <v>12024</v>
      </c>
      <c r="H316" s="250">
        <v>3998</v>
      </c>
      <c r="I316" s="250">
        <v>25594</v>
      </c>
      <c r="J316" s="252">
        <v>-1.24E-2</v>
      </c>
      <c r="K316" s="250">
        <v>7583</v>
      </c>
      <c r="L316" s="250">
        <v>2391</v>
      </c>
      <c r="M316" s="250">
        <v>16781</v>
      </c>
      <c r="N316" s="250">
        <v>4441</v>
      </c>
      <c r="O316" s="250">
        <v>1607</v>
      </c>
      <c r="P316" s="250">
        <v>8813</v>
      </c>
      <c r="Q316" s="253">
        <v>661371</v>
      </c>
      <c r="R316" s="254">
        <v>6.7148394584655762</v>
      </c>
      <c r="S316" s="254">
        <v>2.4298009872436523</v>
      </c>
      <c r="T316" s="255">
        <v>13.325350761413574</v>
      </c>
      <c r="U316"/>
      <c r="V316"/>
      <c r="W316"/>
    </row>
    <row r="317" spans="2:23">
      <c r="B317" s="249" t="s">
        <v>514</v>
      </c>
      <c r="C317" s="250" t="s">
        <v>242</v>
      </c>
      <c r="D317" s="250" t="s">
        <v>201</v>
      </c>
      <c r="E317" s="251">
        <v>7</v>
      </c>
      <c r="F317" s="251" t="s">
        <v>281</v>
      </c>
      <c r="G317" s="250">
        <v>12024</v>
      </c>
      <c r="H317" s="250">
        <v>3998</v>
      </c>
      <c r="I317" s="250">
        <v>25594</v>
      </c>
      <c r="J317" s="252">
        <v>-1.24E-2</v>
      </c>
      <c r="K317" s="250">
        <v>7500</v>
      </c>
      <c r="L317" s="250">
        <v>2342</v>
      </c>
      <c r="M317" s="250">
        <v>16606</v>
      </c>
      <c r="N317" s="250">
        <v>4524</v>
      </c>
      <c r="O317" s="250">
        <v>1656</v>
      </c>
      <c r="P317" s="250">
        <v>8988</v>
      </c>
      <c r="Q317" s="253">
        <v>504727</v>
      </c>
      <c r="R317" s="254">
        <v>8.963261604309082</v>
      </c>
      <c r="S317" s="254">
        <v>3.2809817790985107</v>
      </c>
      <c r="T317" s="255">
        <v>17.807645797729492</v>
      </c>
      <c r="U317"/>
      <c r="V317"/>
      <c r="W317"/>
    </row>
    <row r="318" spans="2:23">
      <c r="B318" s="249" t="s">
        <v>514</v>
      </c>
      <c r="C318" s="250" t="s">
        <v>242</v>
      </c>
      <c r="D318" s="250" t="s">
        <v>201</v>
      </c>
      <c r="E318" s="251">
        <v>8</v>
      </c>
      <c r="F318" s="251" t="s">
        <v>281</v>
      </c>
      <c r="G318" s="250">
        <v>12024</v>
      </c>
      <c r="H318" s="250">
        <v>3998</v>
      </c>
      <c r="I318" s="250">
        <v>25594</v>
      </c>
      <c r="J318" s="252">
        <v>-1.24E-2</v>
      </c>
      <c r="K318" s="250">
        <v>7440</v>
      </c>
      <c r="L318" s="250">
        <v>2312</v>
      </c>
      <c r="M318" s="250">
        <v>16437</v>
      </c>
      <c r="N318" s="250">
        <v>4584</v>
      </c>
      <c r="O318" s="250">
        <v>1686</v>
      </c>
      <c r="P318" s="250">
        <v>9157</v>
      </c>
      <c r="Q318" s="253">
        <v>487356</v>
      </c>
      <c r="R318" s="254">
        <v>9.4058551788330078</v>
      </c>
      <c r="S318" s="254">
        <v>3.4594833850860596</v>
      </c>
      <c r="T318" s="255">
        <v>18.789140701293945</v>
      </c>
      <c r="U318"/>
      <c r="V318"/>
      <c r="W318"/>
    </row>
    <row r="319" spans="2:23">
      <c r="B319" s="249" t="s">
        <v>514</v>
      </c>
      <c r="C319" s="250" t="s">
        <v>242</v>
      </c>
      <c r="D319" s="250" t="s">
        <v>201</v>
      </c>
      <c r="E319" s="251">
        <v>9</v>
      </c>
      <c r="F319" s="251" t="s">
        <v>281</v>
      </c>
      <c r="G319" s="250">
        <v>12024</v>
      </c>
      <c r="H319" s="250">
        <v>3998</v>
      </c>
      <c r="I319" s="250">
        <v>25594</v>
      </c>
      <c r="J319" s="252">
        <v>-1.24E-2</v>
      </c>
      <c r="K319" s="250">
        <v>7381</v>
      </c>
      <c r="L319" s="250">
        <v>2302</v>
      </c>
      <c r="M319" s="250">
        <v>16258</v>
      </c>
      <c r="N319" s="250">
        <v>4643</v>
      </c>
      <c r="O319" s="250">
        <v>1696</v>
      </c>
      <c r="P319" s="250">
        <v>9336</v>
      </c>
      <c r="Q319" s="253">
        <v>487356</v>
      </c>
      <c r="R319" s="254">
        <v>9.52691650390625</v>
      </c>
      <c r="S319" s="254">
        <v>3.4800024032592773</v>
      </c>
      <c r="T319" s="255">
        <v>19.156427383422852</v>
      </c>
      <c r="U319"/>
      <c r="V319"/>
      <c r="W319"/>
    </row>
    <row r="320" spans="2:23">
      <c r="B320" s="249" t="s">
        <v>514</v>
      </c>
      <c r="C320" s="250" t="s">
        <v>242</v>
      </c>
      <c r="D320" s="250" t="s">
        <v>201</v>
      </c>
      <c r="E320" s="251">
        <v>10</v>
      </c>
      <c r="F320" s="251" t="s">
        <v>281</v>
      </c>
      <c r="G320" s="250">
        <v>12024</v>
      </c>
      <c r="H320" s="250">
        <v>3998</v>
      </c>
      <c r="I320" s="250">
        <v>25594</v>
      </c>
      <c r="J320" s="252">
        <v>-1.24E-2</v>
      </c>
      <c r="K320" s="250">
        <v>7348</v>
      </c>
      <c r="L320" s="250">
        <v>2294</v>
      </c>
      <c r="M320" s="250">
        <v>16177</v>
      </c>
      <c r="N320" s="250">
        <v>4676</v>
      </c>
      <c r="O320" s="250">
        <v>1704</v>
      </c>
      <c r="P320" s="250">
        <v>9417</v>
      </c>
      <c r="Q320" s="253">
        <v>504727</v>
      </c>
      <c r="R320" s="254">
        <v>9.2644138336181641</v>
      </c>
      <c r="S320" s="254">
        <v>3.3760824203491211</v>
      </c>
      <c r="T320" s="255">
        <v>18.657611846923828</v>
      </c>
      <c r="U320"/>
      <c r="V320"/>
      <c r="W320"/>
    </row>
    <row r="321" spans="2:23">
      <c r="B321" s="249" t="s">
        <v>514</v>
      </c>
      <c r="C321" s="250" t="s">
        <v>242</v>
      </c>
      <c r="D321" s="250" t="s">
        <v>201</v>
      </c>
      <c r="E321" s="251">
        <v>11</v>
      </c>
      <c r="F321" s="251" t="s">
        <v>281</v>
      </c>
      <c r="G321" s="250">
        <v>12024</v>
      </c>
      <c r="H321" s="250">
        <v>3998</v>
      </c>
      <c r="I321" s="250">
        <v>25594</v>
      </c>
      <c r="J321" s="252">
        <v>-1.24E-2</v>
      </c>
      <c r="K321" s="250">
        <v>7043</v>
      </c>
      <c r="L321" s="250">
        <v>2094</v>
      </c>
      <c r="M321" s="250">
        <v>15588</v>
      </c>
      <c r="N321" s="250">
        <v>4981</v>
      </c>
      <c r="O321" s="250">
        <v>1904</v>
      </c>
      <c r="P321" s="250">
        <v>10006</v>
      </c>
      <c r="Q321" s="253">
        <v>661371</v>
      </c>
      <c r="R321" s="254">
        <v>7.5313248634338379</v>
      </c>
      <c r="S321" s="254">
        <v>2.8788683414459229</v>
      </c>
      <c r="T321" s="255">
        <v>15.129179000854492</v>
      </c>
      <c r="U321"/>
      <c r="V321"/>
      <c r="W321"/>
    </row>
    <row r="322" spans="2:23">
      <c r="B322" s="249" t="s">
        <v>514</v>
      </c>
      <c r="C322" s="250" t="s">
        <v>242</v>
      </c>
      <c r="D322" s="250" t="s">
        <v>201</v>
      </c>
      <c r="E322" s="251">
        <v>12</v>
      </c>
      <c r="F322" s="251" t="s">
        <v>281</v>
      </c>
      <c r="G322" s="250">
        <v>12024</v>
      </c>
      <c r="H322" s="250">
        <v>3998</v>
      </c>
      <c r="I322" s="250">
        <v>25594</v>
      </c>
      <c r="J322" s="252">
        <v>-1.24E-2</v>
      </c>
      <c r="K322" s="250">
        <v>7019</v>
      </c>
      <c r="L322" s="250">
        <v>2069</v>
      </c>
      <c r="M322" s="250">
        <v>15508</v>
      </c>
      <c r="N322" s="250">
        <v>5005</v>
      </c>
      <c r="O322" s="250">
        <v>1929</v>
      </c>
      <c r="P322" s="250">
        <v>10086</v>
      </c>
      <c r="Q322" s="253">
        <v>487356</v>
      </c>
      <c r="R322" s="254">
        <v>10.26970100402832</v>
      </c>
      <c r="S322" s="254">
        <v>3.9580919742584229</v>
      </c>
      <c r="T322" s="255">
        <v>20.695343017578125</v>
      </c>
      <c r="U322"/>
      <c r="V322"/>
      <c r="W322"/>
    </row>
    <row r="323" spans="2:23">
      <c r="B323" s="249" t="s">
        <v>514</v>
      </c>
      <c r="C323" s="250" t="s">
        <v>242</v>
      </c>
      <c r="D323" s="250" t="s">
        <v>201</v>
      </c>
      <c r="E323" s="251">
        <v>13</v>
      </c>
      <c r="F323" s="251" t="s">
        <v>281</v>
      </c>
      <c r="G323" s="250">
        <v>12024</v>
      </c>
      <c r="H323" s="250">
        <v>3998</v>
      </c>
      <c r="I323" s="250">
        <v>25594</v>
      </c>
      <c r="J323" s="252">
        <v>-1.24E-2</v>
      </c>
      <c r="K323" s="250">
        <v>6988</v>
      </c>
      <c r="L323" s="250">
        <v>2061</v>
      </c>
      <c r="M323" s="250">
        <v>15364</v>
      </c>
      <c r="N323" s="250">
        <v>5036</v>
      </c>
      <c r="O323" s="250">
        <v>1937</v>
      </c>
      <c r="P323" s="250">
        <v>10230</v>
      </c>
      <c r="Q323" s="253">
        <v>504727</v>
      </c>
      <c r="R323" s="254">
        <v>9.9776716232299805</v>
      </c>
      <c r="S323" s="254">
        <v>3.8377182483673096</v>
      </c>
      <c r="T323" s="255">
        <v>20.268383026123047</v>
      </c>
      <c r="U323"/>
      <c r="V323"/>
      <c r="W323"/>
    </row>
    <row r="324" spans="2:23">
      <c r="B324" s="249" t="s">
        <v>514</v>
      </c>
      <c r="C324" s="250" t="s">
        <v>242</v>
      </c>
      <c r="D324" s="250" t="s">
        <v>201</v>
      </c>
      <c r="E324" s="251">
        <v>14</v>
      </c>
      <c r="F324" s="251" t="s">
        <v>281</v>
      </c>
      <c r="G324" s="250">
        <v>12024</v>
      </c>
      <c r="H324" s="250">
        <v>3998</v>
      </c>
      <c r="I324" s="250">
        <v>25594</v>
      </c>
      <c r="J324" s="252">
        <v>-1.24E-2</v>
      </c>
      <c r="K324" s="250">
        <v>6864</v>
      </c>
      <c r="L324" s="250">
        <v>2061</v>
      </c>
      <c r="M324" s="250">
        <v>15057</v>
      </c>
      <c r="N324" s="250">
        <v>5160</v>
      </c>
      <c r="O324" s="250">
        <v>1937</v>
      </c>
      <c r="P324" s="250">
        <v>10537</v>
      </c>
      <c r="Q324" s="253">
        <v>487356</v>
      </c>
      <c r="R324" s="254">
        <v>10.587742805480957</v>
      </c>
      <c r="S324" s="254">
        <v>3.9745075702667236</v>
      </c>
      <c r="T324" s="255">
        <v>21.620744705200195</v>
      </c>
      <c r="U324"/>
      <c r="V324"/>
      <c r="W324"/>
    </row>
    <row r="325" spans="2:23">
      <c r="B325" s="256" t="s">
        <v>514</v>
      </c>
      <c r="C325" s="257" t="s">
        <v>242</v>
      </c>
      <c r="D325" s="257" t="s">
        <v>201</v>
      </c>
      <c r="E325" s="258">
        <v>15</v>
      </c>
      <c r="F325" s="258" t="s">
        <v>281</v>
      </c>
      <c r="G325" s="257">
        <v>12024</v>
      </c>
      <c r="H325" s="257">
        <v>3998</v>
      </c>
      <c r="I325" s="257">
        <v>25594</v>
      </c>
      <c r="J325" s="259">
        <v>-1.24E-2</v>
      </c>
      <c r="K325" s="257">
        <v>6801</v>
      </c>
      <c r="L325" s="257">
        <v>2038</v>
      </c>
      <c r="M325" s="257">
        <v>14959</v>
      </c>
      <c r="N325" s="257">
        <v>5223</v>
      </c>
      <c r="O325" s="257">
        <v>1960</v>
      </c>
      <c r="P325" s="257">
        <v>10635</v>
      </c>
      <c r="Q325" s="260">
        <v>487356</v>
      </c>
      <c r="R325" s="261">
        <v>10.717012405395508</v>
      </c>
      <c r="S325" s="261">
        <v>4.0217008590698242</v>
      </c>
      <c r="T325" s="262">
        <v>21.821830749511719</v>
      </c>
      <c r="U325"/>
      <c r="V325"/>
      <c r="W325"/>
    </row>
    <row r="326" spans="2:23">
      <c r="B326" s="249" t="s">
        <v>514</v>
      </c>
      <c r="C326" s="250" t="s">
        <v>282</v>
      </c>
      <c r="D326" s="250" t="s">
        <v>502</v>
      </c>
      <c r="E326" s="251">
        <v>1</v>
      </c>
      <c r="F326" s="251" t="s">
        <v>281</v>
      </c>
      <c r="G326" s="250">
        <v>12024</v>
      </c>
      <c r="H326" s="250">
        <v>3998</v>
      </c>
      <c r="I326" s="250">
        <v>25594</v>
      </c>
      <c r="J326" s="252">
        <v>-3.6400000000000002E-2</v>
      </c>
      <c r="K326" s="250">
        <v>10370</v>
      </c>
      <c r="L326" s="250">
        <v>3121</v>
      </c>
      <c r="M326" s="250">
        <v>22947</v>
      </c>
      <c r="N326" s="250">
        <v>1654</v>
      </c>
      <c r="O326" s="250">
        <v>877</v>
      </c>
      <c r="P326" s="250">
        <v>2647</v>
      </c>
      <c r="Q326" s="253">
        <v>420165</v>
      </c>
      <c r="R326" s="254">
        <v>3.9365487098693848</v>
      </c>
      <c r="S326" s="254">
        <v>2.0872752666473389</v>
      </c>
      <c r="T326" s="255">
        <v>6.2999057769775391</v>
      </c>
    </row>
    <row r="327" spans="2:23">
      <c r="B327" s="249" t="s">
        <v>514</v>
      </c>
      <c r="C327" s="250" t="s">
        <v>282</v>
      </c>
      <c r="D327" s="250" t="s">
        <v>502</v>
      </c>
      <c r="E327" s="251">
        <v>2</v>
      </c>
      <c r="F327" s="251" t="s">
        <v>281</v>
      </c>
      <c r="G327" s="250">
        <v>12024</v>
      </c>
      <c r="H327" s="250">
        <v>3998</v>
      </c>
      <c r="I327" s="250">
        <v>25594</v>
      </c>
      <c r="J327" s="252">
        <v>-3.6400000000000002E-2</v>
      </c>
      <c r="K327" s="250">
        <v>10062</v>
      </c>
      <c r="L327" s="250">
        <v>3054</v>
      </c>
      <c r="M327" s="250">
        <v>22096</v>
      </c>
      <c r="N327" s="250">
        <v>1962</v>
      </c>
      <c r="O327" s="250">
        <v>944</v>
      </c>
      <c r="P327" s="250">
        <v>3498</v>
      </c>
      <c r="Q327" s="253">
        <v>188719</v>
      </c>
      <c r="R327" s="254">
        <v>10.39640998840332</v>
      </c>
      <c r="S327" s="254">
        <v>5.0021462440490723</v>
      </c>
      <c r="T327" s="255">
        <v>18.535495758056641</v>
      </c>
    </row>
    <row r="328" spans="2:23">
      <c r="B328" s="249" t="s">
        <v>514</v>
      </c>
      <c r="C328" s="250" t="s">
        <v>282</v>
      </c>
      <c r="D328" s="250" t="s">
        <v>502</v>
      </c>
      <c r="E328" s="251">
        <v>3</v>
      </c>
      <c r="F328" s="251" t="s">
        <v>281</v>
      </c>
      <c r="G328" s="250">
        <v>12024</v>
      </c>
      <c r="H328" s="250">
        <v>3998</v>
      </c>
      <c r="I328" s="250">
        <v>25594</v>
      </c>
      <c r="J328" s="252">
        <v>-3.6400000000000002E-2</v>
      </c>
      <c r="K328" s="250">
        <v>9750</v>
      </c>
      <c r="L328" s="250">
        <v>2963</v>
      </c>
      <c r="M328" s="250">
        <v>21471</v>
      </c>
      <c r="N328" s="250">
        <v>2274</v>
      </c>
      <c r="O328" s="250">
        <v>1035</v>
      </c>
      <c r="P328" s="250">
        <v>4123</v>
      </c>
      <c r="Q328" s="253">
        <v>155920</v>
      </c>
      <c r="R328" s="254">
        <v>14.584402084350586</v>
      </c>
      <c r="S328" s="254">
        <v>6.6380195617675781</v>
      </c>
      <c r="T328" s="255">
        <v>26.443046569824219</v>
      </c>
    </row>
    <row r="329" spans="2:23">
      <c r="B329" s="249" t="s">
        <v>514</v>
      </c>
      <c r="C329" s="250" t="s">
        <v>282</v>
      </c>
      <c r="D329" s="250" t="s">
        <v>502</v>
      </c>
      <c r="E329" s="251">
        <v>4</v>
      </c>
      <c r="F329" s="251" t="s">
        <v>281</v>
      </c>
      <c r="G329" s="250">
        <v>12024</v>
      </c>
      <c r="H329" s="250">
        <v>3998</v>
      </c>
      <c r="I329" s="250">
        <v>25594</v>
      </c>
      <c r="J329" s="252">
        <v>-3.6400000000000002E-2</v>
      </c>
      <c r="K329" s="250">
        <v>9353</v>
      </c>
      <c r="L329" s="250">
        <v>2886</v>
      </c>
      <c r="M329" s="250">
        <v>20669</v>
      </c>
      <c r="N329" s="250">
        <v>2671</v>
      </c>
      <c r="O329" s="250">
        <v>1112</v>
      </c>
      <c r="P329" s="250">
        <v>4925</v>
      </c>
      <c r="Q329" s="253">
        <v>155920</v>
      </c>
      <c r="R329" s="254">
        <v>17.130578994750977</v>
      </c>
      <c r="S329" s="254">
        <v>7.1318626403808594</v>
      </c>
      <c r="T329" s="255">
        <v>31.586709976196289</v>
      </c>
    </row>
    <row r="330" spans="2:23">
      <c r="B330" s="249" t="s">
        <v>514</v>
      </c>
      <c r="C330" s="250" t="s">
        <v>282</v>
      </c>
      <c r="D330" s="250" t="s">
        <v>502</v>
      </c>
      <c r="E330" s="251">
        <v>5</v>
      </c>
      <c r="F330" s="251" t="s">
        <v>281</v>
      </c>
      <c r="G330" s="250">
        <v>12024</v>
      </c>
      <c r="H330" s="250">
        <v>3998</v>
      </c>
      <c r="I330" s="250">
        <v>25594</v>
      </c>
      <c r="J330" s="252">
        <v>-3.6400000000000002E-2</v>
      </c>
      <c r="K330" s="250">
        <v>9026</v>
      </c>
      <c r="L330" s="250">
        <v>2760</v>
      </c>
      <c r="M330" s="250">
        <v>19924</v>
      </c>
      <c r="N330" s="250">
        <v>2998</v>
      </c>
      <c r="O330" s="250">
        <v>1238</v>
      </c>
      <c r="P330" s="250">
        <v>5670</v>
      </c>
      <c r="Q330" s="253">
        <v>155920</v>
      </c>
      <c r="R330" s="254">
        <v>19.227807998657227</v>
      </c>
      <c r="S330" s="254">
        <v>7.9399690628051758</v>
      </c>
      <c r="T330" s="255">
        <v>36.364799499511719</v>
      </c>
    </row>
    <row r="331" spans="2:23">
      <c r="B331" s="249" t="s">
        <v>514</v>
      </c>
      <c r="C331" s="250" t="s">
        <v>282</v>
      </c>
      <c r="D331" s="250" t="s">
        <v>201</v>
      </c>
      <c r="E331" s="251">
        <v>6</v>
      </c>
      <c r="F331" s="251" t="s">
        <v>281</v>
      </c>
      <c r="G331" s="250">
        <v>12024</v>
      </c>
      <c r="H331" s="250">
        <v>3998</v>
      </c>
      <c r="I331" s="250">
        <v>25594</v>
      </c>
      <c r="J331" s="252">
        <v>-9.1000000000000004E-3</v>
      </c>
      <c r="K331" s="250">
        <v>8996</v>
      </c>
      <c r="L331" s="250">
        <v>2745</v>
      </c>
      <c r="M331" s="250">
        <v>19812</v>
      </c>
      <c r="N331" s="250">
        <v>3028</v>
      </c>
      <c r="O331" s="250">
        <v>1253</v>
      </c>
      <c r="P331" s="250">
        <v>5782</v>
      </c>
      <c r="Q331" s="253">
        <v>188016</v>
      </c>
      <c r="R331" s="254">
        <v>16.105012893676758</v>
      </c>
      <c r="S331" s="254">
        <v>6.6643261909484863</v>
      </c>
      <c r="T331" s="255">
        <v>30.752700805664063</v>
      </c>
    </row>
    <row r="332" spans="2:23">
      <c r="B332" s="249" t="s">
        <v>514</v>
      </c>
      <c r="C332" s="250" t="s">
        <v>282</v>
      </c>
      <c r="D332" s="250" t="s">
        <v>201</v>
      </c>
      <c r="E332" s="251">
        <v>7</v>
      </c>
      <c r="F332" s="251" t="s">
        <v>281</v>
      </c>
      <c r="G332" s="250">
        <v>12024</v>
      </c>
      <c r="H332" s="250">
        <v>3998</v>
      </c>
      <c r="I332" s="250">
        <v>25594</v>
      </c>
      <c r="J332" s="252">
        <v>-9.1000000000000004E-3</v>
      </c>
      <c r="K332" s="250">
        <v>8918</v>
      </c>
      <c r="L332" s="250">
        <v>2735</v>
      </c>
      <c r="M332" s="250">
        <v>19622</v>
      </c>
      <c r="N332" s="250">
        <v>3106</v>
      </c>
      <c r="O332" s="250">
        <v>1263</v>
      </c>
      <c r="P332" s="250">
        <v>5972</v>
      </c>
      <c r="Q332" s="253">
        <v>143207</v>
      </c>
      <c r="R332" s="254">
        <v>21.688884735107422</v>
      </c>
      <c r="S332" s="254">
        <v>8.8194007873535156</v>
      </c>
      <c r="T332" s="255">
        <v>41.701873779296875</v>
      </c>
    </row>
    <row r="333" spans="2:23">
      <c r="B333" s="249" t="s">
        <v>514</v>
      </c>
      <c r="C333" s="250" t="s">
        <v>282</v>
      </c>
      <c r="D333" s="250" t="s">
        <v>201</v>
      </c>
      <c r="E333" s="251">
        <v>8</v>
      </c>
      <c r="F333" s="251" t="s">
        <v>281</v>
      </c>
      <c r="G333" s="250">
        <v>12024</v>
      </c>
      <c r="H333" s="250">
        <v>3998</v>
      </c>
      <c r="I333" s="250">
        <v>25594</v>
      </c>
      <c r="J333" s="252">
        <v>-9.1000000000000004E-3</v>
      </c>
      <c r="K333" s="250">
        <v>8872</v>
      </c>
      <c r="L333" s="250">
        <v>2719</v>
      </c>
      <c r="M333" s="250">
        <v>19438</v>
      </c>
      <c r="N333" s="250">
        <v>3152</v>
      </c>
      <c r="O333" s="250">
        <v>1279</v>
      </c>
      <c r="P333" s="250">
        <v>6156</v>
      </c>
      <c r="Q333" s="253">
        <v>143207</v>
      </c>
      <c r="R333" s="254">
        <v>22.010097503662109</v>
      </c>
      <c r="S333" s="254">
        <v>8.9311275482177734</v>
      </c>
      <c r="T333" s="255">
        <v>42.986724853515625</v>
      </c>
    </row>
    <row r="334" spans="2:23">
      <c r="B334" s="249" t="s">
        <v>514</v>
      </c>
      <c r="C334" s="250" t="s">
        <v>282</v>
      </c>
      <c r="D334" s="250" t="s">
        <v>201</v>
      </c>
      <c r="E334" s="251">
        <v>9</v>
      </c>
      <c r="F334" s="251" t="s">
        <v>281</v>
      </c>
      <c r="G334" s="250">
        <v>12024</v>
      </c>
      <c r="H334" s="250">
        <v>3998</v>
      </c>
      <c r="I334" s="250">
        <v>25594</v>
      </c>
      <c r="J334" s="252">
        <v>-9.1000000000000004E-3</v>
      </c>
      <c r="K334" s="250">
        <v>8861</v>
      </c>
      <c r="L334" s="250">
        <v>2719</v>
      </c>
      <c r="M334" s="250">
        <v>19377</v>
      </c>
      <c r="N334" s="250">
        <v>3163</v>
      </c>
      <c r="O334" s="250">
        <v>1279</v>
      </c>
      <c r="P334" s="250">
        <v>6217</v>
      </c>
      <c r="Q334" s="253">
        <v>143207</v>
      </c>
      <c r="R334" s="254">
        <v>22.086908340454102</v>
      </c>
      <c r="S334" s="254">
        <v>8.9311275482177734</v>
      </c>
      <c r="T334" s="255">
        <v>43.412681579589844</v>
      </c>
    </row>
    <row r="335" spans="2:23">
      <c r="B335" s="249" t="s">
        <v>514</v>
      </c>
      <c r="C335" s="250" t="s">
        <v>282</v>
      </c>
      <c r="D335" s="250" t="s">
        <v>201</v>
      </c>
      <c r="E335" s="251">
        <v>10</v>
      </c>
      <c r="F335" s="251" t="s">
        <v>281</v>
      </c>
      <c r="G335" s="250">
        <v>12024</v>
      </c>
      <c r="H335" s="250">
        <v>3998</v>
      </c>
      <c r="I335" s="250">
        <v>25594</v>
      </c>
      <c r="J335" s="252">
        <v>-9.1000000000000004E-3</v>
      </c>
      <c r="K335" s="250">
        <v>8629</v>
      </c>
      <c r="L335" s="250">
        <v>2641</v>
      </c>
      <c r="M335" s="250">
        <v>19058</v>
      </c>
      <c r="N335" s="250">
        <v>3395</v>
      </c>
      <c r="O335" s="250">
        <v>1357</v>
      </c>
      <c r="P335" s="250">
        <v>6536</v>
      </c>
      <c r="Q335" s="253">
        <v>143207</v>
      </c>
      <c r="R335" s="254">
        <v>23.706941604614258</v>
      </c>
      <c r="S335" s="254">
        <v>9.4757938385009766</v>
      </c>
      <c r="T335" s="255">
        <v>45.640228271484375</v>
      </c>
    </row>
    <row r="336" spans="2:23">
      <c r="B336" s="249" t="s">
        <v>514</v>
      </c>
      <c r="C336" s="250" t="s">
        <v>282</v>
      </c>
      <c r="D336" s="250" t="s">
        <v>201</v>
      </c>
      <c r="E336" s="251">
        <v>11</v>
      </c>
      <c r="F336" s="251" t="s">
        <v>281</v>
      </c>
      <c r="G336" s="250">
        <v>12024</v>
      </c>
      <c r="H336" s="250">
        <v>3998</v>
      </c>
      <c r="I336" s="250">
        <v>25594</v>
      </c>
      <c r="J336" s="252">
        <v>-9.1000000000000004E-3</v>
      </c>
      <c r="K336" s="250">
        <v>8567</v>
      </c>
      <c r="L336" s="250">
        <v>2623</v>
      </c>
      <c r="M336" s="250">
        <v>18939</v>
      </c>
      <c r="N336" s="250">
        <v>3457</v>
      </c>
      <c r="O336" s="250">
        <v>1375</v>
      </c>
      <c r="P336" s="250">
        <v>6655</v>
      </c>
      <c r="Q336" s="253">
        <v>188016</v>
      </c>
      <c r="R336" s="254">
        <v>18.38673210144043</v>
      </c>
      <c r="S336" s="254">
        <v>7.3132071495056152</v>
      </c>
      <c r="T336" s="255">
        <v>35.395923614501953</v>
      </c>
    </row>
    <row r="337" spans="2:20">
      <c r="B337" s="249" t="s">
        <v>514</v>
      </c>
      <c r="C337" s="250" t="s">
        <v>282</v>
      </c>
      <c r="D337" s="250" t="s">
        <v>201</v>
      </c>
      <c r="E337" s="251">
        <v>12</v>
      </c>
      <c r="F337" s="251" t="s">
        <v>281</v>
      </c>
      <c r="G337" s="250">
        <v>12024</v>
      </c>
      <c r="H337" s="250">
        <v>3998</v>
      </c>
      <c r="I337" s="250">
        <v>25594</v>
      </c>
      <c r="J337" s="252">
        <v>-9.1000000000000004E-3</v>
      </c>
      <c r="K337" s="250">
        <v>8520</v>
      </c>
      <c r="L337" s="250">
        <v>2613</v>
      </c>
      <c r="M337" s="250">
        <v>18696</v>
      </c>
      <c r="N337" s="250">
        <v>3504</v>
      </c>
      <c r="O337" s="250">
        <v>1385</v>
      </c>
      <c r="P337" s="250">
        <v>6898</v>
      </c>
      <c r="Q337" s="253">
        <v>143207</v>
      </c>
      <c r="R337" s="254">
        <v>24.468076705932617</v>
      </c>
      <c r="S337" s="254">
        <v>9.6713142395019531</v>
      </c>
      <c r="T337" s="255">
        <v>48.168037414550781</v>
      </c>
    </row>
    <row r="338" spans="2:20">
      <c r="B338" s="249" t="s">
        <v>514</v>
      </c>
      <c r="C338" s="250" t="s">
        <v>282</v>
      </c>
      <c r="D338" s="250" t="s">
        <v>201</v>
      </c>
      <c r="E338" s="251">
        <v>13</v>
      </c>
      <c r="F338" s="251" t="s">
        <v>281</v>
      </c>
      <c r="G338" s="250">
        <v>12024</v>
      </c>
      <c r="H338" s="250">
        <v>3998</v>
      </c>
      <c r="I338" s="250">
        <v>25594</v>
      </c>
      <c r="J338" s="252">
        <v>-9.1000000000000004E-3</v>
      </c>
      <c r="K338" s="250">
        <v>8409</v>
      </c>
      <c r="L338" s="250">
        <v>2599</v>
      </c>
      <c r="M338" s="250">
        <v>18448</v>
      </c>
      <c r="N338" s="250">
        <v>3615</v>
      </c>
      <c r="O338" s="250">
        <v>1399</v>
      </c>
      <c r="P338" s="250">
        <v>7146</v>
      </c>
      <c r="Q338" s="253">
        <v>143207</v>
      </c>
      <c r="R338" s="254">
        <v>25.243179321289063</v>
      </c>
      <c r="S338" s="254">
        <v>9.7690753936767578</v>
      </c>
      <c r="T338" s="255">
        <v>49.899795532226563</v>
      </c>
    </row>
    <row r="339" spans="2:20">
      <c r="B339" s="249" t="s">
        <v>514</v>
      </c>
      <c r="C339" s="250" t="s">
        <v>282</v>
      </c>
      <c r="D339" s="250" t="s">
        <v>201</v>
      </c>
      <c r="E339" s="251">
        <v>14</v>
      </c>
      <c r="F339" s="251" t="s">
        <v>281</v>
      </c>
      <c r="G339" s="250">
        <v>12024</v>
      </c>
      <c r="H339" s="250">
        <v>3998</v>
      </c>
      <c r="I339" s="250">
        <v>25594</v>
      </c>
      <c r="J339" s="252">
        <v>-9.1000000000000004E-3</v>
      </c>
      <c r="K339" s="250">
        <v>8365</v>
      </c>
      <c r="L339" s="250">
        <v>2569</v>
      </c>
      <c r="M339" s="250">
        <v>18365</v>
      </c>
      <c r="N339" s="250">
        <v>3659</v>
      </c>
      <c r="O339" s="250">
        <v>1429</v>
      </c>
      <c r="P339" s="250">
        <v>7229</v>
      </c>
      <c r="Q339" s="253">
        <v>143207</v>
      </c>
      <c r="R339" s="254">
        <v>25.550426483154297</v>
      </c>
      <c r="S339" s="254">
        <v>9.9785623550415039</v>
      </c>
      <c r="T339" s="255">
        <v>50.479373931884766</v>
      </c>
    </row>
    <row r="340" spans="2:20">
      <c r="B340" s="256" t="s">
        <v>514</v>
      </c>
      <c r="C340" s="257" t="s">
        <v>282</v>
      </c>
      <c r="D340" s="257" t="s">
        <v>201</v>
      </c>
      <c r="E340" s="258">
        <v>15</v>
      </c>
      <c r="F340" s="258" t="s">
        <v>281</v>
      </c>
      <c r="G340" s="257">
        <v>12024</v>
      </c>
      <c r="H340" s="257">
        <v>3998</v>
      </c>
      <c r="I340" s="257">
        <v>25594</v>
      </c>
      <c r="J340" s="259">
        <v>-9.1000000000000004E-3</v>
      </c>
      <c r="K340" s="257">
        <v>8307</v>
      </c>
      <c r="L340" s="257">
        <v>2559</v>
      </c>
      <c r="M340" s="257">
        <v>18229</v>
      </c>
      <c r="N340" s="257">
        <v>3717</v>
      </c>
      <c r="O340" s="257">
        <v>1439</v>
      </c>
      <c r="P340" s="257">
        <v>7365</v>
      </c>
      <c r="Q340" s="260">
        <v>143207</v>
      </c>
      <c r="R340" s="261">
        <v>25.955434799194336</v>
      </c>
      <c r="S340" s="261">
        <v>10.048391342163086</v>
      </c>
      <c r="T340" s="262">
        <v>51.429050445556641</v>
      </c>
    </row>
    <row r="341" spans="2:20">
      <c r="B341" s="249" t="s">
        <v>514</v>
      </c>
      <c r="C341" s="250" t="s">
        <v>77</v>
      </c>
      <c r="D341" s="250" t="s">
        <v>502</v>
      </c>
      <c r="E341" s="251">
        <v>1</v>
      </c>
      <c r="F341" s="251" t="s">
        <v>281</v>
      </c>
      <c r="G341" s="250">
        <v>12024</v>
      </c>
      <c r="H341" s="250">
        <v>3998</v>
      </c>
      <c r="I341" s="250">
        <v>25594</v>
      </c>
      <c r="J341" s="252">
        <v>-1.0800000000000001E-2</v>
      </c>
      <c r="K341" s="250">
        <v>10485</v>
      </c>
      <c r="L341" s="250">
        <v>3144</v>
      </c>
      <c r="M341" s="250">
        <v>23329</v>
      </c>
      <c r="N341" s="250">
        <v>1539</v>
      </c>
      <c r="O341" s="250">
        <v>854</v>
      </c>
      <c r="P341" s="250">
        <v>2265</v>
      </c>
      <c r="Q341" s="253">
        <v>291952</v>
      </c>
      <c r="R341" s="254">
        <v>5.2714142799377441</v>
      </c>
      <c r="S341" s="254">
        <v>2.9251384735107422</v>
      </c>
      <c r="T341" s="255">
        <v>7.758124828338623</v>
      </c>
    </row>
    <row r="342" spans="2:20">
      <c r="B342" s="249" t="s">
        <v>514</v>
      </c>
      <c r="C342" s="250" t="s">
        <v>77</v>
      </c>
      <c r="D342" s="250" t="s">
        <v>502</v>
      </c>
      <c r="E342" s="251">
        <v>2</v>
      </c>
      <c r="F342" s="251" t="s">
        <v>281</v>
      </c>
      <c r="G342" s="250">
        <v>12024</v>
      </c>
      <c r="H342" s="250">
        <v>3998</v>
      </c>
      <c r="I342" s="250">
        <v>25594</v>
      </c>
      <c r="J342" s="252">
        <v>-1.0800000000000001E-2</v>
      </c>
      <c r="K342" s="250">
        <v>10450</v>
      </c>
      <c r="L342" s="250">
        <v>3144</v>
      </c>
      <c r="M342" s="250">
        <v>23209</v>
      </c>
      <c r="N342" s="250">
        <v>1574</v>
      </c>
      <c r="O342" s="250">
        <v>854</v>
      </c>
      <c r="P342" s="250">
        <v>2385</v>
      </c>
      <c r="Q342" s="253">
        <v>503800</v>
      </c>
      <c r="R342" s="254">
        <v>3.1242556571960449</v>
      </c>
      <c r="S342" s="254">
        <v>1.6951171159744263</v>
      </c>
      <c r="T342" s="255">
        <v>4.7340216636657715</v>
      </c>
    </row>
    <row r="343" spans="2:20">
      <c r="B343" s="249" t="s">
        <v>514</v>
      </c>
      <c r="C343" s="250" t="s">
        <v>77</v>
      </c>
      <c r="D343" s="250" t="s">
        <v>502</v>
      </c>
      <c r="E343" s="251">
        <v>3</v>
      </c>
      <c r="F343" s="251" t="s">
        <v>281</v>
      </c>
      <c r="G343" s="250">
        <v>12024</v>
      </c>
      <c r="H343" s="250">
        <v>3998</v>
      </c>
      <c r="I343" s="250">
        <v>25594</v>
      </c>
      <c r="J343" s="252">
        <v>-1.0800000000000001E-2</v>
      </c>
      <c r="K343" s="250">
        <v>10397</v>
      </c>
      <c r="L343" s="250">
        <v>3121</v>
      </c>
      <c r="M343" s="250">
        <v>23052</v>
      </c>
      <c r="N343" s="250">
        <v>1627</v>
      </c>
      <c r="O343" s="250">
        <v>877</v>
      </c>
      <c r="P343" s="250">
        <v>2542</v>
      </c>
      <c r="Q343" s="253">
        <v>336131</v>
      </c>
      <c r="R343" s="254">
        <v>4.8403749465942383</v>
      </c>
      <c r="S343" s="254">
        <v>2.6091017723083496</v>
      </c>
      <c r="T343" s="255">
        <v>7.562528133392334</v>
      </c>
    </row>
    <row r="344" spans="2:20">
      <c r="B344" s="249" t="s">
        <v>514</v>
      </c>
      <c r="C344" s="250" t="s">
        <v>77</v>
      </c>
      <c r="D344" s="250" t="s">
        <v>502</v>
      </c>
      <c r="E344" s="251">
        <v>4</v>
      </c>
      <c r="F344" s="251" t="s">
        <v>281</v>
      </c>
      <c r="G344" s="250">
        <v>12024</v>
      </c>
      <c r="H344" s="250">
        <v>3998</v>
      </c>
      <c r="I344" s="250">
        <v>25594</v>
      </c>
      <c r="J344" s="252">
        <v>-1.0800000000000001E-2</v>
      </c>
      <c r="K344" s="250">
        <v>10301</v>
      </c>
      <c r="L344" s="250">
        <v>3121</v>
      </c>
      <c r="M344" s="250">
        <v>22848</v>
      </c>
      <c r="N344" s="250">
        <v>1723</v>
      </c>
      <c r="O344" s="250">
        <v>877</v>
      </c>
      <c r="P344" s="250">
        <v>2746</v>
      </c>
      <c r="Q344" s="253">
        <v>353502</v>
      </c>
      <c r="R344" s="254">
        <v>4.8740882873535156</v>
      </c>
      <c r="S344" s="254">
        <v>2.480891227722168</v>
      </c>
      <c r="T344" s="255">
        <v>7.7679896354675293</v>
      </c>
    </row>
    <row r="345" spans="2:20">
      <c r="B345" s="249" t="s">
        <v>514</v>
      </c>
      <c r="C345" s="250" t="s">
        <v>77</v>
      </c>
      <c r="D345" s="250" t="s">
        <v>502</v>
      </c>
      <c r="E345" s="251">
        <v>5</v>
      </c>
      <c r="F345" s="251" t="s">
        <v>281</v>
      </c>
      <c r="G345" s="250">
        <v>12024</v>
      </c>
      <c r="H345" s="250">
        <v>3998</v>
      </c>
      <c r="I345" s="250">
        <v>25594</v>
      </c>
      <c r="J345" s="252">
        <v>-1.0800000000000001E-2</v>
      </c>
      <c r="K345" s="250">
        <v>10228</v>
      </c>
      <c r="L345" s="250">
        <v>3093</v>
      </c>
      <c r="M345" s="250">
        <v>22634</v>
      </c>
      <c r="N345" s="250">
        <v>1796</v>
      </c>
      <c r="O345" s="250">
        <v>905</v>
      </c>
      <c r="P345" s="250">
        <v>2960</v>
      </c>
      <c r="Q345" s="253">
        <v>336131</v>
      </c>
      <c r="R345" s="254">
        <v>5.3431549072265625</v>
      </c>
      <c r="S345" s="254">
        <v>2.6924026012420654</v>
      </c>
      <c r="T345" s="255">
        <v>8.8060903549194336</v>
      </c>
    </row>
    <row r="346" spans="2:20">
      <c r="B346" s="249" t="s">
        <v>514</v>
      </c>
      <c r="C346" s="250" t="s">
        <v>77</v>
      </c>
      <c r="D346" s="250" t="s">
        <v>201</v>
      </c>
      <c r="E346" s="251">
        <v>6</v>
      </c>
      <c r="F346" s="251" t="s">
        <v>281</v>
      </c>
      <c r="G346" s="250">
        <v>12024</v>
      </c>
      <c r="H346" s="250">
        <v>3998</v>
      </c>
      <c r="I346" s="250">
        <v>25594</v>
      </c>
      <c r="J346" s="252">
        <v>-8.0000000000000004E-4</v>
      </c>
      <c r="K346" s="250">
        <v>10228</v>
      </c>
      <c r="L346" s="250">
        <v>3093</v>
      </c>
      <c r="M346" s="250">
        <v>22634</v>
      </c>
      <c r="N346" s="250">
        <v>1796</v>
      </c>
      <c r="O346" s="250">
        <v>905</v>
      </c>
      <c r="P346" s="250">
        <v>2960</v>
      </c>
      <c r="Q346" s="253">
        <v>231478</v>
      </c>
      <c r="R346" s="254">
        <v>7.7588367462158203</v>
      </c>
      <c r="S346" s="254">
        <v>3.909658670425415</v>
      </c>
      <c r="T346" s="255">
        <v>12.787392616271973</v>
      </c>
    </row>
    <row r="347" spans="2:20">
      <c r="B347" s="249" t="s">
        <v>514</v>
      </c>
      <c r="C347" s="250" t="s">
        <v>77</v>
      </c>
      <c r="D347" s="250" t="s">
        <v>201</v>
      </c>
      <c r="E347" s="251">
        <v>7</v>
      </c>
      <c r="F347" s="251" t="s">
        <v>281</v>
      </c>
      <c r="G347" s="250">
        <v>12024</v>
      </c>
      <c r="H347" s="250">
        <v>3998</v>
      </c>
      <c r="I347" s="250">
        <v>25594</v>
      </c>
      <c r="J347" s="252">
        <v>-8.0000000000000004E-4</v>
      </c>
      <c r="K347" s="250">
        <v>10228</v>
      </c>
      <c r="L347" s="250">
        <v>3093</v>
      </c>
      <c r="M347" s="250">
        <v>22603</v>
      </c>
      <c r="N347" s="250">
        <v>1796</v>
      </c>
      <c r="O347" s="250">
        <v>905</v>
      </c>
      <c r="P347" s="250">
        <v>2991</v>
      </c>
      <c r="Q347" s="253">
        <v>177294</v>
      </c>
      <c r="R347" s="254">
        <v>10.130066871643066</v>
      </c>
      <c r="S347" s="254">
        <v>5.104515552520752</v>
      </c>
      <c r="T347" s="255">
        <v>16.870283126831055</v>
      </c>
    </row>
    <row r="348" spans="2:20">
      <c r="B348" s="249" t="s">
        <v>514</v>
      </c>
      <c r="C348" s="250" t="s">
        <v>77</v>
      </c>
      <c r="D348" s="250" t="s">
        <v>201</v>
      </c>
      <c r="E348" s="251">
        <v>8</v>
      </c>
      <c r="F348" s="251" t="s">
        <v>281</v>
      </c>
      <c r="G348" s="250">
        <v>12024</v>
      </c>
      <c r="H348" s="250">
        <v>3998</v>
      </c>
      <c r="I348" s="250">
        <v>25594</v>
      </c>
      <c r="J348" s="252">
        <v>-8.0000000000000004E-4</v>
      </c>
      <c r="K348" s="250">
        <v>10228</v>
      </c>
      <c r="L348" s="250">
        <v>3093</v>
      </c>
      <c r="M348" s="250">
        <v>22603</v>
      </c>
      <c r="N348" s="250">
        <v>1796</v>
      </c>
      <c r="O348" s="250">
        <v>905</v>
      </c>
      <c r="P348" s="250">
        <v>2991</v>
      </c>
      <c r="Q348" s="253">
        <v>159923</v>
      </c>
      <c r="R348" s="254">
        <v>11.230404853820801</v>
      </c>
      <c r="S348" s="254">
        <v>5.6589736938476563</v>
      </c>
      <c r="T348" s="255">
        <v>18.702751159667969</v>
      </c>
    </row>
    <row r="349" spans="2:20">
      <c r="B349" s="249" t="s">
        <v>514</v>
      </c>
      <c r="C349" s="250" t="s">
        <v>77</v>
      </c>
      <c r="D349" s="250" t="s">
        <v>201</v>
      </c>
      <c r="E349" s="251">
        <v>9</v>
      </c>
      <c r="F349" s="251" t="s">
        <v>281</v>
      </c>
      <c r="G349" s="250">
        <v>12024</v>
      </c>
      <c r="H349" s="250">
        <v>3998</v>
      </c>
      <c r="I349" s="250">
        <v>25594</v>
      </c>
      <c r="J349" s="252">
        <v>-8.0000000000000004E-4</v>
      </c>
      <c r="K349" s="250">
        <v>10208</v>
      </c>
      <c r="L349" s="250">
        <v>3079</v>
      </c>
      <c r="M349" s="250">
        <v>22560</v>
      </c>
      <c r="N349" s="250">
        <v>1816</v>
      </c>
      <c r="O349" s="250">
        <v>919</v>
      </c>
      <c r="P349" s="250">
        <v>3034</v>
      </c>
      <c r="Q349" s="253">
        <v>159923</v>
      </c>
      <c r="R349" s="254">
        <v>11.355464935302734</v>
      </c>
      <c r="S349" s="254">
        <v>5.7465152740478516</v>
      </c>
      <c r="T349" s="255">
        <v>18.971630096435547</v>
      </c>
    </row>
    <row r="350" spans="2:20">
      <c r="B350" s="249" t="s">
        <v>514</v>
      </c>
      <c r="C350" s="250" t="s">
        <v>77</v>
      </c>
      <c r="D350" s="250" t="s">
        <v>201</v>
      </c>
      <c r="E350" s="251">
        <v>10</v>
      </c>
      <c r="F350" s="251" t="s">
        <v>281</v>
      </c>
      <c r="G350" s="250">
        <v>12024</v>
      </c>
      <c r="H350" s="250">
        <v>3998</v>
      </c>
      <c r="I350" s="250">
        <v>25594</v>
      </c>
      <c r="J350" s="252">
        <v>-8.0000000000000004E-4</v>
      </c>
      <c r="K350" s="250">
        <v>10200</v>
      </c>
      <c r="L350" s="250">
        <v>3079</v>
      </c>
      <c r="M350" s="250">
        <v>22527</v>
      </c>
      <c r="N350" s="250">
        <v>1824</v>
      </c>
      <c r="O350" s="250">
        <v>919</v>
      </c>
      <c r="P350" s="250">
        <v>3067</v>
      </c>
      <c r="Q350" s="253">
        <v>177294</v>
      </c>
      <c r="R350" s="254">
        <v>10.287996292114258</v>
      </c>
      <c r="S350" s="254">
        <v>5.1834807395935059</v>
      </c>
      <c r="T350" s="255">
        <v>17.2989501953125</v>
      </c>
    </row>
    <row r="351" spans="2:20">
      <c r="B351" s="249" t="s">
        <v>514</v>
      </c>
      <c r="C351" s="250" t="s">
        <v>77</v>
      </c>
      <c r="D351" s="250" t="s">
        <v>201</v>
      </c>
      <c r="E351" s="251">
        <v>11</v>
      </c>
      <c r="F351" s="251" t="s">
        <v>281</v>
      </c>
      <c r="G351" s="250">
        <v>12024</v>
      </c>
      <c r="H351" s="250">
        <v>3998</v>
      </c>
      <c r="I351" s="250">
        <v>25594</v>
      </c>
      <c r="J351" s="252">
        <v>-8.0000000000000004E-4</v>
      </c>
      <c r="K351" s="250">
        <v>10195</v>
      </c>
      <c r="L351" s="250">
        <v>3074</v>
      </c>
      <c r="M351" s="250">
        <v>22527</v>
      </c>
      <c r="N351" s="250">
        <v>1829</v>
      </c>
      <c r="O351" s="250">
        <v>924</v>
      </c>
      <c r="P351" s="250">
        <v>3067</v>
      </c>
      <c r="Q351" s="253">
        <v>231478</v>
      </c>
      <c r="R351" s="254">
        <v>7.9013986587524414</v>
      </c>
      <c r="S351" s="254">
        <v>3.9917397499084473</v>
      </c>
      <c r="T351" s="255">
        <v>13.249639511108398</v>
      </c>
    </row>
    <row r="352" spans="2:20">
      <c r="B352" s="249" t="s">
        <v>514</v>
      </c>
      <c r="C352" s="250" t="s">
        <v>77</v>
      </c>
      <c r="D352" s="250" t="s">
        <v>201</v>
      </c>
      <c r="E352" s="251">
        <v>12</v>
      </c>
      <c r="F352" s="251" t="s">
        <v>281</v>
      </c>
      <c r="G352" s="250">
        <v>12024</v>
      </c>
      <c r="H352" s="250">
        <v>3998</v>
      </c>
      <c r="I352" s="250">
        <v>25594</v>
      </c>
      <c r="J352" s="252">
        <v>-8.0000000000000004E-4</v>
      </c>
      <c r="K352" s="250">
        <v>10195</v>
      </c>
      <c r="L352" s="250">
        <v>3074</v>
      </c>
      <c r="M352" s="250">
        <v>22523</v>
      </c>
      <c r="N352" s="250">
        <v>1829</v>
      </c>
      <c r="O352" s="250">
        <v>924</v>
      </c>
      <c r="P352" s="250">
        <v>3071</v>
      </c>
      <c r="Q352" s="253">
        <v>159923</v>
      </c>
      <c r="R352" s="254">
        <v>11.43675422668457</v>
      </c>
      <c r="S352" s="254">
        <v>5.7777805328369141</v>
      </c>
      <c r="T352" s="255">
        <v>19.202991485595703</v>
      </c>
    </row>
    <row r="353" spans="2:20">
      <c r="B353" s="249" t="s">
        <v>514</v>
      </c>
      <c r="C353" s="250" t="s">
        <v>77</v>
      </c>
      <c r="D353" s="250" t="s">
        <v>201</v>
      </c>
      <c r="E353" s="251">
        <v>13</v>
      </c>
      <c r="F353" s="251" t="s">
        <v>281</v>
      </c>
      <c r="G353" s="250">
        <v>12024</v>
      </c>
      <c r="H353" s="250">
        <v>3998</v>
      </c>
      <c r="I353" s="250">
        <v>25594</v>
      </c>
      <c r="J353" s="252">
        <v>-8.0000000000000004E-4</v>
      </c>
      <c r="K353" s="250">
        <v>10195</v>
      </c>
      <c r="L353" s="250">
        <v>3074</v>
      </c>
      <c r="M353" s="250">
        <v>22501</v>
      </c>
      <c r="N353" s="250">
        <v>1829</v>
      </c>
      <c r="O353" s="250">
        <v>924</v>
      </c>
      <c r="P353" s="250">
        <v>3093</v>
      </c>
      <c r="Q353" s="253">
        <v>177294</v>
      </c>
      <c r="R353" s="254">
        <v>10.316197395324707</v>
      </c>
      <c r="S353" s="254">
        <v>5.2116818428039551</v>
      </c>
      <c r="T353" s="255">
        <v>17.445600509643555</v>
      </c>
    </row>
    <row r="354" spans="2:20">
      <c r="B354" s="249" t="s">
        <v>514</v>
      </c>
      <c r="C354" s="250" t="s">
        <v>77</v>
      </c>
      <c r="D354" s="250" t="s">
        <v>201</v>
      </c>
      <c r="E354" s="251">
        <v>14</v>
      </c>
      <c r="F354" s="251" t="s">
        <v>281</v>
      </c>
      <c r="G354" s="250">
        <v>12024</v>
      </c>
      <c r="H354" s="250">
        <v>3998</v>
      </c>
      <c r="I354" s="250">
        <v>25594</v>
      </c>
      <c r="J354" s="252">
        <v>-8.0000000000000004E-4</v>
      </c>
      <c r="K354" s="250">
        <v>10195</v>
      </c>
      <c r="L354" s="250">
        <v>3074</v>
      </c>
      <c r="M354" s="250">
        <v>22495</v>
      </c>
      <c r="N354" s="250">
        <v>1829</v>
      </c>
      <c r="O354" s="250">
        <v>924</v>
      </c>
      <c r="P354" s="250">
        <v>3099</v>
      </c>
      <c r="Q354" s="253">
        <v>159923</v>
      </c>
      <c r="R354" s="254">
        <v>11.43675422668457</v>
      </c>
      <c r="S354" s="254">
        <v>5.7777805328369141</v>
      </c>
      <c r="T354" s="255">
        <v>19.378074645996094</v>
      </c>
    </row>
    <row r="355" spans="2:20">
      <c r="B355" s="256" t="s">
        <v>514</v>
      </c>
      <c r="C355" s="257" t="s">
        <v>77</v>
      </c>
      <c r="D355" s="257" t="s">
        <v>201</v>
      </c>
      <c r="E355" s="258">
        <v>15</v>
      </c>
      <c r="F355" s="258" t="s">
        <v>281</v>
      </c>
      <c r="G355" s="257">
        <v>12024</v>
      </c>
      <c r="H355" s="257">
        <v>3998</v>
      </c>
      <c r="I355" s="257">
        <v>25594</v>
      </c>
      <c r="J355" s="259">
        <v>-8.0000000000000004E-4</v>
      </c>
      <c r="K355" s="257">
        <v>10191</v>
      </c>
      <c r="L355" s="257">
        <v>3074</v>
      </c>
      <c r="M355" s="257">
        <v>22495</v>
      </c>
      <c r="N355" s="257">
        <v>1833</v>
      </c>
      <c r="O355" s="257">
        <v>924</v>
      </c>
      <c r="P355" s="257">
        <v>3099</v>
      </c>
      <c r="Q355" s="260">
        <v>159923</v>
      </c>
      <c r="R355" s="261">
        <v>11.461766242980957</v>
      </c>
      <c r="S355" s="261">
        <v>5.7777805328369141</v>
      </c>
      <c r="T355" s="262">
        <v>19.378074645996094</v>
      </c>
    </row>
    <row r="356" spans="2:20">
      <c r="B356" s="249" t="s">
        <v>514</v>
      </c>
      <c r="C356" s="250" t="s">
        <v>121</v>
      </c>
      <c r="D356" s="250" t="s">
        <v>502</v>
      </c>
      <c r="E356" s="251">
        <v>1</v>
      </c>
      <c r="F356" s="251" t="s">
        <v>281</v>
      </c>
      <c r="G356" s="250">
        <v>12024</v>
      </c>
      <c r="H356" s="250">
        <v>3998</v>
      </c>
      <c r="I356" s="250">
        <v>25594</v>
      </c>
      <c r="J356" s="252">
        <v>-0.02</v>
      </c>
      <c r="K356" s="250">
        <v>10454</v>
      </c>
      <c r="L356" s="250">
        <v>3144</v>
      </c>
      <c r="M356" s="250">
        <v>23229</v>
      </c>
      <c r="N356" s="250">
        <v>1570</v>
      </c>
      <c r="O356" s="250">
        <v>854</v>
      </c>
      <c r="P356" s="250">
        <v>2365</v>
      </c>
      <c r="Q356" s="253">
        <v>133969</v>
      </c>
      <c r="R356" s="254">
        <v>11.719128608703613</v>
      </c>
      <c r="S356" s="254">
        <v>6.3746089935302734</v>
      </c>
      <c r="T356" s="255">
        <v>17.653339385986328</v>
      </c>
    </row>
    <row r="357" spans="2:20">
      <c r="B357" s="249" t="s">
        <v>514</v>
      </c>
      <c r="C357" s="250" t="s">
        <v>121</v>
      </c>
      <c r="D357" s="250" t="s">
        <v>502</v>
      </c>
      <c r="E357" s="251">
        <v>2</v>
      </c>
      <c r="F357" s="251" t="s">
        <v>281</v>
      </c>
      <c r="G357" s="250">
        <v>12024</v>
      </c>
      <c r="H357" s="250">
        <v>3998</v>
      </c>
      <c r="I357" s="250">
        <v>25594</v>
      </c>
      <c r="J357" s="252">
        <v>-0.02</v>
      </c>
      <c r="K357" s="250">
        <v>10347</v>
      </c>
      <c r="L357" s="250">
        <v>3121</v>
      </c>
      <c r="M357" s="250">
        <v>22893</v>
      </c>
      <c r="N357" s="250">
        <v>1677</v>
      </c>
      <c r="O357" s="250">
        <v>877</v>
      </c>
      <c r="P357" s="250">
        <v>2701</v>
      </c>
      <c r="Q357" s="253">
        <v>273304</v>
      </c>
      <c r="R357" s="254">
        <v>6.1360244750976563</v>
      </c>
      <c r="S357" s="254">
        <v>3.2088809013366699</v>
      </c>
      <c r="T357" s="255">
        <v>9.8827676773071289</v>
      </c>
    </row>
    <row r="358" spans="2:20">
      <c r="B358" s="249" t="s">
        <v>514</v>
      </c>
      <c r="C358" s="250" t="s">
        <v>121</v>
      </c>
      <c r="D358" s="250" t="s">
        <v>502</v>
      </c>
      <c r="E358" s="251">
        <v>3</v>
      </c>
      <c r="F358" s="251" t="s">
        <v>281</v>
      </c>
      <c r="G358" s="250">
        <v>12024</v>
      </c>
      <c r="H358" s="250">
        <v>3998</v>
      </c>
      <c r="I358" s="250">
        <v>25594</v>
      </c>
      <c r="J358" s="252">
        <v>-0.02</v>
      </c>
      <c r="K358" s="250">
        <v>10195</v>
      </c>
      <c r="L358" s="250">
        <v>3074</v>
      </c>
      <c r="M358" s="250">
        <v>22514</v>
      </c>
      <c r="N358" s="250">
        <v>1829</v>
      </c>
      <c r="O358" s="250">
        <v>924</v>
      </c>
      <c r="P358" s="250">
        <v>3080</v>
      </c>
      <c r="Q358" s="253">
        <v>170998</v>
      </c>
      <c r="R358" s="254">
        <v>10.69603157043457</v>
      </c>
      <c r="S358" s="254">
        <v>5.403571605682373</v>
      </c>
      <c r="T358" s="255">
        <v>18.011907577514648</v>
      </c>
    </row>
    <row r="359" spans="2:20">
      <c r="B359" s="249" t="s">
        <v>514</v>
      </c>
      <c r="C359" s="250" t="s">
        <v>121</v>
      </c>
      <c r="D359" s="250" t="s">
        <v>502</v>
      </c>
      <c r="E359" s="251">
        <v>4</v>
      </c>
      <c r="F359" s="251" t="s">
        <v>281</v>
      </c>
      <c r="G359" s="250">
        <v>12024</v>
      </c>
      <c r="H359" s="250">
        <v>3998</v>
      </c>
      <c r="I359" s="250">
        <v>25594</v>
      </c>
      <c r="J359" s="252">
        <v>-0.02</v>
      </c>
      <c r="K359" s="250">
        <v>10022</v>
      </c>
      <c r="L359" s="250">
        <v>3037</v>
      </c>
      <c r="M359" s="250">
        <v>22012</v>
      </c>
      <c r="N359" s="250">
        <v>2002</v>
      </c>
      <c r="O359" s="250">
        <v>961</v>
      </c>
      <c r="P359" s="250">
        <v>3582</v>
      </c>
      <c r="Q359" s="253">
        <v>170998</v>
      </c>
      <c r="R359" s="254">
        <v>11.707738876342773</v>
      </c>
      <c r="S359" s="254">
        <v>5.6199488639831543</v>
      </c>
      <c r="T359" s="255">
        <v>20.947612762451172</v>
      </c>
    </row>
    <row r="360" spans="2:20">
      <c r="B360" s="249" t="s">
        <v>514</v>
      </c>
      <c r="C360" s="250" t="s">
        <v>121</v>
      </c>
      <c r="D360" s="250" t="s">
        <v>502</v>
      </c>
      <c r="E360" s="251">
        <v>5</v>
      </c>
      <c r="F360" s="251" t="s">
        <v>281</v>
      </c>
      <c r="G360" s="250">
        <v>12024</v>
      </c>
      <c r="H360" s="250">
        <v>3998</v>
      </c>
      <c r="I360" s="250">
        <v>25594</v>
      </c>
      <c r="J360" s="252">
        <v>-0.02</v>
      </c>
      <c r="K360" s="250">
        <v>9847</v>
      </c>
      <c r="L360" s="250">
        <v>3004</v>
      </c>
      <c r="M360" s="250">
        <v>21660</v>
      </c>
      <c r="N360" s="250">
        <v>2177</v>
      </c>
      <c r="O360" s="250">
        <v>994</v>
      </c>
      <c r="P360" s="250">
        <v>3934</v>
      </c>
      <c r="Q360" s="253">
        <v>170998</v>
      </c>
      <c r="R360" s="254">
        <v>12.731142997741699</v>
      </c>
      <c r="S360" s="254">
        <v>5.8129334449768066</v>
      </c>
      <c r="T360" s="255">
        <v>23.00611686706543</v>
      </c>
    </row>
    <row r="361" spans="2:20">
      <c r="B361" s="249" t="s">
        <v>514</v>
      </c>
      <c r="C361" s="250" t="s">
        <v>121</v>
      </c>
      <c r="D361" s="250" t="s">
        <v>201</v>
      </c>
      <c r="E361" s="251">
        <v>6</v>
      </c>
      <c r="F361" s="251" t="s">
        <v>281</v>
      </c>
      <c r="G361" s="250">
        <v>12024</v>
      </c>
      <c r="H361" s="250">
        <v>3998</v>
      </c>
      <c r="I361" s="250">
        <v>25594</v>
      </c>
      <c r="J361" s="252">
        <v>-2E-3</v>
      </c>
      <c r="K361" s="250">
        <v>9836</v>
      </c>
      <c r="L361" s="250">
        <v>3004</v>
      </c>
      <c r="M361" s="250">
        <v>21623</v>
      </c>
      <c r="N361" s="250">
        <v>2188</v>
      </c>
      <c r="O361" s="250">
        <v>994</v>
      </c>
      <c r="P361" s="250">
        <v>3971</v>
      </c>
      <c r="Q361" s="253">
        <v>123966</v>
      </c>
      <c r="R361" s="254">
        <v>17.650001525878906</v>
      </c>
      <c r="S361" s="254">
        <v>8.0183277130126953</v>
      </c>
      <c r="T361" s="255">
        <v>32.032978057861328</v>
      </c>
    </row>
    <row r="362" spans="2:20">
      <c r="B362" s="249" t="s">
        <v>514</v>
      </c>
      <c r="C362" s="250" t="s">
        <v>121</v>
      </c>
      <c r="D362" s="250" t="s">
        <v>201</v>
      </c>
      <c r="E362" s="251">
        <v>7</v>
      </c>
      <c r="F362" s="251" t="s">
        <v>281</v>
      </c>
      <c r="G362" s="250">
        <v>12024</v>
      </c>
      <c r="H362" s="250">
        <v>3998</v>
      </c>
      <c r="I362" s="250">
        <v>25594</v>
      </c>
      <c r="J362" s="252">
        <v>-2E-3</v>
      </c>
      <c r="K362" s="250">
        <v>9836</v>
      </c>
      <c r="L362" s="250">
        <v>3004</v>
      </c>
      <c r="M362" s="250">
        <v>21610</v>
      </c>
      <c r="N362" s="250">
        <v>2188</v>
      </c>
      <c r="O362" s="250">
        <v>994</v>
      </c>
      <c r="P362" s="250">
        <v>3984</v>
      </c>
      <c r="Q362" s="253">
        <v>93727</v>
      </c>
      <c r="R362" s="254">
        <v>23.344394683837891</v>
      </c>
      <c r="S362" s="254">
        <v>10.605268478393555</v>
      </c>
      <c r="T362" s="255">
        <v>42.506427764892578</v>
      </c>
    </row>
    <row r="363" spans="2:20">
      <c r="B363" s="249" t="s">
        <v>514</v>
      </c>
      <c r="C363" s="250" t="s">
        <v>121</v>
      </c>
      <c r="D363" s="250" t="s">
        <v>201</v>
      </c>
      <c r="E363" s="251">
        <v>8</v>
      </c>
      <c r="F363" s="251" t="s">
        <v>281</v>
      </c>
      <c r="G363" s="250">
        <v>12024</v>
      </c>
      <c r="H363" s="250">
        <v>3998</v>
      </c>
      <c r="I363" s="250">
        <v>25594</v>
      </c>
      <c r="J363" s="252">
        <v>-2E-3</v>
      </c>
      <c r="K363" s="250">
        <v>9764</v>
      </c>
      <c r="L363" s="250">
        <v>2973</v>
      </c>
      <c r="M363" s="250">
        <v>21540</v>
      </c>
      <c r="N363" s="250">
        <v>2260</v>
      </c>
      <c r="O363" s="250">
        <v>1025</v>
      </c>
      <c r="P363" s="250">
        <v>4054</v>
      </c>
      <c r="Q363" s="253">
        <v>93727</v>
      </c>
      <c r="R363" s="254">
        <v>24.112583160400391</v>
      </c>
      <c r="S363" s="254">
        <v>10.936016082763672</v>
      </c>
      <c r="T363" s="255">
        <v>43.253276824951172</v>
      </c>
    </row>
    <row r="364" spans="2:20">
      <c r="B364" s="249" t="s">
        <v>514</v>
      </c>
      <c r="C364" s="250" t="s">
        <v>121</v>
      </c>
      <c r="D364" s="250" t="s">
        <v>201</v>
      </c>
      <c r="E364" s="251">
        <v>9</v>
      </c>
      <c r="F364" s="251" t="s">
        <v>281</v>
      </c>
      <c r="G364" s="250">
        <v>12024</v>
      </c>
      <c r="H364" s="250">
        <v>3998</v>
      </c>
      <c r="I364" s="250">
        <v>25594</v>
      </c>
      <c r="J364" s="252">
        <v>-2E-3</v>
      </c>
      <c r="K364" s="250">
        <v>9764</v>
      </c>
      <c r="L364" s="250">
        <v>2973</v>
      </c>
      <c r="M364" s="250">
        <v>21535</v>
      </c>
      <c r="N364" s="250">
        <v>2260</v>
      </c>
      <c r="O364" s="250">
        <v>1025</v>
      </c>
      <c r="P364" s="250">
        <v>4059</v>
      </c>
      <c r="Q364" s="253">
        <v>93727</v>
      </c>
      <c r="R364" s="254">
        <v>24.112583160400391</v>
      </c>
      <c r="S364" s="254">
        <v>10.936016082763672</v>
      </c>
      <c r="T364" s="255">
        <v>43.306625366210938</v>
      </c>
    </row>
    <row r="365" spans="2:20">
      <c r="B365" s="249" t="s">
        <v>514</v>
      </c>
      <c r="C365" s="250" t="s">
        <v>121</v>
      </c>
      <c r="D365" s="250" t="s">
        <v>201</v>
      </c>
      <c r="E365" s="251">
        <v>10</v>
      </c>
      <c r="F365" s="251" t="s">
        <v>281</v>
      </c>
      <c r="G365" s="250">
        <v>12024</v>
      </c>
      <c r="H365" s="250">
        <v>3998</v>
      </c>
      <c r="I365" s="250">
        <v>25594</v>
      </c>
      <c r="J365" s="252">
        <v>-2E-3</v>
      </c>
      <c r="K365" s="250">
        <v>9764</v>
      </c>
      <c r="L365" s="250">
        <v>2973</v>
      </c>
      <c r="M365" s="250">
        <v>21493</v>
      </c>
      <c r="N365" s="250">
        <v>2260</v>
      </c>
      <c r="O365" s="250">
        <v>1025</v>
      </c>
      <c r="P365" s="250">
        <v>4101</v>
      </c>
      <c r="Q365" s="253">
        <v>93727</v>
      </c>
      <c r="R365" s="254">
        <v>24.112583160400391</v>
      </c>
      <c r="S365" s="254">
        <v>10.936016082763672</v>
      </c>
      <c r="T365" s="255">
        <v>43.754734039306641</v>
      </c>
    </row>
    <row r="366" spans="2:20">
      <c r="B366" s="249" t="s">
        <v>514</v>
      </c>
      <c r="C366" s="250" t="s">
        <v>121</v>
      </c>
      <c r="D366" s="250" t="s">
        <v>201</v>
      </c>
      <c r="E366" s="251">
        <v>11</v>
      </c>
      <c r="F366" s="251" t="s">
        <v>281</v>
      </c>
      <c r="G366" s="250">
        <v>12024</v>
      </c>
      <c r="H366" s="250">
        <v>3998</v>
      </c>
      <c r="I366" s="250">
        <v>25594</v>
      </c>
      <c r="J366" s="252">
        <v>-2E-3</v>
      </c>
      <c r="K366" s="250">
        <v>9750</v>
      </c>
      <c r="L366" s="250">
        <v>2963</v>
      </c>
      <c r="M366" s="250">
        <v>21458</v>
      </c>
      <c r="N366" s="250">
        <v>2274</v>
      </c>
      <c r="O366" s="250">
        <v>1035</v>
      </c>
      <c r="P366" s="250">
        <v>4136</v>
      </c>
      <c r="Q366" s="253">
        <v>123966</v>
      </c>
      <c r="R366" s="254">
        <v>18.343738555908203</v>
      </c>
      <c r="S366" s="254">
        <v>8.3490638732910156</v>
      </c>
      <c r="T366" s="255">
        <v>33.363986968994141</v>
      </c>
    </row>
    <row r="367" spans="2:20">
      <c r="B367" s="249" t="s">
        <v>514</v>
      </c>
      <c r="C367" s="250" t="s">
        <v>121</v>
      </c>
      <c r="D367" s="250" t="s">
        <v>201</v>
      </c>
      <c r="E367" s="251">
        <v>12</v>
      </c>
      <c r="F367" s="251" t="s">
        <v>281</v>
      </c>
      <c r="G367" s="250">
        <v>12024</v>
      </c>
      <c r="H367" s="250">
        <v>3998</v>
      </c>
      <c r="I367" s="250">
        <v>25594</v>
      </c>
      <c r="J367" s="252">
        <v>-2E-3</v>
      </c>
      <c r="K367" s="250">
        <v>9750</v>
      </c>
      <c r="L367" s="250">
        <v>2963</v>
      </c>
      <c r="M367" s="250">
        <v>21391</v>
      </c>
      <c r="N367" s="250">
        <v>2274</v>
      </c>
      <c r="O367" s="250">
        <v>1035</v>
      </c>
      <c r="P367" s="250">
        <v>4203</v>
      </c>
      <c r="Q367" s="253">
        <v>93727</v>
      </c>
      <c r="R367" s="254">
        <v>24.261951446533203</v>
      </c>
      <c r="S367" s="254">
        <v>11.042709350585938</v>
      </c>
      <c r="T367" s="255">
        <v>44.843002319335938</v>
      </c>
    </row>
    <row r="368" spans="2:20">
      <c r="B368" s="249" t="s">
        <v>514</v>
      </c>
      <c r="C368" s="250" t="s">
        <v>121</v>
      </c>
      <c r="D368" s="250" t="s">
        <v>201</v>
      </c>
      <c r="E368" s="251">
        <v>13</v>
      </c>
      <c r="F368" s="251" t="s">
        <v>281</v>
      </c>
      <c r="G368" s="250">
        <v>12024</v>
      </c>
      <c r="H368" s="250">
        <v>3998</v>
      </c>
      <c r="I368" s="250">
        <v>25594</v>
      </c>
      <c r="J368" s="252">
        <v>-2E-3</v>
      </c>
      <c r="K368" s="250">
        <v>9739</v>
      </c>
      <c r="L368" s="250">
        <v>2963</v>
      </c>
      <c r="M368" s="250">
        <v>21382</v>
      </c>
      <c r="N368" s="250">
        <v>2285</v>
      </c>
      <c r="O368" s="250">
        <v>1035</v>
      </c>
      <c r="P368" s="250">
        <v>4212</v>
      </c>
      <c r="Q368" s="253">
        <v>93727</v>
      </c>
      <c r="R368" s="254">
        <v>24.379314422607422</v>
      </c>
      <c r="S368" s="254">
        <v>11.042709350585938</v>
      </c>
      <c r="T368" s="255">
        <v>44.93902587890625</v>
      </c>
    </row>
    <row r="369" spans="2:20">
      <c r="B369" s="249" t="s">
        <v>514</v>
      </c>
      <c r="C369" s="250" t="s">
        <v>121</v>
      </c>
      <c r="D369" s="250" t="s">
        <v>201</v>
      </c>
      <c r="E369" s="251">
        <v>14</v>
      </c>
      <c r="F369" s="251" t="s">
        <v>281</v>
      </c>
      <c r="G369" s="250">
        <v>12024</v>
      </c>
      <c r="H369" s="250">
        <v>3998</v>
      </c>
      <c r="I369" s="250">
        <v>25594</v>
      </c>
      <c r="J369" s="252">
        <v>-2E-3</v>
      </c>
      <c r="K369" s="250">
        <v>9661</v>
      </c>
      <c r="L369" s="250">
        <v>2949</v>
      </c>
      <c r="M369" s="250">
        <v>21224</v>
      </c>
      <c r="N369" s="250">
        <v>2363</v>
      </c>
      <c r="O369" s="250">
        <v>1049</v>
      </c>
      <c r="P369" s="250">
        <v>4370</v>
      </c>
      <c r="Q369" s="253">
        <v>93727</v>
      </c>
      <c r="R369" s="254">
        <v>25.211519241333008</v>
      </c>
      <c r="S369" s="254">
        <v>11.192078590393066</v>
      </c>
      <c r="T369" s="255">
        <v>46.624771118164063</v>
      </c>
    </row>
    <row r="370" spans="2:20">
      <c r="B370" s="256" t="s">
        <v>514</v>
      </c>
      <c r="C370" s="257" t="s">
        <v>121</v>
      </c>
      <c r="D370" s="257" t="s">
        <v>201</v>
      </c>
      <c r="E370" s="258">
        <v>15</v>
      </c>
      <c r="F370" s="258" t="s">
        <v>281</v>
      </c>
      <c r="G370" s="257">
        <v>12024</v>
      </c>
      <c r="H370" s="257">
        <v>3998</v>
      </c>
      <c r="I370" s="257">
        <v>25594</v>
      </c>
      <c r="J370" s="259">
        <v>-2E-3</v>
      </c>
      <c r="K370" s="257">
        <v>9647</v>
      </c>
      <c r="L370" s="257">
        <v>2949</v>
      </c>
      <c r="M370" s="257">
        <v>21191</v>
      </c>
      <c r="N370" s="257">
        <v>2377</v>
      </c>
      <c r="O370" s="257">
        <v>1049</v>
      </c>
      <c r="P370" s="257">
        <v>4403</v>
      </c>
      <c r="Q370" s="260">
        <v>93727</v>
      </c>
      <c r="R370" s="261">
        <v>25.36088752746582</v>
      </c>
      <c r="S370" s="261">
        <v>11.192078590393066</v>
      </c>
      <c r="T370" s="262">
        <v>46.976856231689453</v>
      </c>
    </row>
    <row r="371" spans="2:20">
      <c r="B371" s="249" t="s">
        <v>514</v>
      </c>
      <c r="C371" s="250" t="s">
        <v>122</v>
      </c>
      <c r="D371" s="250" t="s">
        <v>502</v>
      </c>
      <c r="E371" s="251">
        <v>1</v>
      </c>
      <c r="F371" s="251" t="s">
        <v>281</v>
      </c>
      <c r="G371" s="250">
        <v>12024</v>
      </c>
      <c r="H371" s="250">
        <v>3998</v>
      </c>
      <c r="I371" s="250">
        <v>25594</v>
      </c>
      <c r="J371" s="252">
        <v>-1.2E-2</v>
      </c>
      <c r="K371" s="250">
        <v>10477</v>
      </c>
      <c r="L371" s="250">
        <v>3144</v>
      </c>
      <c r="M371" s="250">
        <v>23325</v>
      </c>
      <c r="N371" s="250">
        <v>1547</v>
      </c>
      <c r="O371" s="250">
        <v>854</v>
      </c>
      <c r="P371" s="250">
        <v>2269</v>
      </c>
      <c r="Q371" s="253">
        <v>131759</v>
      </c>
      <c r="R371" s="254">
        <v>11.741133689880371</v>
      </c>
      <c r="S371" s="254">
        <v>6.4815306663513184</v>
      </c>
      <c r="T371" s="255">
        <v>17.220834732055664</v>
      </c>
    </row>
    <row r="372" spans="2:20">
      <c r="B372" s="249" t="s">
        <v>514</v>
      </c>
      <c r="C372" s="250" t="s">
        <v>122</v>
      </c>
      <c r="D372" s="250" t="s">
        <v>502</v>
      </c>
      <c r="E372" s="251">
        <v>2</v>
      </c>
      <c r="F372" s="251" t="s">
        <v>281</v>
      </c>
      <c r="G372" s="250">
        <v>12024</v>
      </c>
      <c r="H372" s="250">
        <v>3998</v>
      </c>
      <c r="I372" s="250">
        <v>25594</v>
      </c>
      <c r="J372" s="252">
        <v>-1.2E-2</v>
      </c>
      <c r="K372" s="250">
        <v>10427</v>
      </c>
      <c r="L372" s="250">
        <v>3136</v>
      </c>
      <c r="M372" s="250">
        <v>23140</v>
      </c>
      <c r="N372" s="250">
        <v>1597</v>
      </c>
      <c r="O372" s="250">
        <v>862</v>
      </c>
      <c r="P372" s="250">
        <v>2454</v>
      </c>
      <c r="Q372" s="253">
        <v>273529</v>
      </c>
      <c r="R372" s="254">
        <v>5.838503360748291</v>
      </c>
      <c r="S372" s="254">
        <v>3.151402473449707</v>
      </c>
      <c r="T372" s="255">
        <v>8.9716272354125977</v>
      </c>
    </row>
    <row r="373" spans="2:20">
      <c r="B373" s="249" t="s">
        <v>514</v>
      </c>
      <c r="C373" s="250" t="s">
        <v>122</v>
      </c>
      <c r="D373" s="250" t="s">
        <v>502</v>
      </c>
      <c r="E373" s="251">
        <v>3</v>
      </c>
      <c r="F373" s="251" t="s">
        <v>281</v>
      </c>
      <c r="G373" s="250">
        <v>12024</v>
      </c>
      <c r="H373" s="250">
        <v>3998</v>
      </c>
      <c r="I373" s="250">
        <v>25594</v>
      </c>
      <c r="J373" s="252">
        <v>-1.2E-2</v>
      </c>
      <c r="K373" s="250">
        <v>10370</v>
      </c>
      <c r="L373" s="250">
        <v>3121</v>
      </c>
      <c r="M373" s="250">
        <v>22983</v>
      </c>
      <c r="N373" s="250">
        <v>1654</v>
      </c>
      <c r="O373" s="250">
        <v>877</v>
      </c>
      <c r="P373" s="250">
        <v>2611</v>
      </c>
      <c r="Q373" s="253">
        <v>174910</v>
      </c>
      <c r="R373" s="254">
        <v>9.4562921524047852</v>
      </c>
      <c r="S373" s="254">
        <v>5.0140070915222168</v>
      </c>
      <c r="T373" s="255">
        <v>14.927677154541016</v>
      </c>
    </row>
    <row r="374" spans="2:20">
      <c r="B374" s="249" t="s">
        <v>514</v>
      </c>
      <c r="C374" s="250" t="s">
        <v>122</v>
      </c>
      <c r="D374" s="250" t="s">
        <v>502</v>
      </c>
      <c r="E374" s="251">
        <v>4</v>
      </c>
      <c r="F374" s="251" t="s">
        <v>281</v>
      </c>
      <c r="G374" s="250">
        <v>12024</v>
      </c>
      <c r="H374" s="250">
        <v>3998</v>
      </c>
      <c r="I374" s="250">
        <v>25594</v>
      </c>
      <c r="J374" s="252">
        <v>-1.2E-2</v>
      </c>
      <c r="K374" s="250">
        <v>10282</v>
      </c>
      <c r="L374" s="250">
        <v>3103</v>
      </c>
      <c r="M374" s="250">
        <v>22781</v>
      </c>
      <c r="N374" s="250">
        <v>1742</v>
      </c>
      <c r="O374" s="250">
        <v>895</v>
      </c>
      <c r="P374" s="250">
        <v>2813</v>
      </c>
      <c r="Q374" s="253">
        <v>174910</v>
      </c>
      <c r="R374" s="254">
        <v>9.9594078063964844</v>
      </c>
      <c r="S374" s="254">
        <v>5.1169171333312988</v>
      </c>
      <c r="T374" s="255">
        <v>16.082557678222656</v>
      </c>
    </row>
    <row r="375" spans="2:20">
      <c r="B375" s="249" t="s">
        <v>514</v>
      </c>
      <c r="C375" s="250" t="s">
        <v>122</v>
      </c>
      <c r="D375" s="250" t="s">
        <v>502</v>
      </c>
      <c r="E375" s="251">
        <v>5</v>
      </c>
      <c r="F375" s="251" t="s">
        <v>281</v>
      </c>
      <c r="G375" s="250">
        <v>12024</v>
      </c>
      <c r="H375" s="250">
        <v>3998</v>
      </c>
      <c r="I375" s="250">
        <v>25594</v>
      </c>
      <c r="J375" s="252">
        <v>-1.2E-2</v>
      </c>
      <c r="K375" s="250">
        <v>10195</v>
      </c>
      <c r="L375" s="250">
        <v>3074</v>
      </c>
      <c r="M375" s="250">
        <v>22514</v>
      </c>
      <c r="N375" s="250">
        <v>1829</v>
      </c>
      <c r="O375" s="250">
        <v>924</v>
      </c>
      <c r="P375" s="250">
        <v>3080</v>
      </c>
      <c r="Q375" s="253">
        <v>174910</v>
      </c>
      <c r="R375" s="254">
        <v>10.456806182861328</v>
      </c>
      <c r="S375" s="254">
        <v>5.2827167510986328</v>
      </c>
      <c r="T375" s="255">
        <v>17.60905647277832</v>
      </c>
    </row>
    <row r="376" spans="2:20">
      <c r="B376" s="249" t="s">
        <v>514</v>
      </c>
      <c r="C376" s="250" t="s">
        <v>122</v>
      </c>
      <c r="D376" s="250" t="s">
        <v>201</v>
      </c>
      <c r="E376" s="251">
        <v>6</v>
      </c>
      <c r="F376" s="251" t="s">
        <v>281</v>
      </c>
      <c r="G376" s="250">
        <v>12024</v>
      </c>
      <c r="H376" s="250">
        <v>3998</v>
      </c>
      <c r="I376" s="250">
        <v>25594</v>
      </c>
      <c r="J376" s="252">
        <v>-3.0000000000000001E-3</v>
      </c>
      <c r="K376" s="250">
        <v>10180</v>
      </c>
      <c r="L376" s="250">
        <v>3074</v>
      </c>
      <c r="M376" s="250">
        <v>22482</v>
      </c>
      <c r="N376" s="250">
        <v>1844</v>
      </c>
      <c r="O376" s="250">
        <v>924</v>
      </c>
      <c r="P376" s="250">
        <v>3112</v>
      </c>
      <c r="Q376" s="253">
        <v>117911</v>
      </c>
      <c r="R376" s="254">
        <v>15.638914108276367</v>
      </c>
      <c r="S376" s="254">
        <v>7.8364191055297852</v>
      </c>
      <c r="T376" s="255">
        <v>26.392787933349609</v>
      </c>
    </row>
    <row r="377" spans="2:20">
      <c r="B377" s="249" t="s">
        <v>514</v>
      </c>
      <c r="C377" s="250" t="s">
        <v>122</v>
      </c>
      <c r="D377" s="250" t="s">
        <v>201</v>
      </c>
      <c r="E377" s="251">
        <v>7</v>
      </c>
      <c r="F377" s="251" t="s">
        <v>281</v>
      </c>
      <c r="G377" s="250">
        <v>12024</v>
      </c>
      <c r="H377" s="250">
        <v>3998</v>
      </c>
      <c r="I377" s="250">
        <v>25594</v>
      </c>
      <c r="J377" s="252">
        <v>-3.0000000000000001E-3</v>
      </c>
      <c r="K377" s="250">
        <v>10163</v>
      </c>
      <c r="L377" s="250">
        <v>3066</v>
      </c>
      <c r="M377" s="250">
        <v>22442</v>
      </c>
      <c r="N377" s="250">
        <v>1861</v>
      </c>
      <c r="O377" s="250">
        <v>932</v>
      </c>
      <c r="P377" s="250">
        <v>3152</v>
      </c>
      <c r="Q377" s="253">
        <v>90500</v>
      </c>
      <c r="R377" s="254">
        <v>20.563535690307617</v>
      </c>
      <c r="S377" s="254">
        <v>10.298342704772949</v>
      </c>
      <c r="T377" s="255">
        <v>34.828731536865234</v>
      </c>
    </row>
    <row r="378" spans="2:20">
      <c r="B378" s="249" t="s">
        <v>514</v>
      </c>
      <c r="C378" s="250" t="s">
        <v>122</v>
      </c>
      <c r="D378" s="250" t="s">
        <v>201</v>
      </c>
      <c r="E378" s="251">
        <v>8</v>
      </c>
      <c r="F378" s="251" t="s">
        <v>281</v>
      </c>
      <c r="G378" s="250">
        <v>12024</v>
      </c>
      <c r="H378" s="250">
        <v>3998</v>
      </c>
      <c r="I378" s="250">
        <v>25594</v>
      </c>
      <c r="J378" s="252">
        <v>-3.0000000000000001E-3</v>
      </c>
      <c r="K378" s="250">
        <v>10102</v>
      </c>
      <c r="L378" s="250">
        <v>3062</v>
      </c>
      <c r="M378" s="250">
        <v>22317</v>
      </c>
      <c r="N378" s="250">
        <v>1922</v>
      </c>
      <c r="O378" s="250">
        <v>936</v>
      </c>
      <c r="P378" s="250">
        <v>3277</v>
      </c>
      <c r="Q378" s="253">
        <v>90500</v>
      </c>
      <c r="R378" s="254">
        <v>21.237569808959961</v>
      </c>
      <c r="S378" s="254">
        <v>10.342540740966797</v>
      </c>
      <c r="T378" s="255">
        <v>36.209945678710938</v>
      </c>
    </row>
    <row r="379" spans="2:20">
      <c r="B379" s="249" t="s">
        <v>514</v>
      </c>
      <c r="C379" s="250" t="s">
        <v>122</v>
      </c>
      <c r="D379" s="250" t="s">
        <v>201</v>
      </c>
      <c r="E379" s="251">
        <v>9</v>
      </c>
      <c r="F379" s="251" t="s">
        <v>281</v>
      </c>
      <c r="G379" s="250">
        <v>12024</v>
      </c>
      <c r="H379" s="250">
        <v>3998</v>
      </c>
      <c r="I379" s="250">
        <v>25594</v>
      </c>
      <c r="J379" s="252">
        <v>-3.0000000000000001E-3</v>
      </c>
      <c r="K379" s="250">
        <v>10094</v>
      </c>
      <c r="L379" s="250">
        <v>3054</v>
      </c>
      <c r="M379" s="250">
        <v>22267</v>
      </c>
      <c r="N379" s="250">
        <v>1930</v>
      </c>
      <c r="O379" s="250">
        <v>944</v>
      </c>
      <c r="P379" s="250">
        <v>3327</v>
      </c>
      <c r="Q379" s="253">
        <v>90500</v>
      </c>
      <c r="R379" s="254">
        <v>21.325965881347656</v>
      </c>
      <c r="S379" s="254">
        <v>10.430939674377441</v>
      </c>
      <c r="T379" s="255">
        <v>36.762432098388672</v>
      </c>
    </row>
    <row r="380" spans="2:20">
      <c r="B380" s="249" t="s">
        <v>514</v>
      </c>
      <c r="C380" s="250" t="s">
        <v>122</v>
      </c>
      <c r="D380" s="250" t="s">
        <v>201</v>
      </c>
      <c r="E380" s="251">
        <v>10</v>
      </c>
      <c r="F380" s="251" t="s">
        <v>281</v>
      </c>
      <c r="G380" s="250">
        <v>12024</v>
      </c>
      <c r="H380" s="250">
        <v>3998</v>
      </c>
      <c r="I380" s="250">
        <v>25594</v>
      </c>
      <c r="J380" s="252">
        <v>-3.0000000000000001E-3</v>
      </c>
      <c r="K380" s="250">
        <v>10062</v>
      </c>
      <c r="L380" s="250">
        <v>3054</v>
      </c>
      <c r="M380" s="250">
        <v>22096</v>
      </c>
      <c r="N380" s="250">
        <v>1962</v>
      </c>
      <c r="O380" s="250">
        <v>944</v>
      </c>
      <c r="P380" s="250">
        <v>3498</v>
      </c>
      <c r="Q380" s="253">
        <v>90500</v>
      </c>
      <c r="R380" s="254">
        <v>21.679557800292969</v>
      </c>
      <c r="S380" s="254">
        <v>10.430939674377441</v>
      </c>
      <c r="T380" s="255">
        <v>38.651931762695313</v>
      </c>
    </row>
    <row r="381" spans="2:20">
      <c r="B381" s="249" t="s">
        <v>514</v>
      </c>
      <c r="C381" s="250" t="s">
        <v>122</v>
      </c>
      <c r="D381" s="250" t="s">
        <v>201</v>
      </c>
      <c r="E381" s="251">
        <v>11</v>
      </c>
      <c r="F381" s="251" t="s">
        <v>281</v>
      </c>
      <c r="G381" s="250">
        <v>12024</v>
      </c>
      <c r="H381" s="250">
        <v>3998</v>
      </c>
      <c r="I381" s="250">
        <v>25594</v>
      </c>
      <c r="J381" s="252">
        <v>-3.0000000000000001E-3</v>
      </c>
      <c r="K381" s="250">
        <v>10031</v>
      </c>
      <c r="L381" s="250">
        <v>3054</v>
      </c>
      <c r="M381" s="250">
        <v>22064</v>
      </c>
      <c r="N381" s="250">
        <v>1993</v>
      </c>
      <c r="O381" s="250">
        <v>944</v>
      </c>
      <c r="P381" s="250">
        <v>3530</v>
      </c>
      <c r="Q381" s="253">
        <v>117911</v>
      </c>
      <c r="R381" s="254">
        <v>16.902578353881836</v>
      </c>
      <c r="S381" s="254">
        <v>8.006037712097168</v>
      </c>
      <c r="T381" s="255">
        <v>29.937833786010742</v>
      </c>
    </row>
    <row r="382" spans="2:20">
      <c r="B382" s="249" t="s">
        <v>514</v>
      </c>
      <c r="C382" s="250" t="s">
        <v>122</v>
      </c>
      <c r="D382" s="250" t="s">
        <v>201</v>
      </c>
      <c r="E382" s="251">
        <v>12</v>
      </c>
      <c r="F382" s="251" t="s">
        <v>281</v>
      </c>
      <c r="G382" s="250">
        <v>12024</v>
      </c>
      <c r="H382" s="250">
        <v>3998</v>
      </c>
      <c r="I382" s="250">
        <v>25594</v>
      </c>
      <c r="J382" s="252">
        <v>-3.0000000000000001E-3</v>
      </c>
      <c r="K382" s="250">
        <v>10022</v>
      </c>
      <c r="L382" s="250">
        <v>3037</v>
      </c>
      <c r="M382" s="250">
        <v>22003</v>
      </c>
      <c r="N382" s="250">
        <v>2002</v>
      </c>
      <c r="O382" s="250">
        <v>961</v>
      </c>
      <c r="P382" s="250">
        <v>3591</v>
      </c>
      <c r="Q382" s="253">
        <v>90500</v>
      </c>
      <c r="R382" s="254">
        <v>22.121547698974609</v>
      </c>
      <c r="S382" s="254">
        <v>10.61878490447998</v>
      </c>
      <c r="T382" s="255">
        <v>39.679557800292969</v>
      </c>
    </row>
    <row r="383" spans="2:20">
      <c r="B383" s="249" t="s">
        <v>514</v>
      </c>
      <c r="C383" s="250" t="s">
        <v>122</v>
      </c>
      <c r="D383" s="250" t="s">
        <v>201</v>
      </c>
      <c r="E383" s="251">
        <v>13</v>
      </c>
      <c r="F383" s="251" t="s">
        <v>281</v>
      </c>
      <c r="G383" s="250">
        <v>12024</v>
      </c>
      <c r="H383" s="250">
        <v>3998</v>
      </c>
      <c r="I383" s="250">
        <v>25594</v>
      </c>
      <c r="J383" s="252">
        <v>-3.0000000000000001E-3</v>
      </c>
      <c r="K383" s="250">
        <v>9991</v>
      </c>
      <c r="L383" s="250">
        <v>3027</v>
      </c>
      <c r="M383" s="250">
        <v>21999</v>
      </c>
      <c r="N383" s="250">
        <v>2033</v>
      </c>
      <c r="O383" s="250">
        <v>971</v>
      </c>
      <c r="P383" s="250">
        <v>3595</v>
      </c>
      <c r="Q383" s="253">
        <v>90500</v>
      </c>
      <c r="R383" s="254">
        <v>22.464088439941406</v>
      </c>
      <c r="S383" s="254">
        <v>10.729282379150391</v>
      </c>
      <c r="T383" s="255">
        <v>39.723758697509766</v>
      </c>
    </row>
    <row r="384" spans="2:20">
      <c r="B384" s="249" t="s">
        <v>514</v>
      </c>
      <c r="C384" s="250" t="s">
        <v>122</v>
      </c>
      <c r="D384" s="250" t="s">
        <v>201</v>
      </c>
      <c r="E384" s="251">
        <v>14</v>
      </c>
      <c r="F384" s="251" t="s">
        <v>281</v>
      </c>
      <c r="G384" s="250">
        <v>12024</v>
      </c>
      <c r="H384" s="250">
        <v>3998</v>
      </c>
      <c r="I384" s="250">
        <v>25594</v>
      </c>
      <c r="J384" s="252">
        <v>-3.0000000000000001E-3</v>
      </c>
      <c r="K384" s="250">
        <v>9953</v>
      </c>
      <c r="L384" s="250">
        <v>3027</v>
      </c>
      <c r="M384" s="250">
        <v>21923</v>
      </c>
      <c r="N384" s="250">
        <v>2071</v>
      </c>
      <c r="O384" s="250">
        <v>971</v>
      </c>
      <c r="P384" s="250">
        <v>3671</v>
      </c>
      <c r="Q384" s="253">
        <v>90500</v>
      </c>
      <c r="R384" s="254">
        <v>22.883977890014648</v>
      </c>
      <c r="S384" s="254">
        <v>10.729282379150391</v>
      </c>
      <c r="T384" s="255">
        <v>40.563533782958984</v>
      </c>
    </row>
    <row r="385" spans="2:23">
      <c r="B385" s="249" t="s">
        <v>514</v>
      </c>
      <c r="C385" s="250" t="s">
        <v>122</v>
      </c>
      <c r="D385" s="250" t="s">
        <v>201</v>
      </c>
      <c r="E385" s="251">
        <v>15</v>
      </c>
      <c r="F385" s="251" t="s">
        <v>281</v>
      </c>
      <c r="G385" s="250">
        <v>12024</v>
      </c>
      <c r="H385" s="250">
        <v>3998</v>
      </c>
      <c r="I385" s="250">
        <v>25594</v>
      </c>
      <c r="J385" s="252">
        <v>-3.0000000000000001E-3</v>
      </c>
      <c r="K385" s="250">
        <v>9937</v>
      </c>
      <c r="L385" s="250">
        <v>3022</v>
      </c>
      <c r="M385" s="250">
        <v>21896</v>
      </c>
      <c r="N385" s="250">
        <v>2087</v>
      </c>
      <c r="O385" s="250">
        <v>976</v>
      </c>
      <c r="P385" s="250">
        <v>3698</v>
      </c>
      <c r="Q385" s="253">
        <v>90500</v>
      </c>
      <c r="R385" s="254">
        <v>23.060771942138672</v>
      </c>
      <c r="S385" s="254">
        <v>10.784529685974121</v>
      </c>
      <c r="T385" s="255">
        <v>40.86187744140625</v>
      </c>
    </row>
    <row r="386" spans="2:23">
      <c r="B386" s="240"/>
      <c r="C386" s="240"/>
      <c r="D386" s="240"/>
      <c r="E386" s="241"/>
      <c r="F386" s="241"/>
      <c r="G386" s="240"/>
      <c r="H386" s="240"/>
      <c r="I386" s="240"/>
      <c r="J386" s="240"/>
      <c r="K386" s="240"/>
      <c r="L386" s="240"/>
      <c r="M386" s="242"/>
      <c r="N386" s="240"/>
      <c r="O386" s="240"/>
      <c r="P386" s="240"/>
      <c r="Q386" s="240"/>
      <c r="R386" s="240"/>
      <c r="S386" s="240"/>
      <c r="T386" s="243"/>
      <c r="U386" s="244"/>
      <c r="V386" s="244"/>
      <c r="W386" s="244"/>
    </row>
    <row r="387" spans="2:23">
      <c r="B387" s="240"/>
      <c r="C387" s="240"/>
      <c r="D387" s="240"/>
      <c r="E387" s="241"/>
      <c r="F387" s="241"/>
      <c r="G387" s="240"/>
      <c r="H387" s="240"/>
      <c r="I387" s="240"/>
      <c r="J387" s="240"/>
      <c r="K387" s="240"/>
      <c r="L387" s="240"/>
      <c r="M387" s="242"/>
      <c r="N387" s="240"/>
      <c r="O387" s="240"/>
      <c r="P387" s="240"/>
      <c r="Q387" s="240"/>
      <c r="R387" s="240"/>
      <c r="S387" s="240"/>
      <c r="T387" s="243"/>
      <c r="U387" s="244"/>
      <c r="V387" s="244"/>
      <c r="W387" s="244"/>
    </row>
    <row r="388" spans="2:23" ht="19.5">
      <c r="B388" s="273" t="s">
        <v>629</v>
      </c>
      <c r="C388" s="240"/>
      <c r="D388" s="240"/>
      <c r="E388" s="241"/>
      <c r="F388" s="241"/>
      <c r="G388" s="240"/>
      <c r="H388" s="240"/>
      <c r="I388" s="240"/>
      <c r="J388" s="240"/>
      <c r="K388" s="240"/>
      <c r="L388" s="240"/>
      <c r="M388" s="242"/>
      <c r="N388" s="240"/>
      <c r="O388" s="240"/>
      <c r="P388" s="240"/>
      <c r="Q388" s="240"/>
      <c r="R388" s="240"/>
      <c r="S388" s="240"/>
      <c r="T388" s="243"/>
      <c r="U388" s="244"/>
      <c r="V388" s="244"/>
      <c r="W388" s="244"/>
    </row>
    <row r="389" spans="2:23" ht="19.5">
      <c r="B389" s="273"/>
      <c r="C389" s="240"/>
      <c r="D389" s="240"/>
      <c r="E389" s="241"/>
      <c r="F389" s="241"/>
      <c r="G389" s="240"/>
      <c r="H389" s="240"/>
      <c r="I389" s="240"/>
      <c r="J389" s="240"/>
      <c r="K389" s="240"/>
      <c r="L389" s="240"/>
      <c r="M389" s="242"/>
      <c r="N389" s="240"/>
      <c r="O389" s="240"/>
      <c r="P389" s="240"/>
      <c r="Q389" s="240"/>
      <c r="R389" s="240"/>
      <c r="S389" s="240"/>
      <c r="T389" s="243"/>
      <c r="U389" s="244"/>
      <c r="V389" s="244"/>
      <c r="W389" s="244"/>
    </row>
    <row r="390" spans="2:23" ht="19.5">
      <c r="B390" s="273"/>
      <c r="C390" s="240"/>
      <c r="D390" s="240"/>
      <c r="E390" s="241"/>
      <c r="F390" s="241"/>
      <c r="G390" s="240"/>
      <c r="H390" s="240"/>
      <c r="I390" s="240"/>
      <c r="J390" s="240"/>
      <c r="K390" s="240"/>
      <c r="L390" s="240"/>
      <c r="M390" s="242"/>
      <c r="N390" s="240"/>
      <c r="O390" s="240"/>
      <c r="P390" s="240"/>
      <c r="Q390" s="240"/>
      <c r="R390" s="240"/>
      <c r="S390" s="240"/>
      <c r="T390" s="243"/>
      <c r="U390" s="244"/>
      <c r="V390" s="244"/>
      <c r="W390" s="244"/>
    </row>
    <row r="391" spans="2:23" ht="19.5">
      <c r="B391" s="273"/>
      <c r="C391" s="240"/>
      <c r="D391" s="240"/>
      <c r="E391" s="241"/>
      <c r="F391" s="241"/>
      <c r="G391" s="240"/>
      <c r="H391" s="240"/>
      <c r="I391" s="240"/>
      <c r="J391" s="240"/>
      <c r="K391" s="240"/>
      <c r="L391" s="240"/>
      <c r="M391" s="242"/>
      <c r="N391" s="240"/>
      <c r="O391" s="240"/>
      <c r="P391" s="240"/>
      <c r="Q391" s="240"/>
      <c r="R391" s="240"/>
      <c r="S391" s="240"/>
      <c r="T391" s="243"/>
      <c r="U391" s="244"/>
      <c r="V391" s="244"/>
      <c r="W391" s="244"/>
    </row>
    <row r="392" spans="2:23" ht="19.5">
      <c r="B392" s="273"/>
      <c r="C392" s="240"/>
      <c r="D392" s="240"/>
      <c r="E392" s="241"/>
      <c r="F392" s="241"/>
      <c r="G392" s="240"/>
      <c r="H392" s="240"/>
      <c r="I392" s="240"/>
      <c r="J392" s="240"/>
      <c r="K392" s="240"/>
      <c r="L392" s="240"/>
      <c r="M392" s="242"/>
      <c r="N392" s="240"/>
      <c r="O392" s="240"/>
      <c r="P392" s="240"/>
      <c r="Q392" s="240"/>
      <c r="R392" s="240"/>
      <c r="S392" s="240"/>
      <c r="T392" s="243"/>
      <c r="U392" s="244"/>
      <c r="V392" s="244"/>
      <c r="W392" s="244"/>
    </row>
    <row r="393" spans="2:23" ht="19.5">
      <c r="B393" s="273"/>
      <c r="C393" s="240"/>
      <c r="D393" s="240"/>
      <c r="E393" s="241"/>
      <c r="F393" s="241"/>
      <c r="G393" s="240"/>
      <c r="H393" s="240"/>
      <c r="I393" s="240"/>
      <c r="J393" s="240"/>
      <c r="K393" s="240"/>
      <c r="L393" s="240"/>
      <c r="M393" s="242"/>
      <c r="N393" s="240"/>
      <c r="O393" s="240"/>
      <c r="P393" s="240"/>
      <c r="Q393" s="240"/>
      <c r="R393" s="240"/>
      <c r="S393" s="240"/>
      <c r="T393" s="243"/>
      <c r="U393" s="244"/>
      <c r="V393" s="244"/>
      <c r="W393" s="244"/>
    </row>
    <row r="394" spans="2:23">
      <c r="B394" s="240"/>
      <c r="C394" s="240"/>
      <c r="D394" s="240"/>
      <c r="E394" s="241"/>
      <c r="F394" s="241"/>
      <c r="G394" s="240"/>
      <c r="H394" s="240"/>
      <c r="I394" s="240"/>
      <c r="J394" s="240"/>
      <c r="K394" s="240"/>
      <c r="L394" s="240"/>
      <c r="M394" s="242"/>
      <c r="N394" s="240"/>
      <c r="O394" s="240"/>
      <c r="P394" s="240"/>
      <c r="Q394" s="240"/>
      <c r="R394" s="240"/>
      <c r="S394" s="240"/>
      <c r="T394" s="243"/>
      <c r="U394" s="244"/>
      <c r="V394" s="244"/>
      <c r="W394" s="244"/>
    </row>
    <row r="395" spans="2:23" ht="84.95" customHeight="1">
      <c r="B395" s="266" t="s">
        <v>499</v>
      </c>
      <c r="C395" s="266" t="s">
        <v>120</v>
      </c>
      <c r="D395" s="266" t="s">
        <v>500</v>
      </c>
      <c r="E395" s="266" t="s">
        <v>198</v>
      </c>
      <c r="F395" s="267" t="s">
        <v>280</v>
      </c>
      <c r="G395" s="267" t="s">
        <v>560</v>
      </c>
      <c r="H395" s="267" t="s">
        <v>561</v>
      </c>
      <c r="I395" s="267" t="s">
        <v>562</v>
      </c>
      <c r="J395" s="268" t="s">
        <v>506</v>
      </c>
      <c r="K395" s="267" t="s">
        <v>563</v>
      </c>
      <c r="L395" s="267" t="s">
        <v>564</v>
      </c>
      <c r="M395" s="267" t="s">
        <v>565</v>
      </c>
      <c r="N395" s="267" t="s">
        <v>566</v>
      </c>
      <c r="O395" s="267" t="s">
        <v>567</v>
      </c>
      <c r="P395" s="267" t="s">
        <v>568</v>
      </c>
      <c r="Q395" s="269" t="s">
        <v>364</v>
      </c>
      <c r="R395" s="270" t="s">
        <v>569</v>
      </c>
      <c r="S395" s="270" t="s">
        <v>570</v>
      </c>
      <c r="T395" s="270" t="s">
        <v>571</v>
      </c>
    </row>
    <row r="396" spans="2:23">
      <c r="B396" s="240" t="s">
        <v>501</v>
      </c>
      <c r="C396" s="240" t="s">
        <v>242</v>
      </c>
      <c r="D396" s="240" t="s">
        <v>502</v>
      </c>
      <c r="E396" s="272" t="s">
        <v>522</v>
      </c>
      <c r="F396" s="241" t="s">
        <v>281</v>
      </c>
      <c r="G396" s="240">
        <v>527850</v>
      </c>
      <c r="H396" s="240">
        <v>271415</v>
      </c>
      <c r="I396" s="240">
        <v>944680</v>
      </c>
      <c r="J396" s="271">
        <v>-0.33</v>
      </c>
      <c r="K396" s="2">
        <v>409172</v>
      </c>
      <c r="L396" s="240">
        <v>207479</v>
      </c>
      <c r="M396" s="240">
        <v>739992</v>
      </c>
      <c r="N396" s="240">
        <v>118678</v>
      </c>
      <c r="O396" s="240">
        <v>63936</v>
      </c>
      <c r="P396" s="240">
        <v>204688</v>
      </c>
      <c r="Q396" s="243">
        <v>4748445</v>
      </c>
      <c r="R396" s="244">
        <v>24.993024826049805</v>
      </c>
      <c r="S396" s="244">
        <v>13.464618682861328</v>
      </c>
      <c r="T396" s="244">
        <v>43.1063232421875</v>
      </c>
    </row>
    <row r="397" spans="2:23">
      <c r="B397" s="240" t="s">
        <v>501</v>
      </c>
      <c r="C397" s="240" t="s">
        <v>242</v>
      </c>
      <c r="D397" s="240" t="s">
        <v>201</v>
      </c>
      <c r="E397" s="240" t="s">
        <v>524</v>
      </c>
      <c r="F397" s="241" t="s">
        <v>281</v>
      </c>
      <c r="G397" s="240">
        <v>1055700</v>
      </c>
      <c r="H397" s="240">
        <v>542830</v>
      </c>
      <c r="I397" s="240">
        <v>1889360</v>
      </c>
      <c r="J397" s="271">
        <v>-0.12399999999999997</v>
      </c>
      <c r="K397" s="2">
        <v>661270</v>
      </c>
      <c r="L397" s="240">
        <v>335547</v>
      </c>
      <c r="M397" s="240">
        <v>1197106</v>
      </c>
      <c r="N397" s="240">
        <v>394430</v>
      </c>
      <c r="O397" s="240">
        <v>207283</v>
      </c>
      <c r="P397" s="240">
        <v>692254</v>
      </c>
      <c r="Q397" s="243">
        <v>5273703</v>
      </c>
      <c r="R397" s="244">
        <v>74.791847229003906</v>
      </c>
      <c r="S397" s="244">
        <v>39.305019378662109</v>
      </c>
      <c r="T397" s="244">
        <v>131.2652587890625</v>
      </c>
    </row>
    <row r="398" spans="2:23">
      <c r="B398" s="240" t="s">
        <v>501</v>
      </c>
      <c r="C398" s="240" t="s">
        <v>242</v>
      </c>
      <c r="D398" s="240" t="s">
        <v>520</v>
      </c>
      <c r="E398" s="240" t="s">
        <v>523</v>
      </c>
      <c r="F398" s="241" t="s">
        <v>281</v>
      </c>
      <c r="G398" s="240">
        <v>1583550</v>
      </c>
      <c r="H398" s="240">
        <v>814245</v>
      </c>
      <c r="I398" s="240">
        <v>2834040</v>
      </c>
      <c r="J398" s="271">
        <v>-0.45400000000000024</v>
      </c>
      <c r="K398" s="2">
        <v>1070442</v>
      </c>
      <c r="L398" s="240">
        <v>543026</v>
      </c>
      <c r="M398" s="240">
        <v>1937098</v>
      </c>
      <c r="N398" s="240">
        <v>513108</v>
      </c>
      <c r="O398" s="240">
        <v>271219</v>
      </c>
      <c r="P398" s="240">
        <v>896942</v>
      </c>
      <c r="Q398" s="243">
        <v>10022148</v>
      </c>
      <c r="R398" s="244">
        <v>51.197406768798828</v>
      </c>
      <c r="S398" s="244">
        <v>27.06196403503418</v>
      </c>
      <c r="T398" s="244">
        <v>89.495986938476563</v>
      </c>
    </row>
    <row r="399" spans="2:23">
      <c r="B399" s="240" t="s">
        <v>501</v>
      </c>
      <c r="C399" s="240" t="s">
        <v>282</v>
      </c>
      <c r="D399" s="240" t="s">
        <v>502</v>
      </c>
      <c r="E399" s="272" t="s">
        <v>522</v>
      </c>
      <c r="F399" s="241" t="s">
        <v>281</v>
      </c>
      <c r="G399" s="240">
        <v>527850</v>
      </c>
      <c r="H399" s="240">
        <v>271415</v>
      </c>
      <c r="I399" s="240">
        <v>944680</v>
      </c>
      <c r="J399" s="271">
        <v>-0.182</v>
      </c>
      <c r="K399" s="2">
        <v>447026</v>
      </c>
      <c r="L399" s="240">
        <v>226517</v>
      </c>
      <c r="M399" s="240">
        <v>808943</v>
      </c>
      <c r="N399" s="240">
        <v>80824</v>
      </c>
      <c r="O399" s="240">
        <v>44898</v>
      </c>
      <c r="P399" s="240">
        <v>135737</v>
      </c>
      <c r="Q399" s="243">
        <v>1076644</v>
      </c>
      <c r="R399" s="244">
        <v>75.0703125</v>
      </c>
      <c r="S399" s="244">
        <v>41.701805114746094</v>
      </c>
      <c r="T399" s="244">
        <v>126.07417297363281</v>
      </c>
    </row>
    <row r="400" spans="2:23">
      <c r="B400" s="240" t="s">
        <v>501</v>
      </c>
      <c r="C400" s="240" t="s">
        <v>282</v>
      </c>
      <c r="D400" s="240" t="s">
        <v>201</v>
      </c>
      <c r="E400" s="240" t="s">
        <v>524</v>
      </c>
      <c r="F400" s="241" t="s">
        <v>281</v>
      </c>
      <c r="G400" s="240">
        <v>1055700</v>
      </c>
      <c r="H400" s="240">
        <v>542830</v>
      </c>
      <c r="I400" s="240">
        <v>1889360</v>
      </c>
      <c r="J400" s="271">
        <v>-9.0999999999999984E-2</v>
      </c>
      <c r="K400" s="2">
        <v>791856</v>
      </c>
      <c r="L400" s="240">
        <v>400852</v>
      </c>
      <c r="M400" s="240">
        <v>1430488</v>
      </c>
      <c r="N400" s="240">
        <v>263844</v>
      </c>
      <c r="O400" s="240">
        <v>141978</v>
      </c>
      <c r="P400" s="240">
        <v>458872</v>
      </c>
      <c r="Q400" s="243">
        <v>1521688</v>
      </c>
      <c r="R400" s="244">
        <v>173.38902282714844</v>
      </c>
      <c r="S400" s="244">
        <v>93.302963256835938</v>
      </c>
      <c r="T400" s="244">
        <v>301.55459594726563</v>
      </c>
    </row>
    <row r="401" spans="2:20">
      <c r="B401" s="240" t="s">
        <v>501</v>
      </c>
      <c r="C401" s="240" t="s">
        <v>282</v>
      </c>
      <c r="D401" s="240" t="s">
        <v>520</v>
      </c>
      <c r="E401" s="240" t="s">
        <v>523</v>
      </c>
      <c r="F401" s="241" t="s">
        <v>281</v>
      </c>
      <c r="G401" s="240">
        <v>1583550</v>
      </c>
      <c r="H401" s="240">
        <v>814245</v>
      </c>
      <c r="I401" s="240">
        <v>2834040</v>
      </c>
      <c r="J401" s="271">
        <v>-0.27299999999999996</v>
      </c>
      <c r="K401" s="2">
        <v>1238882</v>
      </c>
      <c r="L401" s="240">
        <v>627369</v>
      </c>
      <c r="M401" s="240">
        <v>2239431</v>
      </c>
      <c r="N401" s="240">
        <v>344668</v>
      </c>
      <c r="O401" s="240">
        <v>186876</v>
      </c>
      <c r="P401" s="240">
        <v>594609</v>
      </c>
      <c r="Q401" s="243">
        <v>2598332</v>
      </c>
      <c r="R401" s="244">
        <v>132.64971923828125</v>
      </c>
      <c r="S401" s="244">
        <v>71.921524047851563</v>
      </c>
      <c r="T401" s="244">
        <v>228.84257507324219</v>
      </c>
    </row>
    <row r="402" spans="2:20">
      <c r="B402" s="240" t="s">
        <v>501</v>
      </c>
      <c r="C402" s="240" t="s">
        <v>77</v>
      </c>
      <c r="D402" s="240" t="s">
        <v>502</v>
      </c>
      <c r="E402" s="272" t="s">
        <v>522</v>
      </c>
      <c r="F402" s="241" t="s">
        <v>281</v>
      </c>
      <c r="G402" s="240">
        <v>527850</v>
      </c>
      <c r="H402" s="240">
        <v>271415</v>
      </c>
      <c r="I402" s="240">
        <v>944680</v>
      </c>
      <c r="J402" s="271">
        <v>-5.4000000000000006E-2</v>
      </c>
      <c r="K402" s="2">
        <v>479535</v>
      </c>
      <c r="L402" s="240">
        <v>242876</v>
      </c>
      <c r="M402" s="240">
        <v>870136</v>
      </c>
      <c r="N402" s="240">
        <v>48315</v>
      </c>
      <c r="O402" s="240">
        <v>28539</v>
      </c>
      <c r="P402" s="240">
        <v>74544</v>
      </c>
      <c r="Q402" s="243">
        <v>1821516</v>
      </c>
      <c r="R402" s="244">
        <v>26.524608612060547</v>
      </c>
      <c r="S402" s="244">
        <v>15.667718887329102</v>
      </c>
      <c r="T402" s="244">
        <v>40.924152374267578</v>
      </c>
    </row>
    <row r="403" spans="2:20">
      <c r="B403" s="240" t="s">
        <v>501</v>
      </c>
      <c r="C403" s="240" t="s">
        <v>77</v>
      </c>
      <c r="D403" s="240" t="s">
        <v>201</v>
      </c>
      <c r="E403" s="240" t="s">
        <v>524</v>
      </c>
      <c r="F403" s="241" t="s">
        <v>281</v>
      </c>
      <c r="G403" s="240">
        <v>1055700</v>
      </c>
      <c r="H403" s="240">
        <v>542830</v>
      </c>
      <c r="I403" s="240">
        <v>1889360</v>
      </c>
      <c r="J403" s="271">
        <v>-8.0000000000000019E-3</v>
      </c>
      <c r="K403" s="2">
        <v>939160</v>
      </c>
      <c r="L403" s="240">
        <v>475403</v>
      </c>
      <c r="M403" s="240">
        <v>1702035</v>
      </c>
      <c r="N403" s="240">
        <v>116540</v>
      </c>
      <c r="O403" s="240">
        <v>67427</v>
      </c>
      <c r="P403" s="240">
        <v>187325</v>
      </c>
      <c r="Q403" s="243">
        <v>1794453</v>
      </c>
      <c r="R403" s="244">
        <v>64.944580078125</v>
      </c>
      <c r="S403" s="244">
        <v>37.575237274169922</v>
      </c>
      <c r="T403" s="244">
        <v>104.39114379882813</v>
      </c>
    </row>
    <row r="404" spans="2:20">
      <c r="B404" s="240" t="s">
        <v>501</v>
      </c>
      <c r="C404" s="240" t="s">
        <v>77</v>
      </c>
      <c r="D404" s="240" t="s">
        <v>520</v>
      </c>
      <c r="E404" s="240" t="s">
        <v>523</v>
      </c>
      <c r="F404" s="241" t="s">
        <v>281</v>
      </c>
      <c r="G404" s="240">
        <v>1583550</v>
      </c>
      <c r="H404" s="240">
        <v>814245</v>
      </c>
      <c r="I404" s="240">
        <v>2834040</v>
      </c>
      <c r="J404" s="271">
        <v>-6.2000000000000027E-2</v>
      </c>
      <c r="K404" s="2">
        <v>1418695</v>
      </c>
      <c r="L404" s="240">
        <v>718279</v>
      </c>
      <c r="M404" s="240">
        <v>2572171</v>
      </c>
      <c r="N404" s="240">
        <v>164855</v>
      </c>
      <c r="O404" s="240">
        <v>95966</v>
      </c>
      <c r="P404" s="240">
        <v>261869</v>
      </c>
      <c r="Q404" s="243">
        <v>3615969</v>
      </c>
      <c r="R404" s="244">
        <v>45.590824127197266</v>
      </c>
      <c r="S404" s="244">
        <v>26.539497375488281</v>
      </c>
      <c r="T404" s="244">
        <v>72.420143127441406</v>
      </c>
    </row>
    <row r="405" spans="2:20">
      <c r="B405" s="240" t="s">
        <v>501</v>
      </c>
      <c r="C405" s="240" t="s">
        <v>121</v>
      </c>
      <c r="D405" s="240" t="s">
        <v>502</v>
      </c>
      <c r="E405" s="272" t="s">
        <v>522</v>
      </c>
      <c r="F405" s="241" t="s">
        <v>281</v>
      </c>
      <c r="G405" s="240">
        <v>527850</v>
      </c>
      <c r="H405" s="240">
        <v>271415</v>
      </c>
      <c r="I405" s="240">
        <v>944680</v>
      </c>
      <c r="J405" s="271">
        <v>-0.1</v>
      </c>
      <c r="K405" s="2">
        <v>468662</v>
      </c>
      <c r="L405" s="240">
        <v>237421</v>
      </c>
      <c r="M405" s="240">
        <v>848959</v>
      </c>
      <c r="N405" s="240">
        <v>59188</v>
      </c>
      <c r="O405" s="240">
        <v>33994</v>
      </c>
      <c r="P405" s="240">
        <v>95721</v>
      </c>
      <c r="Q405" s="243">
        <v>920267</v>
      </c>
      <c r="R405" s="244">
        <v>64.316116333007813</v>
      </c>
      <c r="S405" s="244">
        <v>36.939281463623047</v>
      </c>
      <c r="T405" s="244">
        <v>104.01438140869141</v>
      </c>
    </row>
    <row r="406" spans="2:20">
      <c r="B406" s="240" t="s">
        <v>501</v>
      </c>
      <c r="C406" s="240" t="s">
        <v>121</v>
      </c>
      <c r="D406" s="240" t="s">
        <v>201</v>
      </c>
      <c r="E406" s="240" t="s">
        <v>524</v>
      </c>
      <c r="F406" s="241" t="s">
        <v>281</v>
      </c>
      <c r="G406" s="240">
        <v>1055700</v>
      </c>
      <c r="H406" s="240">
        <v>542830</v>
      </c>
      <c r="I406" s="240">
        <v>1889360</v>
      </c>
      <c r="J406" s="271">
        <v>-2.0000000000000004E-2</v>
      </c>
      <c r="K406" s="2">
        <v>893859</v>
      </c>
      <c r="L406" s="240">
        <v>453614</v>
      </c>
      <c r="M406" s="240">
        <v>1618202</v>
      </c>
      <c r="N406" s="240">
        <v>161841</v>
      </c>
      <c r="O406" s="240">
        <v>89216</v>
      </c>
      <c r="P406" s="240">
        <v>271158</v>
      </c>
      <c r="Q406" s="243">
        <v>997748</v>
      </c>
      <c r="R406" s="244">
        <v>162.20628356933594</v>
      </c>
      <c r="S406" s="244">
        <v>89.417366027832031</v>
      </c>
      <c r="T406" s="244">
        <v>271.77001953125</v>
      </c>
    </row>
    <row r="407" spans="2:20">
      <c r="B407" s="240" t="s">
        <v>501</v>
      </c>
      <c r="C407" s="240" t="s">
        <v>121</v>
      </c>
      <c r="D407" s="240" t="s">
        <v>520</v>
      </c>
      <c r="E407" s="240" t="s">
        <v>523</v>
      </c>
      <c r="F407" s="241" t="s">
        <v>281</v>
      </c>
      <c r="G407" s="240">
        <v>1583550</v>
      </c>
      <c r="H407" s="240">
        <v>814245</v>
      </c>
      <c r="I407" s="240">
        <v>2834040</v>
      </c>
      <c r="J407" s="271">
        <v>-0.12000000000000002</v>
      </c>
      <c r="K407" s="2">
        <v>1362521</v>
      </c>
      <c r="L407" s="240">
        <v>691035</v>
      </c>
      <c r="M407" s="240">
        <v>2467161</v>
      </c>
      <c r="N407" s="240">
        <v>221029</v>
      </c>
      <c r="O407" s="240">
        <v>123210</v>
      </c>
      <c r="P407" s="240">
        <v>366879</v>
      </c>
      <c r="Q407" s="243">
        <v>1918015</v>
      </c>
      <c r="R407" s="244">
        <v>115.23841094970703</v>
      </c>
      <c r="S407" s="244">
        <v>64.238288879394531</v>
      </c>
      <c r="T407" s="244">
        <v>191.28056335449219</v>
      </c>
    </row>
    <row r="408" spans="2:20">
      <c r="B408" s="240" t="s">
        <v>501</v>
      </c>
      <c r="C408" s="240" t="s">
        <v>122</v>
      </c>
      <c r="D408" s="240" t="s">
        <v>502</v>
      </c>
      <c r="E408" s="272" t="s">
        <v>522</v>
      </c>
      <c r="F408" s="241" t="s">
        <v>281</v>
      </c>
      <c r="G408" s="240">
        <v>527850</v>
      </c>
      <c r="H408" s="240">
        <v>271415</v>
      </c>
      <c r="I408" s="240">
        <v>944680</v>
      </c>
      <c r="J408" s="271">
        <v>-0.06</v>
      </c>
      <c r="K408" s="2">
        <v>478339</v>
      </c>
      <c r="L408" s="240">
        <v>242175</v>
      </c>
      <c r="M408" s="240">
        <v>867620</v>
      </c>
      <c r="N408" s="240">
        <v>49511</v>
      </c>
      <c r="O408" s="240">
        <v>29240</v>
      </c>
      <c r="P408" s="240">
        <v>77060</v>
      </c>
      <c r="Q408" s="243">
        <v>930018</v>
      </c>
      <c r="R408" s="244">
        <v>53.236602783203125</v>
      </c>
      <c r="S408" s="244">
        <v>31.440252304077148</v>
      </c>
      <c r="T408" s="244">
        <v>82.858612060546875</v>
      </c>
    </row>
    <row r="409" spans="2:20">
      <c r="B409" s="240" t="s">
        <v>501</v>
      </c>
      <c r="C409" s="240" t="s">
        <v>122</v>
      </c>
      <c r="D409" s="240" t="s">
        <v>201</v>
      </c>
      <c r="E409" s="240" t="s">
        <v>524</v>
      </c>
      <c r="F409" s="241" t="s">
        <v>281</v>
      </c>
      <c r="G409" s="240">
        <v>1055700</v>
      </c>
      <c r="H409" s="240">
        <v>542830</v>
      </c>
      <c r="I409" s="240">
        <v>1889360</v>
      </c>
      <c r="J409" s="271">
        <v>-2.9999999999999995E-2</v>
      </c>
      <c r="K409" s="2">
        <v>924477</v>
      </c>
      <c r="L409" s="240">
        <v>468226</v>
      </c>
      <c r="M409" s="240">
        <v>1672768</v>
      </c>
      <c r="N409" s="240">
        <v>131223</v>
      </c>
      <c r="O409" s="240">
        <v>74604</v>
      </c>
      <c r="P409" s="240">
        <v>216592</v>
      </c>
      <c r="Q409" s="243">
        <v>959822</v>
      </c>
      <c r="R409" s="244">
        <v>136.71597290039063</v>
      </c>
      <c r="S409" s="244">
        <v>77.726913452148438</v>
      </c>
      <c r="T409" s="244">
        <v>225.65850830078125</v>
      </c>
    </row>
    <row r="410" spans="2:20">
      <c r="B410" s="240" t="s">
        <v>501</v>
      </c>
      <c r="C410" s="240" t="s">
        <v>122</v>
      </c>
      <c r="D410" s="240" t="s">
        <v>520</v>
      </c>
      <c r="E410" s="240" t="s">
        <v>523</v>
      </c>
      <c r="F410" s="241" t="s">
        <v>281</v>
      </c>
      <c r="G410" s="240">
        <v>1583550</v>
      </c>
      <c r="H410" s="240">
        <v>814245</v>
      </c>
      <c r="I410" s="240">
        <v>2834040</v>
      </c>
      <c r="J410" s="271">
        <v>-9.0000000000000024E-2</v>
      </c>
      <c r="K410" s="2">
        <v>1402816</v>
      </c>
      <c r="L410" s="240">
        <v>710401</v>
      </c>
      <c r="M410" s="240">
        <v>2540388</v>
      </c>
      <c r="N410" s="240">
        <v>180734</v>
      </c>
      <c r="O410" s="240">
        <v>103844</v>
      </c>
      <c r="P410" s="240">
        <v>293652</v>
      </c>
      <c r="Q410" s="243">
        <v>1889840</v>
      </c>
      <c r="R410" s="244">
        <v>95.634552001953125</v>
      </c>
      <c r="S410" s="244">
        <v>54.948566436767578</v>
      </c>
      <c r="T410" s="244">
        <v>155.38458251953125</v>
      </c>
    </row>
    <row r="411" spans="2:20">
      <c r="B411" s="240" t="s">
        <v>513</v>
      </c>
      <c r="C411" s="240" t="s">
        <v>242</v>
      </c>
      <c r="D411" s="240" t="s">
        <v>502</v>
      </c>
      <c r="E411" s="272" t="s">
        <v>522</v>
      </c>
      <c r="F411" s="241" t="s">
        <v>281</v>
      </c>
      <c r="G411" s="240">
        <v>467730</v>
      </c>
      <c r="H411" s="240">
        <v>251425</v>
      </c>
      <c r="I411" s="240">
        <v>816710</v>
      </c>
      <c r="J411" s="271">
        <v>-0.33</v>
      </c>
      <c r="K411" s="2">
        <v>364674</v>
      </c>
      <c r="L411" s="240">
        <v>193808</v>
      </c>
      <c r="M411" s="240">
        <v>641881</v>
      </c>
      <c r="N411" s="240">
        <v>103056</v>
      </c>
      <c r="O411" s="240">
        <v>57617</v>
      </c>
      <c r="P411" s="240">
        <v>174829</v>
      </c>
      <c r="Q411" s="243">
        <v>4748445</v>
      </c>
      <c r="R411" s="244">
        <v>21.703104019165039</v>
      </c>
      <c r="S411" s="244">
        <v>12.133867263793945</v>
      </c>
      <c r="T411" s="244">
        <v>36.818157196044922</v>
      </c>
    </row>
    <row r="412" spans="2:20">
      <c r="B412" s="240" t="s">
        <v>513</v>
      </c>
      <c r="C412" s="240" t="s">
        <v>242</v>
      </c>
      <c r="D412" s="240" t="s">
        <v>201</v>
      </c>
      <c r="E412" s="240" t="s">
        <v>524</v>
      </c>
      <c r="F412" s="241" t="s">
        <v>281</v>
      </c>
      <c r="G412" s="240">
        <v>935460</v>
      </c>
      <c r="H412" s="240">
        <v>502850</v>
      </c>
      <c r="I412" s="240">
        <v>1633420</v>
      </c>
      <c r="J412" s="271">
        <v>-0.12399999999999997</v>
      </c>
      <c r="K412" s="2">
        <v>589303</v>
      </c>
      <c r="L412" s="240">
        <v>313583</v>
      </c>
      <c r="M412" s="240">
        <v>1038371</v>
      </c>
      <c r="N412" s="240">
        <v>346157</v>
      </c>
      <c r="O412" s="240">
        <v>189267</v>
      </c>
      <c r="P412" s="240">
        <v>595049</v>
      </c>
      <c r="Q412" s="243">
        <v>5273703</v>
      </c>
      <c r="R412" s="244">
        <v>65.638320922851563</v>
      </c>
      <c r="S412" s="244">
        <v>35.888824462890625</v>
      </c>
      <c r="T412" s="244">
        <v>112.83324432373047</v>
      </c>
    </row>
    <row r="413" spans="2:20">
      <c r="B413" s="240" t="s">
        <v>513</v>
      </c>
      <c r="C413" s="240" t="s">
        <v>242</v>
      </c>
      <c r="D413" s="240" t="s">
        <v>520</v>
      </c>
      <c r="E413" s="240" t="s">
        <v>523</v>
      </c>
      <c r="F413" s="241" t="s">
        <v>281</v>
      </c>
      <c r="G413" s="240">
        <v>1403190</v>
      </c>
      <c r="H413" s="240">
        <v>754275</v>
      </c>
      <c r="I413" s="240">
        <v>2450130</v>
      </c>
      <c r="J413" s="271">
        <v>-0.45400000000000024</v>
      </c>
      <c r="K413" s="2">
        <v>953977</v>
      </c>
      <c r="L413" s="240">
        <v>507391</v>
      </c>
      <c r="M413" s="240">
        <v>1680252</v>
      </c>
      <c r="N413" s="240">
        <v>449213</v>
      </c>
      <c r="O413" s="240">
        <v>246884</v>
      </c>
      <c r="P413" s="240">
        <v>769878</v>
      </c>
      <c r="Q413" s="243">
        <v>10022148</v>
      </c>
      <c r="R413" s="244">
        <v>44.822029113769531</v>
      </c>
      <c r="S413" s="244">
        <v>24.633840560913086</v>
      </c>
      <c r="T413" s="244">
        <v>76.817665100097656</v>
      </c>
    </row>
    <row r="414" spans="2:20">
      <c r="B414" s="240" t="s">
        <v>513</v>
      </c>
      <c r="C414" s="240" t="s">
        <v>282</v>
      </c>
      <c r="D414" s="240" t="s">
        <v>502</v>
      </c>
      <c r="E414" s="272" t="s">
        <v>522</v>
      </c>
      <c r="F414" s="241" t="s">
        <v>281</v>
      </c>
      <c r="G414" s="240">
        <v>467730</v>
      </c>
      <c r="H414" s="240">
        <v>251425</v>
      </c>
      <c r="I414" s="240">
        <v>816710</v>
      </c>
      <c r="J414" s="271">
        <v>-0.182</v>
      </c>
      <c r="K414" s="2">
        <v>398465</v>
      </c>
      <c r="L414" s="240">
        <v>211733</v>
      </c>
      <c r="M414" s="240">
        <v>701836</v>
      </c>
      <c r="N414" s="240">
        <v>69265</v>
      </c>
      <c r="O414" s="240">
        <v>39692</v>
      </c>
      <c r="P414" s="240">
        <v>114874</v>
      </c>
      <c r="Q414" s="243">
        <v>1076644</v>
      </c>
      <c r="R414" s="244">
        <v>64.334175109863281</v>
      </c>
      <c r="S414" s="244">
        <v>36.866409301757813</v>
      </c>
      <c r="T414" s="244">
        <v>106.69636535644531</v>
      </c>
    </row>
    <row r="415" spans="2:20">
      <c r="B415" s="240" t="s">
        <v>513</v>
      </c>
      <c r="C415" s="240" t="s">
        <v>282</v>
      </c>
      <c r="D415" s="240" t="s">
        <v>201</v>
      </c>
      <c r="E415" s="240" t="s">
        <v>524</v>
      </c>
      <c r="F415" s="241" t="s">
        <v>281</v>
      </c>
      <c r="G415" s="240">
        <v>935460</v>
      </c>
      <c r="H415" s="240">
        <v>502850</v>
      </c>
      <c r="I415" s="240">
        <v>1633420</v>
      </c>
      <c r="J415" s="271">
        <v>-9.0999999999999984E-2</v>
      </c>
      <c r="K415" s="2">
        <v>705412</v>
      </c>
      <c r="L415" s="240">
        <v>374330</v>
      </c>
      <c r="M415" s="240">
        <v>1240504</v>
      </c>
      <c r="N415" s="240">
        <v>230048</v>
      </c>
      <c r="O415" s="240">
        <v>128520</v>
      </c>
      <c r="P415" s="240">
        <v>392916</v>
      </c>
      <c r="Q415" s="243">
        <v>1521688</v>
      </c>
      <c r="R415" s="244">
        <v>151.17947387695313</v>
      </c>
      <c r="S415" s="244">
        <v>84.458839416503906</v>
      </c>
      <c r="T415" s="244">
        <v>258.21063232421875</v>
      </c>
    </row>
    <row r="416" spans="2:20">
      <c r="B416" s="240" t="s">
        <v>513</v>
      </c>
      <c r="C416" s="240" t="s">
        <v>282</v>
      </c>
      <c r="D416" s="240" t="s">
        <v>520</v>
      </c>
      <c r="E416" s="240" t="s">
        <v>523</v>
      </c>
      <c r="F416" s="241" t="s">
        <v>281</v>
      </c>
      <c r="G416" s="240">
        <v>1403190</v>
      </c>
      <c r="H416" s="240">
        <v>754275</v>
      </c>
      <c r="I416" s="240">
        <v>2450130</v>
      </c>
      <c r="J416" s="271">
        <v>-0.27299999999999996</v>
      </c>
      <c r="K416" s="2">
        <v>1103877</v>
      </c>
      <c r="L416" s="240">
        <v>586063</v>
      </c>
      <c r="M416" s="240">
        <v>1942340</v>
      </c>
      <c r="N416" s="240">
        <v>299313</v>
      </c>
      <c r="O416" s="240">
        <v>168212</v>
      </c>
      <c r="P416" s="240">
        <v>507790</v>
      </c>
      <c r="Q416" s="243">
        <v>2598332</v>
      </c>
      <c r="R416" s="244">
        <v>115.19428253173828</v>
      </c>
      <c r="S416" s="244">
        <v>64.738456726074219</v>
      </c>
      <c r="T416" s="244">
        <v>195.42921447753906</v>
      </c>
    </row>
    <row r="417" spans="2:20">
      <c r="B417" s="240" t="s">
        <v>513</v>
      </c>
      <c r="C417" s="240" t="s">
        <v>77</v>
      </c>
      <c r="D417" s="240" t="s">
        <v>502</v>
      </c>
      <c r="E417" s="272" t="s">
        <v>522</v>
      </c>
      <c r="F417" s="241" t="s">
        <v>281</v>
      </c>
      <c r="G417" s="240">
        <v>467730</v>
      </c>
      <c r="H417" s="240">
        <v>251425</v>
      </c>
      <c r="I417" s="240">
        <v>816710</v>
      </c>
      <c r="J417" s="271">
        <v>-5.4000000000000006E-2</v>
      </c>
      <c r="K417" s="2">
        <v>427674</v>
      </c>
      <c r="L417" s="240">
        <v>227253</v>
      </c>
      <c r="M417" s="240">
        <v>755064</v>
      </c>
      <c r="N417" s="240">
        <v>40056</v>
      </c>
      <c r="O417" s="240">
        <v>24172</v>
      </c>
      <c r="P417" s="240">
        <v>61646</v>
      </c>
      <c r="Q417" s="243">
        <v>1821516</v>
      </c>
      <c r="R417" s="244">
        <v>21.990474700927734</v>
      </c>
      <c r="S417" s="244">
        <v>13.270264625549316</v>
      </c>
      <c r="T417" s="244">
        <v>33.843238830566406</v>
      </c>
    </row>
    <row r="418" spans="2:20">
      <c r="B418" s="240" t="s">
        <v>513</v>
      </c>
      <c r="C418" s="240" t="s">
        <v>77</v>
      </c>
      <c r="D418" s="240" t="s">
        <v>201</v>
      </c>
      <c r="E418" s="240" t="s">
        <v>524</v>
      </c>
      <c r="F418" s="241" t="s">
        <v>281</v>
      </c>
      <c r="G418" s="240">
        <v>935460</v>
      </c>
      <c r="H418" s="240">
        <v>502850</v>
      </c>
      <c r="I418" s="240">
        <v>1633420</v>
      </c>
      <c r="J418" s="271">
        <v>-8.0000000000000019E-3</v>
      </c>
      <c r="K418" s="2">
        <v>837097</v>
      </c>
      <c r="L418" s="240">
        <v>444596</v>
      </c>
      <c r="M418" s="240">
        <v>1476567</v>
      </c>
      <c r="N418" s="240">
        <v>98363</v>
      </c>
      <c r="O418" s="240">
        <v>58254</v>
      </c>
      <c r="P418" s="240">
        <v>156853</v>
      </c>
      <c r="Q418" s="243">
        <v>1794453</v>
      </c>
      <c r="R418" s="244">
        <v>54.815032958984375</v>
      </c>
      <c r="S418" s="244">
        <v>32.463375091552734</v>
      </c>
      <c r="T418" s="244">
        <v>87.409927368164063</v>
      </c>
    </row>
    <row r="419" spans="2:20">
      <c r="B419" s="240" t="s">
        <v>513</v>
      </c>
      <c r="C419" s="240" t="s">
        <v>77</v>
      </c>
      <c r="D419" s="240" t="s">
        <v>520</v>
      </c>
      <c r="E419" s="240" t="s">
        <v>523</v>
      </c>
      <c r="F419" s="241" t="s">
        <v>281</v>
      </c>
      <c r="G419" s="240">
        <v>1403190</v>
      </c>
      <c r="H419" s="240">
        <v>754275</v>
      </c>
      <c r="I419" s="240">
        <v>2450130</v>
      </c>
      <c r="J419" s="271">
        <v>-6.2000000000000027E-2</v>
      </c>
      <c r="K419" s="2">
        <v>1264771</v>
      </c>
      <c r="L419" s="240">
        <v>671849</v>
      </c>
      <c r="M419" s="240">
        <v>2231631</v>
      </c>
      <c r="N419" s="240">
        <v>138419</v>
      </c>
      <c r="O419" s="240">
        <v>82426</v>
      </c>
      <c r="P419" s="240">
        <v>218499</v>
      </c>
      <c r="Q419" s="243">
        <v>3615969</v>
      </c>
      <c r="R419" s="244">
        <v>38.279918670654297</v>
      </c>
      <c r="S419" s="244">
        <v>22.79499626159668</v>
      </c>
      <c r="T419" s="244">
        <v>60.426124572753906</v>
      </c>
    </row>
    <row r="420" spans="2:20">
      <c r="B420" s="240" t="s">
        <v>513</v>
      </c>
      <c r="C420" s="240" t="s">
        <v>121</v>
      </c>
      <c r="D420" s="240" t="s">
        <v>502</v>
      </c>
      <c r="E420" s="272" t="s">
        <v>522</v>
      </c>
      <c r="F420" s="241" t="s">
        <v>281</v>
      </c>
      <c r="G420" s="240">
        <v>467730</v>
      </c>
      <c r="H420" s="240">
        <v>251425</v>
      </c>
      <c r="I420" s="240">
        <v>816710</v>
      </c>
      <c r="J420" s="271">
        <v>-0.1</v>
      </c>
      <c r="K420" s="2">
        <v>417797</v>
      </c>
      <c r="L420" s="240">
        <v>222041</v>
      </c>
      <c r="M420" s="240">
        <v>736651</v>
      </c>
      <c r="N420" s="240">
        <v>49933</v>
      </c>
      <c r="O420" s="240">
        <v>29384</v>
      </c>
      <c r="P420" s="240">
        <v>80059</v>
      </c>
      <c r="Q420" s="243">
        <v>920267</v>
      </c>
      <c r="R420" s="244">
        <v>54.259254455566406</v>
      </c>
      <c r="S420" s="244">
        <v>31.929862976074219</v>
      </c>
      <c r="T420" s="244">
        <v>86.995407104492188</v>
      </c>
    </row>
    <row r="421" spans="2:20">
      <c r="B421" s="240" t="s">
        <v>513</v>
      </c>
      <c r="C421" s="240" t="s">
        <v>121</v>
      </c>
      <c r="D421" s="240" t="s">
        <v>201</v>
      </c>
      <c r="E421" s="240" t="s">
        <v>524</v>
      </c>
      <c r="F421" s="241" t="s">
        <v>281</v>
      </c>
      <c r="G421" s="240">
        <v>935460</v>
      </c>
      <c r="H421" s="240">
        <v>502850</v>
      </c>
      <c r="I421" s="240">
        <v>1633420</v>
      </c>
      <c r="J421" s="271">
        <v>-2.0000000000000004E-2</v>
      </c>
      <c r="K421" s="2">
        <v>796348</v>
      </c>
      <c r="L421" s="240">
        <v>423900</v>
      </c>
      <c r="M421" s="240">
        <v>1403755</v>
      </c>
      <c r="N421" s="240">
        <v>139112</v>
      </c>
      <c r="O421" s="240">
        <v>78950</v>
      </c>
      <c r="P421" s="240">
        <v>229665</v>
      </c>
      <c r="Q421" s="243">
        <v>997748</v>
      </c>
      <c r="R421" s="244">
        <v>139.42599487304688</v>
      </c>
      <c r="S421" s="244">
        <v>79.128196716308594</v>
      </c>
      <c r="T421" s="244">
        <v>230.18338012695313</v>
      </c>
    </row>
    <row r="422" spans="2:20">
      <c r="B422" s="240" t="s">
        <v>513</v>
      </c>
      <c r="C422" s="240" t="s">
        <v>121</v>
      </c>
      <c r="D422" s="240" t="s">
        <v>520</v>
      </c>
      <c r="E422" s="240" t="s">
        <v>523</v>
      </c>
      <c r="F422" s="241" t="s">
        <v>281</v>
      </c>
      <c r="G422" s="240">
        <v>1403190</v>
      </c>
      <c r="H422" s="240">
        <v>754275</v>
      </c>
      <c r="I422" s="240">
        <v>2450130</v>
      </c>
      <c r="J422" s="271">
        <v>-0.12000000000000002</v>
      </c>
      <c r="K422" s="2">
        <v>1214145</v>
      </c>
      <c r="L422" s="240">
        <v>645941</v>
      </c>
      <c r="M422" s="240">
        <v>2140406</v>
      </c>
      <c r="N422" s="240">
        <v>189045</v>
      </c>
      <c r="O422" s="240">
        <v>108334</v>
      </c>
      <c r="P422" s="240">
        <v>309724</v>
      </c>
      <c r="Q422" s="243">
        <v>1918015</v>
      </c>
      <c r="R422" s="244">
        <v>98.562835693359375</v>
      </c>
      <c r="S422" s="244">
        <v>56.482353210449219</v>
      </c>
      <c r="T422" s="244">
        <v>161.48153686523438</v>
      </c>
    </row>
    <row r="423" spans="2:20">
      <c r="B423" s="240" t="s">
        <v>513</v>
      </c>
      <c r="C423" s="240" t="s">
        <v>122</v>
      </c>
      <c r="D423" s="240" t="s">
        <v>502</v>
      </c>
      <c r="E423" s="272" t="s">
        <v>522</v>
      </c>
      <c r="F423" s="241" t="s">
        <v>281</v>
      </c>
      <c r="G423" s="240">
        <v>467730</v>
      </c>
      <c r="H423" s="240">
        <v>251425</v>
      </c>
      <c r="I423" s="240">
        <v>816710</v>
      </c>
      <c r="J423" s="271">
        <v>-0.06</v>
      </c>
      <c r="K423" s="2">
        <v>426588</v>
      </c>
      <c r="L423" s="240">
        <v>226597</v>
      </c>
      <c r="M423" s="240">
        <v>752877</v>
      </c>
      <c r="N423" s="240">
        <v>41142</v>
      </c>
      <c r="O423" s="240">
        <v>24828</v>
      </c>
      <c r="P423" s="240">
        <v>63833</v>
      </c>
      <c r="Q423" s="243">
        <v>930018</v>
      </c>
      <c r="R423" s="244">
        <v>44.23785400390625</v>
      </c>
      <c r="S423" s="244">
        <v>26.696256637573242</v>
      </c>
      <c r="T423" s="244">
        <v>68.636306762695313</v>
      </c>
    </row>
    <row r="424" spans="2:20">
      <c r="B424" s="240" t="s">
        <v>513</v>
      </c>
      <c r="C424" s="240" t="s">
        <v>122</v>
      </c>
      <c r="D424" s="240" t="s">
        <v>201</v>
      </c>
      <c r="E424" s="240" t="s">
        <v>524</v>
      </c>
      <c r="F424" s="241" t="s">
        <v>281</v>
      </c>
      <c r="G424" s="240">
        <v>935460</v>
      </c>
      <c r="H424" s="240">
        <v>502850</v>
      </c>
      <c r="I424" s="240">
        <v>1633420</v>
      </c>
      <c r="J424" s="271">
        <v>-2.9999999999999995E-2</v>
      </c>
      <c r="K424" s="2">
        <v>823942</v>
      </c>
      <c r="L424" s="240">
        <v>437749</v>
      </c>
      <c r="M424" s="240">
        <v>1451279</v>
      </c>
      <c r="N424" s="240">
        <v>111518</v>
      </c>
      <c r="O424" s="240">
        <v>65101</v>
      </c>
      <c r="P424" s="240">
        <v>182141</v>
      </c>
      <c r="Q424" s="243">
        <v>959822</v>
      </c>
      <c r="R424" s="244">
        <v>116.18612670898438</v>
      </c>
      <c r="S424" s="244">
        <v>67.826118469238281</v>
      </c>
      <c r="T424" s="244">
        <v>189.76539611816406</v>
      </c>
    </row>
    <row r="425" spans="2:20">
      <c r="B425" s="240" t="s">
        <v>513</v>
      </c>
      <c r="C425" s="240" t="s">
        <v>122</v>
      </c>
      <c r="D425" s="240" t="s">
        <v>520</v>
      </c>
      <c r="E425" s="240" t="s">
        <v>523</v>
      </c>
      <c r="F425" s="241" t="s">
        <v>281</v>
      </c>
      <c r="G425" s="240">
        <v>1403190</v>
      </c>
      <c r="H425" s="240">
        <v>754275</v>
      </c>
      <c r="I425" s="240">
        <v>2450130</v>
      </c>
      <c r="J425" s="271">
        <v>-9.0000000000000024E-2</v>
      </c>
      <c r="K425" s="2">
        <v>1250530</v>
      </c>
      <c r="L425" s="240">
        <v>664346</v>
      </c>
      <c r="M425" s="240">
        <v>2204156</v>
      </c>
      <c r="N425" s="240">
        <v>152660</v>
      </c>
      <c r="O425" s="240">
        <v>89929</v>
      </c>
      <c r="P425" s="240">
        <v>245974</v>
      </c>
      <c r="Q425" s="243">
        <v>1889840</v>
      </c>
      <c r="R425" s="244">
        <v>80.779327392578125</v>
      </c>
      <c r="S425" s="244">
        <v>47.58551025390625</v>
      </c>
      <c r="T425" s="244">
        <v>130.15599060058594</v>
      </c>
    </row>
    <row r="426" spans="2:20">
      <c r="B426" s="240" t="s">
        <v>514</v>
      </c>
      <c r="C426" s="240" t="s">
        <v>242</v>
      </c>
      <c r="D426" s="240" t="s">
        <v>502</v>
      </c>
      <c r="E426" s="272" t="s">
        <v>522</v>
      </c>
      <c r="F426" s="241" t="s">
        <v>281</v>
      </c>
      <c r="G426" s="240">
        <v>60120</v>
      </c>
      <c r="H426" s="240">
        <v>19990</v>
      </c>
      <c r="I426" s="240">
        <v>127970</v>
      </c>
      <c r="J426" s="271">
        <v>-0.33</v>
      </c>
      <c r="K426" s="2">
        <v>44498</v>
      </c>
      <c r="L426" s="240">
        <v>13671</v>
      </c>
      <c r="M426" s="240">
        <v>98111</v>
      </c>
      <c r="N426" s="240">
        <v>15622</v>
      </c>
      <c r="O426" s="240">
        <v>6319</v>
      </c>
      <c r="P426" s="240">
        <v>29859</v>
      </c>
      <c r="Q426" s="243">
        <v>4748445</v>
      </c>
      <c r="R426" s="244">
        <v>3.2899191379547119</v>
      </c>
      <c r="S426" s="244">
        <v>1.3307514190673828</v>
      </c>
      <c r="T426" s="244">
        <v>6.2881636619567871</v>
      </c>
    </row>
    <row r="427" spans="2:20">
      <c r="B427" s="240" t="s">
        <v>514</v>
      </c>
      <c r="C427" s="240" t="s">
        <v>242</v>
      </c>
      <c r="D427" s="240" t="s">
        <v>201</v>
      </c>
      <c r="E427" s="240" t="s">
        <v>524</v>
      </c>
      <c r="F427" s="241" t="s">
        <v>281</v>
      </c>
      <c r="G427" s="240">
        <v>120240</v>
      </c>
      <c r="H427" s="240">
        <v>39980</v>
      </c>
      <c r="I427" s="240">
        <v>255940</v>
      </c>
      <c r="J427" s="271">
        <v>-0.12399999999999997</v>
      </c>
      <c r="K427" s="2">
        <v>71967</v>
      </c>
      <c r="L427" s="240">
        <v>21964</v>
      </c>
      <c r="M427" s="240">
        <v>158735</v>
      </c>
      <c r="N427" s="240">
        <v>48273</v>
      </c>
      <c r="O427" s="240">
        <v>18016</v>
      </c>
      <c r="P427" s="240">
        <v>97205</v>
      </c>
      <c r="Q427" s="243">
        <v>5273703</v>
      </c>
      <c r="R427" s="244">
        <v>9.1535301208496094</v>
      </c>
      <c r="S427" s="244">
        <v>3.4161953926086426</v>
      </c>
      <c r="T427" s="244">
        <v>18.43202018737793</v>
      </c>
    </row>
    <row r="428" spans="2:20">
      <c r="B428" s="240" t="s">
        <v>514</v>
      </c>
      <c r="C428" s="240" t="s">
        <v>242</v>
      </c>
      <c r="D428" s="240" t="s">
        <v>520</v>
      </c>
      <c r="E428" s="240" t="s">
        <v>523</v>
      </c>
      <c r="F428" s="241" t="s">
        <v>281</v>
      </c>
      <c r="G428" s="240">
        <v>180360</v>
      </c>
      <c r="H428" s="240">
        <v>59970</v>
      </c>
      <c r="I428" s="240">
        <v>383910</v>
      </c>
      <c r="J428" s="271">
        <v>-0.45400000000000024</v>
      </c>
      <c r="K428" s="2">
        <v>116465</v>
      </c>
      <c r="L428" s="240">
        <v>35635</v>
      </c>
      <c r="M428" s="240">
        <v>256846</v>
      </c>
      <c r="N428" s="240">
        <v>63895</v>
      </c>
      <c r="O428" s="240">
        <v>24335</v>
      </c>
      <c r="P428" s="240">
        <v>127064</v>
      </c>
      <c r="Q428" s="243">
        <v>10022148</v>
      </c>
      <c r="R428" s="244">
        <v>6.3753800392150879</v>
      </c>
      <c r="S428" s="244">
        <v>2.4281222820281982</v>
      </c>
      <c r="T428" s="244">
        <v>12.678319931030273</v>
      </c>
    </row>
    <row r="429" spans="2:20">
      <c r="B429" s="240" t="s">
        <v>514</v>
      </c>
      <c r="C429" s="240" t="s">
        <v>282</v>
      </c>
      <c r="D429" s="240" t="s">
        <v>502</v>
      </c>
      <c r="E429" s="272" t="s">
        <v>522</v>
      </c>
      <c r="F429" s="241" t="s">
        <v>281</v>
      </c>
      <c r="G429" s="240">
        <v>60120</v>
      </c>
      <c r="H429" s="240">
        <v>19990</v>
      </c>
      <c r="I429" s="240">
        <v>127970</v>
      </c>
      <c r="J429" s="271">
        <v>-0.182</v>
      </c>
      <c r="K429" s="2">
        <v>48561</v>
      </c>
      <c r="L429" s="240">
        <v>14784</v>
      </c>
      <c r="M429" s="240">
        <v>107107</v>
      </c>
      <c r="N429" s="240">
        <v>11559</v>
      </c>
      <c r="O429" s="240">
        <v>5206</v>
      </c>
      <c r="P429" s="240">
        <v>20863</v>
      </c>
      <c r="Q429" s="243">
        <v>1076644</v>
      </c>
      <c r="R429" s="244">
        <v>10.736139297485352</v>
      </c>
      <c r="S429" s="244">
        <v>4.8353958129882813</v>
      </c>
      <c r="T429" s="244">
        <v>19.3778076171875</v>
      </c>
    </row>
    <row r="430" spans="2:20">
      <c r="B430" s="240" t="s">
        <v>514</v>
      </c>
      <c r="C430" s="240" t="s">
        <v>282</v>
      </c>
      <c r="D430" s="240" t="s">
        <v>201</v>
      </c>
      <c r="E430" s="240" t="s">
        <v>524</v>
      </c>
      <c r="F430" s="241" t="s">
        <v>281</v>
      </c>
      <c r="G430" s="240">
        <v>120240</v>
      </c>
      <c r="H430" s="240">
        <v>39980</v>
      </c>
      <c r="I430" s="240">
        <v>255940</v>
      </c>
      <c r="J430" s="271">
        <v>-9.0999999999999984E-2</v>
      </c>
      <c r="K430" s="2">
        <v>86444</v>
      </c>
      <c r="L430" s="240">
        <v>26522</v>
      </c>
      <c r="M430" s="240">
        <v>189984</v>
      </c>
      <c r="N430" s="240">
        <v>33796</v>
      </c>
      <c r="O430" s="240">
        <v>13458</v>
      </c>
      <c r="P430" s="240">
        <v>65956</v>
      </c>
      <c r="Q430" s="243">
        <v>1521688</v>
      </c>
      <c r="R430" s="244">
        <v>22.20954704284668</v>
      </c>
      <c r="S430" s="244">
        <v>8.8441257476806641</v>
      </c>
      <c r="T430" s="244">
        <v>43.343971252441406</v>
      </c>
    </row>
    <row r="431" spans="2:20">
      <c r="B431" s="240" t="s">
        <v>514</v>
      </c>
      <c r="C431" s="240" t="s">
        <v>282</v>
      </c>
      <c r="D431" s="240" t="s">
        <v>520</v>
      </c>
      <c r="E431" s="240" t="s">
        <v>523</v>
      </c>
      <c r="F431" s="241" t="s">
        <v>281</v>
      </c>
      <c r="G431" s="240">
        <v>180360</v>
      </c>
      <c r="H431" s="240">
        <v>59970</v>
      </c>
      <c r="I431" s="240">
        <v>383910</v>
      </c>
      <c r="J431" s="271">
        <v>-0.27299999999999996</v>
      </c>
      <c r="K431" s="2">
        <v>135005</v>
      </c>
      <c r="L431" s="240">
        <v>41306</v>
      </c>
      <c r="M431" s="240">
        <v>297091</v>
      </c>
      <c r="N431" s="240">
        <v>45355</v>
      </c>
      <c r="O431" s="240">
        <v>18664</v>
      </c>
      <c r="P431" s="240">
        <v>86819</v>
      </c>
      <c r="Q431" s="243">
        <v>2598332</v>
      </c>
      <c r="R431" s="244">
        <v>17.455429077148438</v>
      </c>
      <c r="S431" s="244">
        <v>7.1830697059631348</v>
      </c>
      <c r="T431" s="244">
        <v>33.413360595703125</v>
      </c>
    </row>
    <row r="432" spans="2:20">
      <c r="B432" s="240" t="s">
        <v>514</v>
      </c>
      <c r="C432" s="240" t="s">
        <v>77</v>
      </c>
      <c r="D432" s="240" t="s">
        <v>502</v>
      </c>
      <c r="E432" s="272" t="s">
        <v>522</v>
      </c>
      <c r="F432" s="241" t="s">
        <v>281</v>
      </c>
      <c r="G432" s="240">
        <v>60120</v>
      </c>
      <c r="H432" s="240">
        <v>19990</v>
      </c>
      <c r="I432" s="240">
        <v>127970</v>
      </c>
      <c r="J432" s="271">
        <v>-5.4000000000000006E-2</v>
      </c>
      <c r="K432" s="2">
        <v>51861</v>
      </c>
      <c r="L432" s="240">
        <v>15623</v>
      </c>
      <c r="M432" s="240">
        <v>115072</v>
      </c>
      <c r="N432" s="240">
        <v>8259</v>
      </c>
      <c r="O432" s="240">
        <v>4367</v>
      </c>
      <c r="P432" s="240">
        <v>12898</v>
      </c>
      <c r="Q432" s="243">
        <v>1821516</v>
      </c>
      <c r="R432" s="244">
        <v>4.5341353416442871</v>
      </c>
      <c r="S432" s="244">
        <v>2.3974535465240479</v>
      </c>
      <c r="T432" s="244">
        <v>7.0809149742126465</v>
      </c>
    </row>
    <row r="433" spans="2:23">
      <c r="B433" s="240" t="s">
        <v>514</v>
      </c>
      <c r="C433" s="240" t="s">
        <v>77</v>
      </c>
      <c r="D433" s="240" t="s">
        <v>201</v>
      </c>
      <c r="E433" s="240" t="s">
        <v>524</v>
      </c>
      <c r="F433" s="241" t="s">
        <v>281</v>
      </c>
      <c r="G433" s="240">
        <v>120240</v>
      </c>
      <c r="H433" s="240">
        <v>39980</v>
      </c>
      <c r="I433" s="240">
        <v>255940</v>
      </c>
      <c r="J433" s="271">
        <v>-8.0000000000000019E-3</v>
      </c>
      <c r="K433" s="2">
        <v>102063</v>
      </c>
      <c r="L433" s="240">
        <v>30807</v>
      </c>
      <c r="M433" s="240">
        <v>225468</v>
      </c>
      <c r="N433" s="240">
        <v>18177</v>
      </c>
      <c r="O433" s="240">
        <v>9173</v>
      </c>
      <c r="P433" s="240">
        <v>30472</v>
      </c>
      <c r="Q433" s="243">
        <v>1794453</v>
      </c>
      <c r="R433" s="244">
        <v>10.129549026489258</v>
      </c>
      <c r="S433" s="244">
        <v>5.1118640899658203</v>
      </c>
      <c r="T433" s="244">
        <v>16.981220245361328</v>
      </c>
    </row>
    <row r="434" spans="2:23">
      <c r="B434" s="240" t="s">
        <v>514</v>
      </c>
      <c r="C434" s="240" t="s">
        <v>77</v>
      </c>
      <c r="D434" s="240" t="s">
        <v>520</v>
      </c>
      <c r="E434" s="240" t="s">
        <v>523</v>
      </c>
      <c r="F434" s="241" t="s">
        <v>281</v>
      </c>
      <c r="G434" s="240">
        <v>180360</v>
      </c>
      <c r="H434" s="240">
        <v>59970</v>
      </c>
      <c r="I434" s="240">
        <v>383910</v>
      </c>
      <c r="J434" s="271">
        <v>-6.2000000000000027E-2</v>
      </c>
      <c r="K434" s="2">
        <v>153924</v>
      </c>
      <c r="L434" s="240">
        <v>46430</v>
      </c>
      <c r="M434" s="240">
        <v>340540</v>
      </c>
      <c r="N434" s="240">
        <v>26436</v>
      </c>
      <c r="O434" s="240">
        <v>13540</v>
      </c>
      <c r="P434" s="240">
        <v>43370</v>
      </c>
      <c r="Q434" s="243">
        <v>3615969</v>
      </c>
      <c r="R434" s="244">
        <v>7.3109035491943359</v>
      </c>
      <c r="S434" s="244">
        <v>3.7445011138916016</v>
      </c>
      <c r="T434" s="244">
        <v>11.9940185546875</v>
      </c>
    </row>
    <row r="435" spans="2:23">
      <c r="B435" s="240" t="s">
        <v>514</v>
      </c>
      <c r="C435" s="240" t="s">
        <v>121</v>
      </c>
      <c r="D435" s="240" t="s">
        <v>502</v>
      </c>
      <c r="E435" s="272" t="s">
        <v>522</v>
      </c>
      <c r="F435" s="241" t="s">
        <v>281</v>
      </c>
      <c r="G435" s="240">
        <v>60120</v>
      </c>
      <c r="H435" s="240">
        <v>19990</v>
      </c>
      <c r="I435" s="240">
        <v>127970</v>
      </c>
      <c r="J435" s="271">
        <v>-0.1</v>
      </c>
      <c r="K435" s="2">
        <v>50865</v>
      </c>
      <c r="L435" s="240">
        <v>15380</v>
      </c>
      <c r="M435" s="240">
        <v>112308</v>
      </c>
      <c r="N435" s="240">
        <v>9255</v>
      </c>
      <c r="O435" s="240">
        <v>4610</v>
      </c>
      <c r="P435" s="240">
        <v>15662</v>
      </c>
      <c r="Q435" s="243">
        <v>920267</v>
      </c>
      <c r="R435" s="244">
        <v>10.056863784790039</v>
      </c>
      <c r="S435" s="244">
        <v>5.0094156265258789</v>
      </c>
      <c r="T435" s="244">
        <v>17.018974304199219</v>
      </c>
    </row>
    <row r="436" spans="2:23">
      <c r="B436" s="240" t="s">
        <v>514</v>
      </c>
      <c r="C436" s="240" t="s">
        <v>121</v>
      </c>
      <c r="D436" s="240" t="s">
        <v>201</v>
      </c>
      <c r="E436" s="240" t="s">
        <v>524</v>
      </c>
      <c r="F436" s="241" t="s">
        <v>281</v>
      </c>
      <c r="G436" s="240">
        <v>120240</v>
      </c>
      <c r="H436" s="240">
        <v>39980</v>
      </c>
      <c r="I436" s="240">
        <v>255940</v>
      </c>
      <c r="J436" s="271">
        <v>-2.0000000000000004E-2</v>
      </c>
      <c r="K436" s="2">
        <v>97511</v>
      </c>
      <c r="L436" s="240">
        <v>29714</v>
      </c>
      <c r="M436" s="240">
        <v>214447</v>
      </c>
      <c r="N436" s="240">
        <v>22729</v>
      </c>
      <c r="O436" s="240">
        <v>10266</v>
      </c>
      <c r="P436" s="240">
        <v>41493</v>
      </c>
      <c r="Q436" s="243">
        <v>997748</v>
      </c>
      <c r="R436" s="244">
        <v>22.780302047729492</v>
      </c>
      <c r="S436" s="244">
        <v>10.28917121887207</v>
      </c>
      <c r="T436" s="244">
        <v>41.586654663085938</v>
      </c>
    </row>
    <row r="437" spans="2:23">
      <c r="B437" s="240" t="s">
        <v>514</v>
      </c>
      <c r="C437" s="240" t="s">
        <v>121</v>
      </c>
      <c r="D437" s="240" t="s">
        <v>520</v>
      </c>
      <c r="E437" s="240" t="s">
        <v>523</v>
      </c>
      <c r="F437" s="241" t="s">
        <v>281</v>
      </c>
      <c r="G437" s="240">
        <v>180360</v>
      </c>
      <c r="H437" s="240">
        <v>59970</v>
      </c>
      <c r="I437" s="240">
        <v>383910</v>
      </c>
      <c r="J437" s="271">
        <v>-0.12000000000000002</v>
      </c>
      <c r="K437" s="2">
        <v>148376</v>
      </c>
      <c r="L437" s="240">
        <v>45094</v>
      </c>
      <c r="M437" s="240">
        <v>326755</v>
      </c>
      <c r="N437" s="240">
        <v>31984</v>
      </c>
      <c r="O437" s="240">
        <v>14876</v>
      </c>
      <c r="P437" s="240">
        <v>57155</v>
      </c>
      <c r="Q437" s="243">
        <v>1918015</v>
      </c>
      <c r="R437" s="244">
        <v>16.675573348999023</v>
      </c>
      <c r="S437" s="244">
        <v>7.7559351921081543</v>
      </c>
      <c r="T437" s="244">
        <v>29.799037933349609</v>
      </c>
    </row>
    <row r="438" spans="2:23">
      <c r="B438" s="240" t="s">
        <v>514</v>
      </c>
      <c r="C438" s="240" t="s">
        <v>122</v>
      </c>
      <c r="D438" s="240" t="s">
        <v>502</v>
      </c>
      <c r="E438" s="272" t="s">
        <v>522</v>
      </c>
      <c r="F438" s="241" t="s">
        <v>281</v>
      </c>
      <c r="G438" s="240">
        <v>60120</v>
      </c>
      <c r="H438" s="240">
        <v>19990</v>
      </c>
      <c r="I438" s="240">
        <v>127970</v>
      </c>
      <c r="J438" s="271">
        <v>-0.06</v>
      </c>
      <c r="K438" s="2">
        <v>51751</v>
      </c>
      <c r="L438" s="240">
        <v>15578</v>
      </c>
      <c r="M438" s="240">
        <v>114743</v>
      </c>
      <c r="N438" s="240">
        <v>8369</v>
      </c>
      <c r="O438" s="240">
        <v>4412</v>
      </c>
      <c r="P438" s="240">
        <v>13227</v>
      </c>
      <c r="Q438" s="243">
        <v>930018</v>
      </c>
      <c r="R438" s="244">
        <v>8.9987506866455078</v>
      </c>
      <c r="S438" s="244">
        <v>4.7439942359924316</v>
      </c>
      <c r="T438" s="244">
        <v>14.222305297851563</v>
      </c>
    </row>
    <row r="439" spans="2:23">
      <c r="B439" s="240" t="s">
        <v>514</v>
      </c>
      <c r="C439" s="240" t="s">
        <v>122</v>
      </c>
      <c r="D439" s="240" t="s">
        <v>201</v>
      </c>
      <c r="E439" s="240" t="s">
        <v>524</v>
      </c>
      <c r="F439" s="241" t="s">
        <v>281</v>
      </c>
      <c r="G439" s="240">
        <v>120240</v>
      </c>
      <c r="H439" s="240">
        <v>39980</v>
      </c>
      <c r="I439" s="240">
        <v>255940</v>
      </c>
      <c r="J439" s="271">
        <v>-2.9999999999999995E-2</v>
      </c>
      <c r="K439" s="2">
        <v>100535</v>
      </c>
      <c r="L439" s="240">
        <v>30477</v>
      </c>
      <c r="M439" s="240">
        <v>221489</v>
      </c>
      <c r="N439" s="240">
        <v>19705</v>
      </c>
      <c r="O439" s="240">
        <v>9503</v>
      </c>
      <c r="P439" s="240">
        <v>34451</v>
      </c>
      <c r="Q439" s="243">
        <v>959822</v>
      </c>
      <c r="R439" s="244">
        <v>20.529848098754883</v>
      </c>
      <c r="S439" s="244">
        <v>9.9007940292358398</v>
      </c>
      <c r="T439" s="244">
        <v>35.893112182617188</v>
      </c>
    </row>
    <row r="440" spans="2:23">
      <c r="B440" s="240" t="s">
        <v>514</v>
      </c>
      <c r="C440" s="240" t="s">
        <v>122</v>
      </c>
      <c r="D440" s="240" t="s">
        <v>520</v>
      </c>
      <c r="E440" s="240" t="s">
        <v>523</v>
      </c>
      <c r="F440" s="241" t="s">
        <v>281</v>
      </c>
      <c r="G440" s="240">
        <v>180360</v>
      </c>
      <c r="H440" s="240">
        <v>59970</v>
      </c>
      <c r="I440" s="240">
        <v>383910</v>
      </c>
      <c r="J440" s="271">
        <v>-9.0000000000000024E-2</v>
      </c>
      <c r="K440" s="2">
        <v>152286</v>
      </c>
      <c r="L440" s="240">
        <v>46055</v>
      </c>
      <c r="M440" s="240">
        <v>336232</v>
      </c>
      <c r="N440" s="240">
        <v>28074</v>
      </c>
      <c r="O440" s="240">
        <v>13915</v>
      </c>
      <c r="P440" s="240">
        <v>47678</v>
      </c>
      <c r="Q440" s="243">
        <v>1889840</v>
      </c>
      <c r="R440" s="244">
        <v>14.855225563049316</v>
      </c>
      <c r="S440" s="244">
        <v>7.3630571365356445</v>
      </c>
      <c r="T440" s="244">
        <v>25.22859001159668</v>
      </c>
    </row>
    <row r="441" spans="2:23">
      <c r="B441" s="240"/>
      <c r="C441" s="240"/>
      <c r="D441" s="240"/>
      <c r="E441" s="241"/>
      <c r="F441" s="241"/>
      <c r="G441" s="240"/>
      <c r="H441" s="240"/>
      <c r="I441" s="240"/>
      <c r="J441" s="240"/>
      <c r="K441" s="240"/>
      <c r="L441" s="240"/>
      <c r="M441" s="242"/>
      <c r="N441" s="240"/>
      <c r="O441" s="240"/>
      <c r="P441" s="240"/>
      <c r="Q441" s="240"/>
      <c r="R441" s="240"/>
      <c r="S441" s="240"/>
      <c r="T441" s="243"/>
      <c r="U441" s="244"/>
      <c r="V441" s="244"/>
      <c r="W441" s="244"/>
    </row>
    <row r="442" spans="2:23">
      <c r="B442" s="240"/>
      <c r="C442" s="240"/>
      <c r="D442" s="240"/>
      <c r="E442" s="241"/>
      <c r="F442" s="241"/>
      <c r="G442" s="240"/>
      <c r="H442" s="240"/>
      <c r="I442" s="240"/>
      <c r="J442" s="240"/>
      <c r="K442" s="240"/>
      <c r="L442" s="240"/>
      <c r="M442" s="242"/>
      <c r="N442" s="240"/>
      <c r="O442" s="240"/>
      <c r="P442" s="240"/>
      <c r="Q442" s="240"/>
      <c r="R442" s="240"/>
      <c r="S442" s="240"/>
      <c r="T442" s="243"/>
      <c r="U442" s="244"/>
      <c r="V442" s="244"/>
      <c r="W442" s="244"/>
    </row>
  </sheetData>
  <pageMargins left="0.7" right="0.7" top="0.75" bottom="0.75" header="0.3" footer="0.3"/>
  <pageSetup orientation="portrait" horizontalDpi="0" verticalDpi="0"/>
  <drawing r:id="rId1"/>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430"/>
  <sheetViews>
    <sheetView workbookViewId="0"/>
  </sheetViews>
  <sheetFormatPr defaultColWidth="8.85546875" defaultRowHeight="15"/>
  <cols>
    <col min="1" max="1" width="8.85546875" style="1"/>
    <col min="2" max="2" width="44.140625" style="1" customWidth="1"/>
    <col min="3" max="3" width="44.85546875" style="1" customWidth="1"/>
    <col min="4" max="4" width="22.7109375" style="1" customWidth="1"/>
    <col min="5" max="5" width="30.7109375" style="1" customWidth="1"/>
    <col min="6" max="6" width="28.140625" style="1" customWidth="1"/>
    <col min="7" max="7" width="27.28515625" style="1" customWidth="1"/>
    <col min="8" max="8" width="25" style="1" customWidth="1"/>
    <col min="9" max="9" width="27.140625" style="1" customWidth="1"/>
    <col min="10" max="10" width="25.28515625" style="1" customWidth="1"/>
    <col min="11" max="12" width="27.28515625" style="1" customWidth="1"/>
    <col min="13" max="13" width="25.28515625" style="1" customWidth="1"/>
    <col min="14" max="14" width="26.42578125" style="1" customWidth="1"/>
    <col min="15" max="15" width="26.7109375" style="1" customWidth="1"/>
    <col min="16" max="16" width="25.85546875" style="1" customWidth="1"/>
    <col min="17" max="17" width="20.42578125" style="1" customWidth="1"/>
    <col min="18" max="18" width="28.28515625" style="1" customWidth="1"/>
    <col min="19" max="19" width="26.7109375" style="1" customWidth="1"/>
    <col min="20" max="20" width="29.140625" style="1" customWidth="1"/>
    <col min="21" max="21" width="45.85546875" style="1" customWidth="1"/>
    <col min="22" max="22" width="57.28515625" style="1" customWidth="1"/>
    <col min="23" max="23" width="57.42578125" style="1" customWidth="1"/>
    <col min="24" max="24" width="16.42578125" style="1" bestFit="1" customWidth="1"/>
    <col min="25" max="25" width="17.42578125" style="1" bestFit="1" customWidth="1"/>
    <col min="26" max="26" width="16.7109375" style="1" bestFit="1" customWidth="1"/>
    <col min="27" max="27" width="18.140625" style="1" bestFit="1" customWidth="1"/>
    <col min="28" max="28" width="17.42578125" style="1" bestFit="1" customWidth="1"/>
    <col min="29" max="29" width="18.140625" style="1" bestFit="1" customWidth="1"/>
    <col min="30" max="30" width="19" style="1" bestFit="1" customWidth="1"/>
    <col min="31" max="31" width="18.28515625" style="1" bestFit="1" customWidth="1"/>
    <col min="32" max="32" width="19.7109375" style="1" bestFit="1" customWidth="1"/>
    <col min="33" max="33" width="40.28515625" style="1" customWidth="1"/>
    <col min="34" max="34" width="6.42578125" style="1" bestFit="1" customWidth="1"/>
    <col min="35" max="35" width="13.42578125" style="1" bestFit="1" customWidth="1"/>
    <col min="36" max="36" width="12.140625" style="1" bestFit="1" customWidth="1"/>
    <col min="37" max="37" width="17.42578125" style="1" bestFit="1" customWidth="1"/>
    <col min="38" max="38" width="15.85546875" style="1" bestFit="1" customWidth="1"/>
    <col min="39" max="39" width="16.42578125" style="1" bestFit="1" customWidth="1"/>
    <col min="40" max="40" width="17.42578125" style="1" bestFit="1" customWidth="1"/>
    <col min="41" max="41" width="16.7109375" style="1" bestFit="1" customWidth="1"/>
    <col min="42" max="42" width="18.140625" style="1" bestFit="1" customWidth="1"/>
    <col min="43" max="43" width="17.42578125" style="1" bestFit="1" customWidth="1"/>
    <col min="44" max="44" width="18.140625" style="1" bestFit="1" customWidth="1"/>
    <col min="45" max="45" width="19" style="1" bestFit="1" customWidth="1"/>
    <col min="46" max="46" width="18.28515625" style="1" bestFit="1" customWidth="1"/>
    <col min="47" max="47" width="19.7109375" style="1" bestFit="1" customWidth="1"/>
    <col min="48" max="16384" width="8.85546875" style="1"/>
  </cols>
  <sheetData>
    <row r="2" spans="2:2" ht="23.25">
      <c r="B2" s="163" t="s">
        <v>608</v>
      </c>
    </row>
    <row r="4" spans="2:2" ht="15.75">
      <c r="B4" s="282"/>
    </row>
    <row r="5" spans="2:2" ht="15.75">
      <c r="B5" s="282"/>
    </row>
    <row r="6" spans="2:2" ht="15.75">
      <c r="B6" s="282"/>
    </row>
    <row r="7" spans="2:2" ht="15.75">
      <c r="B7" s="282"/>
    </row>
    <row r="8" spans="2:2" ht="15.75">
      <c r="B8" s="282"/>
    </row>
    <row r="9" spans="2:2" ht="15.75">
      <c r="B9" s="282"/>
    </row>
    <row r="10" spans="2:2" ht="19.5">
      <c r="B10" s="273" t="s">
        <v>527</v>
      </c>
    </row>
    <row r="30" spans="2:15">
      <c r="B30" s="263" t="s">
        <v>250</v>
      </c>
      <c r="C30" s="263" t="s">
        <v>516</v>
      </c>
      <c r="D30" s="263" t="s">
        <v>526</v>
      </c>
      <c r="E30" s="263" t="s">
        <v>501</v>
      </c>
      <c r="F30" s="263" t="s">
        <v>513</v>
      </c>
      <c r="G30" s="263" t="s">
        <v>514</v>
      </c>
      <c r="J30"/>
      <c r="K30"/>
      <c r="L30"/>
    </row>
    <row r="31" spans="2:15" ht="30">
      <c r="B31" s="293" t="s">
        <v>279</v>
      </c>
      <c r="C31" s="294" t="s">
        <v>559</v>
      </c>
      <c r="D31" s="295">
        <v>1</v>
      </c>
      <c r="E31" s="295" t="s">
        <v>515</v>
      </c>
      <c r="F31" s="295" t="s">
        <v>515</v>
      </c>
      <c r="G31" s="296"/>
      <c r="I31"/>
      <c r="J31"/>
      <c r="K31"/>
      <c r="L31"/>
      <c r="O31"/>
    </row>
    <row r="32" spans="2:15" ht="36.950000000000003" customHeight="1">
      <c r="B32" s="293" t="s">
        <v>270</v>
      </c>
      <c r="C32" s="294" t="s">
        <v>549</v>
      </c>
      <c r="D32" s="295">
        <v>2</v>
      </c>
      <c r="E32" s="295" t="s">
        <v>515</v>
      </c>
      <c r="F32" s="295" t="s">
        <v>515</v>
      </c>
      <c r="G32" s="295" t="s">
        <v>515</v>
      </c>
      <c r="I32"/>
      <c r="J32"/>
      <c r="K32"/>
      <c r="L32"/>
      <c r="O32"/>
    </row>
    <row r="33" spans="2:26">
      <c r="B33" s="293" t="s">
        <v>268</v>
      </c>
      <c r="C33" s="294" t="s">
        <v>547</v>
      </c>
      <c r="D33" s="295">
        <v>3</v>
      </c>
      <c r="E33" s="295" t="s">
        <v>515</v>
      </c>
      <c r="F33" s="295" t="s">
        <v>515</v>
      </c>
      <c r="G33" s="295"/>
      <c r="J33"/>
      <c r="K33"/>
      <c r="L33"/>
      <c r="O33"/>
    </row>
    <row r="34" spans="2:26">
      <c r="B34" s="293" t="s">
        <v>260</v>
      </c>
      <c r="C34" s="294" t="s">
        <v>539</v>
      </c>
      <c r="D34" s="295">
        <v>5</v>
      </c>
      <c r="E34" s="295" t="s">
        <v>515</v>
      </c>
      <c r="F34" s="295" t="s">
        <v>515</v>
      </c>
      <c r="G34" s="295"/>
      <c r="J34"/>
      <c r="K34"/>
      <c r="L34"/>
      <c r="O34"/>
      <c r="Y34"/>
      <c r="Z34"/>
    </row>
    <row r="35" spans="2:26">
      <c r="B35" s="293" t="s">
        <v>266</v>
      </c>
      <c r="C35" s="294" t="s">
        <v>545</v>
      </c>
      <c r="D35" s="295">
        <v>6</v>
      </c>
      <c r="E35" s="295" t="s">
        <v>515</v>
      </c>
      <c r="F35" s="295" t="s">
        <v>515</v>
      </c>
      <c r="G35" s="295"/>
      <c r="J35"/>
      <c r="K35"/>
      <c r="L35"/>
      <c r="O35"/>
    </row>
    <row r="36" spans="2:26">
      <c r="B36" s="293" t="s">
        <v>277</v>
      </c>
      <c r="C36" s="294" t="s">
        <v>557</v>
      </c>
      <c r="D36" s="295">
        <v>7</v>
      </c>
      <c r="E36" s="295" t="s">
        <v>515</v>
      </c>
      <c r="F36" s="295" t="s">
        <v>515</v>
      </c>
      <c r="G36" s="295"/>
      <c r="J36"/>
      <c r="K36"/>
      <c r="L36"/>
      <c r="O36"/>
    </row>
    <row r="37" spans="2:26">
      <c r="B37" s="293" t="s">
        <v>258</v>
      </c>
      <c r="C37" s="294" t="s">
        <v>537</v>
      </c>
      <c r="D37" s="295">
        <v>8</v>
      </c>
      <c r="E37" s="295" t="s">
        <v>515</v>
      </c>
      <c r="F37" s="295" t="s">
        <v>515</v>
      </c>
      <c r="G37" s="295"/>
      <c r="J37"/>
      <c r="K37"/>
      <c r="L37"/>
      <c r="O37"/>
    </row>
    <row r="38" spans="2:26">
      <c r="B38" s="293" t="s">
        <v>269</v>
      </c>
      <c r="C38" s="294" t="s">
        <v>548</v>
      </c>
      <c r="D38" s="295">
        <v>9</v>
      </c>
      <c r="E38" s="295" t="s">
        <v>515</v>
      </c>
      <c r="F38" s="295" t="s">
        <v>515</v>
      </c>
      <c r="G38" s="295"/>
      <c r="I38"/>
      <c r="J38"/>
      <c r="K38"/>
      <c r="L38"/>
      <c r="O38"/>
    </row>
    <row r="39" spans="2:26">
      <c r="B39" s="293" t="s">
        <v>273</v>
      </c>
      <c r="C39" s="294" t="s">
        <v>553</v>
      </c>
      <c r="D39" s="295">
        <v>10</v>
      </c>
      <c r="E39" s="295" t="s">
        <v>515</v>
      </c>
      <c r="F39" s="295" t="s">
        <v>515</v>
      </c>
      <c r="G39" s="295"/>
      <c r="J39"/>
      <c r="K39"/>
      <c r="L39"/>
      <c r="O39"/>
    </row>
    <row r="40" spans="2:26">
      <c r="B40" s="293" t="s">
        <v>278</v>
      </c>
      <c r="C40" s="294" t="s">
        <v>558</v>
      </c>
      <c r="D40" s="295">
        <v>11</v>
      </c>
      <c r="E40" s="295" t="s">
        <v>515</v>
      </c>
      <c r="F40" s="295" t="s">
        <v>515</v>
      </c>
      <c r="G40" s="295" t="s">
        <v>515</v>
      </c>
      <c r="J40"/>
      <c r="K40"/>
      <c r="L40"/>
      <c r="O40"/>
    </row>
    <row r="41" spans="2:26">
      <c r="B41" s="293" t="s">
        <v>256</v>
      </c>
      <c r="C41" s="294" t="s">
        <v>535</v>
      </c>
      <c r="D41" s="295">
        <v>12</v>
      </c>
      <c r="E41" s="295" t="s">
        <v>515</v>
      </c>
      <c r="F41" s="295" t="s">
        <v>515</v>
      </c>
      <c r="G41" s="295"/>
      <c r="J41"/>
      <c r="K41"/>
      <c r="L41"/>
      <c r="O41"/>
    </row>
    <row r="42" spans="2:26">
      <c r="B42" s="293" t="s">
        <v>265</v>
      </c>
      <c r="C42" s="294" t="s">
        <v>544</v>
      </c>
      <c r="D42" s="295">
        <v>13</v>
      </c>
      <c r="E42" s="295" t="s">
        <v>515</v>
      </c>
      <c r="F42" s="295" t="s">
        <v>515</v>
      </c>
      <c r="G42" s="295"/>
      <c r="J42"/>
      <c r="K42"/>
      <c r="L42"/>
      <c r="O42"/>
    </row>
    <row r="43" spans="2:26">
      <c r="B43" s="293" t="s">
        <v>255</v>
      </c>
      <c r="C43" s="294" t="s">
        <v>534</v>
      </c>
      <c r="D43" s="295">
        <v>14</v>
      </c>
      <c r="E43" s="295" t="s">
        <v>515</v>
      </c>
      <c r="F43" s="295" t="s">
        <v>515</v>
      </c>
      <c r="G43" s="295"/>
      <c r="J43"/>
      <c r="K43"/>
      <c r="L43"/>
      <c r="O43"/>
    </row>
    <row r="44" spans="2:26">
      <c r="B44" s="293" t="s">
        <v>267</v>
      </c>
      <c r="C44" s="294" t="s">
        <v>546</v>
      </c>
      <c r="D44" s="295">
        <v>15</v>
      </c>
      <c r="E44" s="295" t="s">
        <v>515</v>
      </c>
      <c r="F44" s="295" t="s">
        <v>515</v>
      </c>
      <c r="G44" s="295"/>
      <c r="J44"/>
      <c r="K44"/>
      <c r="L44"/>
      <c r="O44"/>
    </row>
    <row r="45" spans="2:26">
      <c r="B45" s="293" t="s">
        <v>263</v>
      </c>
      <c r="C45" s="294" t="s">
        <v>542</v>
      </c>
      <c r="D45" s="295">
        <v>16</v>
      </c>
      <c r="E45" s="295" t="s">
        <v>515</v>
      </c>
      <c r="F45" s="295" t="s">
        <v>515</v>
      </c>
      <c r="G45" s="295" t="s">
        <v>515</v>
      </c>
      <c r="J45"/>
      <c r="K45"/>
      <c r="L45"/>
      <c r="O45"/>
    </row>
    <row r="46" spans="2:26">
      <c r="B46" s="293" t="s">
        <v>264</v>
      </c>
      <c r="C46" s="294" t="s">
        <v>543</v>
      </c>
      <c r="D46" s="295">
        <v>17</v>
      </c>
      <c r="E46" s="295" t="s">
        <v>515</v>
      </c>
      <c r="F46" s="295" t="s">
        <v>515</v>
      </c>
      <c r="G46" s="295" t="s">
        <v>515</v>
      </c>
      <c r="I46"/>
      <c r="J46"/>
      <c r="K46"/>
      <c r="L46"/>
      <c r="O46"/>
    </row>
    <row r="47" spans="2:26">
      <c r="B47" s="293" t="s">
        <v>261</v>
      </c>
      <c r="C47" s="294" t="s">
        <v>540</v>
      </c>
      <c r="D47" s="295">
        <v>18</v>
      </c>
      <c r="E47" s="295" t="s">
        <v>515</v>
      </c>
      <c r="F47" s="295" t="s">
        <v>515</v>
      </c>
      <c r="G47" s="295" t="s">
        <v>515</v>
      </c>
      <c r="L47"/>
      <c r="O47"/>
    </row>
    <row r="48" spans="2:26">
      <c r="B48" s="293" t="s">
        <v>262</v>
      </c>
      <c r="C48" s="294" t="s">
        <v>541</v>
      </c>
      <c r="D48" s="295">
        <v>19</v>
      </c>
      <c r="E48" s="295" t="s">
        <v>515</v>
      </c>
      <c r="F48" s="295" t="s">
        <v>515</v>
      </c>
      <c r="G48" s="295"/>
      <c r="I48"/>
      <c r="L48"/>
      <c r="O48"/>
    </row>
    <row r="49" spans="2:15">
      <c r="B49" s="293" t="s">
        <v>254</v>
      </c>
      <c r="C49" s="294" t="s">
        <v>533</v>
      </c>
      <c r="D49" s="295">
        <v>20</v>
      </c>
      <c r="E49" s="295" t="s">
        <v>515</v>
      </c>
      <c r="F49" s="295" t="s">
        <v>515</v>
      </c>
      <c r="G49" s="295"/>
      <c r="L49"/>
      <c r="O49"/>
    </row>
    <row r="50" spans="2:15" ht="50.1" customHeight="1">
      <c r="B50" s="293" t="s">
        <v>528</v>
      </c>
      <c r="C50" s="294" t="s">
        <v>551</v>
      </c>
      <c r="D50" s="295">
        <v>22</v>
      </c>
      <c r="E50" s="295" t="s">
        <v>515</v>
      </c>
      <c r="F50" s="295" t="s">
        <v>515</v>
      </c>
      <c r="G50" s="295"/>
      <c r="J50"/>
      <c r="K50"/>
      <c r="L50"/>
      <c r="O50"/>
    </row>
    <row r="51" spans="2:15">
      <c r="B51" s="293" t="s">
        <v>257</v>
      </c>
      <c r="C51" s="294" t="s">
        <v>536</v>
      </c>
      <c r="D51" s="295">
        <v>23</v>
      </c>
      <c r="E51" s="295" t="s">
        <v>515</v>
      </c>
      <c r="F51" s="295" t="s">
        <v>515</v>
      </c>
      <c r="G51" s="295" t="s">
        <v>515</v>
      </c>
      <c r="J51"/>
      <c r="K51"/>
      <c r="L51"/>
      <c r="O51"/>
    </row>
    <row r="52" spans="2:15">
      <c r="B52" s="293" t="s">
        <v>253</v>
      </c>
      <c r="C52" s="294" t="s">
        <v>532</v>
      </c>
      <c r="D52" s="295">
        <v>24</v>
      </c>
      <c r="E52" s="295" t="s">
        <v>515</v>
      </c>
      <c r="F52" s="295" t="s">
        <v>515</v>
      </c>
      <c r="G52" s="295"/>
      <c r="I52" s="279"/>
      <c r="J52"/>
      <c r="K52"/>
      <c r="L52"/>
      <c r="O52"/>
    </row>
    <row r="53" spans="2:15" ht="35.1" customHeight="1">
      <c r="B53" s="293" t="s">
        <v>272</v>
      </c>
      <c r="C53" s="294" t="s">
        <v>552</v>
      </c>
      <c r="D53" s="295">
        <v>25</v>
      </c>
      <c r="E53" s="295" t="s">
        <v>515</v>
      </c>
      <c r="F53" s="295" t="s">
        <v>515</v>
      </c>
      <c r="G53" s="295"/>
      <c r="I53"/>
      <c r="J53"/>
      <c r="K53"/>
      <c r="L53"/>
      <c r="O53"/>
    </row>
    <row r="54" spans="2:15" ht="24.95" customHeight="1">
      <c r="B54" s="293" t="s">
        <v>274</v>
      </c>
      <c r="C54" s="294" t="s">
        <v>554</v>
      </c>
      <c r="D54" s="295">
        <v>26</v>
      </c>
      <c r="E54" s="295" t="s">
        <v>515</v>
      </c>
      <c r="F54" s="295" t="s">
        <v>515</v>
      </c>
      <c r="G54" s="295"/>
      <c r="J54"/>
      <c r="K54"/>
      <c r="L54"/>
      <c r="O54"/>
    </row>
    <row r="55" spans="2:15">
      <c r="B55" s="293" t="s">
        <v>259</v>
      </c>
      <c r="C55" s="294" t="s">
        <v>538</v>
      </c>
      <c r="D55" s="295">
        <v>27</v>
      </c>
      <c r="E55" s="295" t="s">
        <v>515</v>
      </c>
      <c r="F55" s="295" t="s">
        <v>515</v>
      </c>
      <c r="G55" s="295" t="s">
        <v>515</v>
      </c>
      <c r="J55"/>
      <c r="K55"/>
      <c r="L55"/>
      <c r="O55"/>
    </row>
    <row r="56" spans="2:15">
      <c r="B56" s="293" t="s">
        <v>275</v>
      </c>
      <c r="C56" s="294" t="s">
        <v>555</v>
      </c>
      <c r="D56" s="295">
        <v>28</v>
      </c>
      <c r="E56" s="295" t="s">
        <v>515</v>
      </c>
      <c r="F56" s="295" t="s">
        <v>515</v>
      </c>
      <c r="G56" s="295"/>
      <c r="J56"/>
      <c r="K56"/>
      <c r="L56"/>
      <c r="O56"/>
    </row>
    <row r="57" spans="2:15">
      <c r="B57" s="293" t="s">
        <v>276</v>
      </c>
      <c r="C57" s="294" t="s">
        <v>556</v>
      </c>
      <c r="D57" s="295">
        <v>29</v>
      </c>
      <c r="E57" s="295" t="s">
        <v>515</v>
      </c>
      <c r="F57" s="295" t="s">
        <v>515</v>
      </c>
      <c r="G57" s="295"/>
      <c r="J57"/>
      <c r="K57"/>
      <c r="L57"/>
      <c r="O57"/>
    </row>
    <row r="58" spans="2:15">
      <c r="B58" s="293" t="s">
        <v>529</v>
      </c>
      <c r="C58" s="294" t="s">
        <v>637</v>
      </c>
      <c r="D58" s="295">
        <v>30</v>
      </c>
      <c r="E58" s="297" t="s">
        <v>515</v>
      </c>
      <c r="F58" s="295" t="s">
        <v>515</v>
      </c>
      <c r="G58" s="295"/>
      <c r="J58"/>
      <c r="K58"/>
      <c r="L58"/>
      <c r="O58"/>
    </row>
    <row r="59" spans="2:15">
      <c r="B59" s="293" t="s">
        <v>530</v>
      </c>
      <c r="C59" s="294" t="s">
        <v>638</v>
      </c>
      <c r="D59" s="295">
        <v>31</v>
      </c>
      <c r="E59" s="295" t="s">
        <v>515</v>
      </c>
      <c r="F59" s="295" t="s">
        <v>515</v>
      </c>
      <c r="G59" s="295"/>
      <c r="J59"/>
      <c r="K59"/>
      <c r="L59"/>
      <c r="O59"/>
    </row>
    <row r="60" spans="2:15">
      <c r="B60" s="274"/>
      <c r="C60" s="274"/>
      <c r="D60" s="264"/>
      <c r="E60" s="264"/>
      <c r="F60" s="264"/>
      <c r="G60" s="276"/>
      <c r="H60" s="17"/>
      <c r="J60"/>
      <c r="K60"/>
      <c r="L60"/>
    </row>
    <row r="61" spans="2:15">
      <c r="B61" s="274"/>
      <c r="C61" s="274"/>
      <c r="D61" s="264"/>
      <c r="E61" s="264"/>
      <c r="F61" s="264"/>
      <c r="G61" s="276"/>
      <c r="H61" s="17"/>
      <c r="J61"/>
      <c r="K61"/>
      <c r="L61"/>
    </row>
    <row r="62" spans="2:15">
      <c r="B62" s="274"/>
      <c r="C62" s="274"/>
      <c r="D62" s="264"/>
      <c r="E62" s="264"/>
      <c r="F62" s="264"/>
      <c r="G62" s="276"/>
      <c r="H62" s="17"/>
      <c r="J62"/>
      <c r="K62"/>
      <c r="L62"/>
    </row>
    <row r="63" spans="2:15">
      <c r="B63" s="274"/>
      <c r="C63" s="274"/>
      <c r="D63" s="264"/>
      <c r="E63" s="264"/>
      <c r="F63" s="264"/>
      <c r="G63" s="276"/>
      <c r="H63" s="17"/>
      <c r="J63"/>
      <c r="K63"/>
      <c r="L63"/>
    </row>
    <row r="64" spans="2:15">
      <c r="B64" s="274"/>
      <c r="C64" s="274"/>
      <c r="D64" s="264"/>
      <c r="E64" s="264"/>
      <c r="F64" s="264"/>
      <c r="G64" s="276"/>
      <c r="H64" s="17"/>
      <c r="J64"/>
      <c r="K64"/>
      <c r="L64"/>
    </row>
    <row r="65" spans="2:12">
      <c r="B65" s="274"/>
      <c r="C65" s="274"/>
      <c r="D65" s="264"/>
      <c r="E65" s="264"/>
      <c r="F65" s="264"/>
      <c r="G65" s="276"/>
      <c r="H65" s="17"/>
      <c r="J65"/>
      <c r="K65"/>
      <c r="L65"/>
    </row>
    <row r="66" spans="2:12">
      <c r="B66" s="274"/>
      <c r="C66" s="274"/>
      <c r="D66" s="264"/>
      <c r="E66" s="264"/>
      <c r="F66" s="264"/>
      <c r="G66" s="276"/>
      <c r="H66" s="17"/>
      <c r="J66"/>
      <c r="K66"/>
      <c r="L66"/>
    </row>
    <row r="67" spans="2:12">
      <c r="B67" s="274"/>
      <c r="C67" s="274"/>
      <c r="D67" s="264"/>
      <c r="E67" s="264"/>
      <c r="F67" s="264"/>
      <c r="G67" s="276"/>
      <c r="H67" s="17"/>
      <c r="J67"/>
      <c r="K67"/>
      <c r="L67"/>
    </row>
    <row r="68" spans="2:12">
      <c r="B68" s="274"/>
      <c r="C68" s="274"/>
      <c r="D68" s="264"/>
      <c r="E68" s="264"/>
      <c r="F68" s="264"/>
      <c r="G68" s="276"/>
      <c r="H68" s="17"/>
      <c r="J68"/>
      <c r="K68"/>
      <c r="L68"/>
    </row>
    <row r="69" spans="2:12">
      <c r="B69" s="274"/>
      <c r="C69" s="274"/>
      <c r="D69" s="264"/>
      <c r="E69" s="264"/>
      <c r="F69" s="264"/>
      <c r="G69" s="276"/>
      <c r="H69" s="17"/>
      <c r="J69"/>
      <c r="K69"/>
      <c r="L69"/>
    </row>
    <row r="70" spans="2:12">
      <c r="B70" s="274"/>
      <c r="C70" s="274"/>
      <c r="D70" s="264"/>
      <c r="E70" s="264"/>
      <c r="F70" s="264"/>
      <c r="G70" s="276"/>
      <c r="H70" s="17"/>
      <c r="J70"/>
      <c r="K70"/>
      <c r="L70"/>
    </row>
    <row r="71" spans="2:12">
      <c r="B71" s="274"/>
      <c r="C71" s="274"/>
      <c r="D71" s="264"/>
      <c r="E71" s="264"/>
      <c r="F71" s="264"/>
      <c r="G71" s="276"/>
      <c r="H71" s="17"/>
      <c r="J71"/>
      <c r="K71"/>
      <c r="L71"/>
    </row>
    <row r="72" spans="2:12">
      <c r="B72" s="274"/>
      <c r="C72" s="274"/>
      <c r="D72" s="264"/>
      <c r="E72" s="264"/>
      <c r="F72" s="264"/>
      <c r="G72" s="276"/>
      <c r="H72" s="17"/>
      <c r="J72"/>
      <c r="K72"/>
      <c r="L72"/>
    </row>
    <row r="73" spans="2:12">
      <c r="B73" s="274"/>
      <c r="C73" s="274"/>
      <c r="D73" s="264"/>
      <c r="E73" s="264"/>
      <c r="F73" s="264"/>
      <c r="G73" s="276"/>
      <c r="H73" s="17"/>
      <c r="J73"/>
      <c r="K73"/>
      <c r="L73"/>
    </row>
    <row r="74" spans="2:12">
      <c r="B74" s="274"/>
      <c r="C74" s="274"/>
      <c r="D74" s="264"/>
      <c r="E74" s="264"/>
      <c r="F74" s="264"/>
      <c r="G74" s="276"/>
      <c r="H74" s="17"/>
      <c r="J74"/>
      <c r="K74"/>
      <c r="L74"/>
    </row>
    <row r="75" spans="2:12">
      <c r="B75" s="274"/>
      <c r="C75" s="274"/>
      <c r="D75" s="264"/>
      <c r="E75" s="264"/>
      <c r="F75" s="264"/>
      <c r="G75" s="276"/>
      <c r="H75" s="17"/>
      <c r="J75"/>
      <c r="K75"/>
      <c r="L75"/>
    </row>
    <row r="76" spans="2:12">
      <c r="B76" s="274"/>
      <c r="C76" s="274"/>
      <c r="D76" s="264"/>
      <c r="E76" s="264"/>
      <c r="F76" s="264"/>
      <c r="G76" s="276"/>
      <c r="H76" s="17"/>
      <c r="J76"/>
      <c r="K76"/>
      <c r="L76"/>
    </row>
    <row r="77" spans="2:12">
      <c r="B77" s="274"/>
      <c r="C77" s="274"/>
      <c r="D77" s="264"/>
      <c r="E77" s="264"/>
      <c r="F77" s="264"/>
      <c r="G77" s="276"/>
      <c r="H77" s="17"/>
      <c r="J77"/>
      <c r="K77"/>
      <c r="L77"/>
    </row>
    <row r="78" spans="2:12">
      <c r="B78" s="274"/>
      <c r="C78" s="274"/>
      <c r="D78" s="264"/>
      <c r="E78" s="264"/>
      <c r="F78" s="264"/>
      <c r="G78" s="276"/>
      <c r="H78" s="17"/>
      <c r="J78"/>
      <c r="K78"/>
      <c r="L78"/>
    </row>
    <row r="79" spans="2:12">
      <c r="B79" s="274"/>
      <c r="C79" s="274"/>
      <c r="D79" s="264"/>
      <c r="E79" s="264"/>
      <c r="F79" s="264"/>
      <c r="G79" s="276"/>
      <c r="H79" s="17"/>
      <c r="J79"/>
      <c r="K79"/>
      <c r="L79"/>
    </row>
    <row r="80" spans="2:12">
      <c r="B80" s="274"/>
      <c r="C80" s="274"/>
      <c r="D80" s="264"/>
      <c r="E80" s="264"/>
      <c r="F80" s="264"/>
      <c r="G80" s="276"/>
      <c r="H80" s="17"/>
      <c r="J80"/>
      <c r="K80"/>
      <c r="L80"/>
    </row>
    <row r="81" spans="2:12">
      <c r="B81" s="274"/>
      <c r="C81" s="274"/>
      <c r="D81" s="264"/>
      <c r="E81" s="264"/>
      <c r="F81" s="264"/>
      <c r="G81" s="276"/>
      <c r="H81" s="17"/>
      <c r="J81"/>
      <c r="K81"/>
      <c r="L81"/>
    </row>
    <row r="82" spans="2:12">
      <c r="B82" s="274"/>
      <c r="C82" s="274"/>
      <c r="D82" s="264"/>
      <c r="E82" s="264"/>
      <c r="F82" s="264"/>
      <c r="G82" s="276"/>
      <c r="H82" s="17"/>
      <c r="J82"/>
      <c r="K82"/>
      <c r="L82"/>
    </row>
    <row r="83" spans="2:12">
      <c r="B83" s="274"/>
      <c r="C83" s="274"/>
      <c r="D83" s="264"/>
      <c r="E83" s="264"/>
      <c r="F83" s="264"/>
      <c r="G83" s="276"/>
      <c r="H83" s="17"/>
      <c r="J83"/>
      <c r="K83"/>
      <c r="L83"/>
    </row>
    <row r="84" spans="2:12">
      <c r="B84" s="274"/>
      <c r="C84" s="274"/>
      <c r="D84" s="264"/>
      <c r="E84" s="264"/>
      <c r="F84" s="264"/>
      <c r="G84" s="276"/>
      <c r="H84" s="17"/>
      <c r="J84"/>
      <c r="K84"/>
      <c r="L84"/>
    </row>
    <row r="85" spans="2:12">
      <c r="B85" s="274"/>
      <c r="C85" s="274"/>
      <c r="D85" s="264"/>
      <c r="E85" s="264"/>
      <c r="F85" s="264"/>
      <c r="G85" s="276"/>
      <c r="H85" s="17"/>
      <c r="J85"/>
      <c r="K85"/>
      <c r="L85"/>
    </row>
    <row r="86" spans="2:12">
      <c r="B86" s="263" t="s">
        <v>3</v>
      </c>
      <c r="C86" s="263" t="s">
        <v>619</v>
      </c>
      <c r="D86" s="263" t="s">
        <v>623</v>
      </c>
      <c r="E86" s="263" t="s">
        <v>501</v>
      </c>
      <c r="F86" s="263" t="s">
        <v>513</v>
      </c>
      <c r="G86" s="263" t="s">
        <v>514</v>
      </c>
      <c r="H86" s="17"/>
      <c r="J86"/>
      <c r="K86"/>
      <c r="L86"/>
    </row>
    <row r="87" spans="2:12" ht="39.950000000000003" customHeight="1">
      <c r="B87" s="281" t="s">
        <v>581</v>
      </c>
      <c r="C87" s="295" t="s">
        <v>620</v>
      </c>
      <c r="D87" s="295">
        <v>1</v>
      </c>
      <c r="E87" s="298">
        <v>63341</v>
      </c>
      <c r="F87" s="298">
        <v>63341</v>
      </c>
      <c r="G87" s="298">
        <v>41228</v>
      </c>
      <c r="H87" s="17"/>
      <c r="J87"/>
      <c r="K87"/>
      <c r="L87"/>
    </row>
    <row r="88" spans="2:12" ht="39" customHeight="1">
      <c r="B88" s="281" t="s">
        <v>581</v>
      </c>
      <c r="C88" s="295" t="s">
        <v>621</v>
      </c>
      <c r="D88" s="295">
        <v>2</v>
      </c>
      <c r="E88" s="298">
        <v>40929</v>
      </c>
      <c r="F88" s="298">
        <v>40929</v>
      </c>
      <c r="G88" s="298">
        <v>27362</v>
      </c>
      <c r="H88" s="17"/>
      <c r="J88"/>
      <c r="K88"/>
      <c r="L88"/>
    </row>
    <row r="89" spans="2:12" ht="41.1" customHeight="1">
      <c r="B89" s="281" t="s">
        <v>581</v>
      </c>
      <c r="C89" s="295" t="s">
        <v>622</v>
      </c>
      <c r="D89" s="295">
        <v>3</v>
      </c>
      <c r="E89" s="298">
        <v>91352</v>
      </c>
      <c r="F89" s="298">
        <v>91352</v>
      </c>
      <c r="G89" s="298">
        <v>57764</v>
      </c>
      <c r="H89" s="17"/>
      <c r="J89"/>
      <c r="K89"/>
      <c r="L89"/>
    </row>
    <row r="90" spans="2:12">
      <c r="B90" s="274"/>
      <c r="C90" s="274"/>
      <c r="D90" s="264"/>
      <c r="E90" s="264"/>
      <c r="F90" s="264"/>
      <c r="G90" s="276"/>
      <c r="H90" s="17"/>
      <c r="J90"/>
      <c r="K90"/>
      <c r="L90"/>
    </row>
    <row r="91" spans="2:12">
      <c r="B91" s="274"/>
      <c r="C91" s="274"/>
      <c r="D91" s="264"/>
      <c r="E91" s="264"/>
      <c r="F91" s="264"/>
      <c r="G91" s="276"/>
      <c r="H91" s="17"/>
      <c r="J91"/>
      <c r="K91"/>
      <c r="L91"/>
    </row>
    <row r="92" spans="2:12">
      <c r="B92" s="274"/>
      <c r="C92" s="274"/>
      <c r="D92" s="264"/>
      <c r="E92" s="264"/>
      <c r="F92" s="264"/>
      <c r="G92" s="276"/>
      <c r="H92" s="17"/>
      <c r="J92"/>
      <c r="K92"/>
      <c r="L92"/>
    </row>
    <row r="93" spans="2:12">
      <c r="B93" s="274"/>
      <c r="C93" s="274"/>
      <c r="D93" s="264"/>
      <c r="E93" s="264"/>
      <c r="F93" s="264"/>
      <c r="G93" s="276"/>
      <c r="H93" s="17"/>
      <c r="J93"/>
      <c r="K93"/>
      <c r="L93"/>
    </row>
    <row r="94" spans="2:12">
      <c r="B94" s="274"/>
      <c r="C94" s="274"/>
      <c r="D94" s="264"/>
      <c r="E94" s="264"/>
      <c r="F94" s="264"/>
      <c r="G94" s="276"/>
      <c r="H94" s="17"/>
      <c r="J94"/>
      <c r="K94"/>
      <c r="L94"/>
    </row>
    <row r="95" spans="2:12">
      <c r="B95" s="274"/>
      <c r="C95" s="274"/>
      <c r="D95" s="264"/>
      <c r="E95" s="264"/>
      <c r="F95" s="264"/>
      <c r="G95" s="276"/>
      <c r="H95" s="17"/>
      <c r="J95"/>
      <c r="K95"/>
      <c r="L95"/>
    </row>
    <row r="96" spans="2:12">
      <c r="B96" s="274"/>
      <c r="C96" s="274"/>
      <c r="D96" s="264"/>
      <c r="E96" s="264"/>
      <c r="F96" s="264"/>
      <c r="G96" s="276"/>
      <c r="H96" s="17"/>
      <c r="J96"/>
      <c r="K96"/>
      <c r="L96"/>
    </row>
    <row r="97" spans="2:12">
      <c r="B97" s="274"/>
      <c r="C97" s="274"/>
      <c r="D97" s="264"/>
      <c r="E97" s="264"/>
      <c r="F97" s="264"/>
      <c r="G97" s="276"/>
      <c r="H97" s="17"/>
      <c r="J97"/>
      <c r="K97"/>
      <c r="L97"/>
    </row>
    <row r="98" spans="2:12">
      <c r="B98" s="274"/>
      <c r="C98" s="274"/>
      <c r="D98" s="264"/>
      <c r="E98" s="264"/>
      <c r="F98" s="264"/>
      <c r="G98" s="276"/>
      <c r="H98" s="17"/>
      <c r="J98"/>
      <c r="K98"/>
      <c r="L98"/>
    </row>
    <row r="99" spans="2:12">
      <c r="B99" s="274"/>
      <c r="C99" s="274"/>
      <c r="D99" s="264"/>
      <c r="E99" s="264"/>
      <c r="F99" s="264"/>
      <c r="G99" s="276"/>
      <c r="H99" s="17"/>
      <c r="J99"/>
      <c r="K99"/>
      <c r="L99"/>
    </row>
    <row r="100" spans="2:12">
      <c r="B100" s="274"/>
      <c r="C100" s="274"/>
      <c r="D100" s="264"/>
      <c r="E100" s="264"/>
      <c r="F100" s="264"/>
      <c r="G100" s="276"/>
      <c r="H100" s="17"/>
      <c r="J100"/>
      <c r="K100"/>
      <c r="L100"/>
    </row>
    <row r="101" spans="2:12">
      <c r="B101" s="274"/>
      <c r="C101" s="274"/>
      <c r="D101" s="264"/>
      <c r="E101" s="264"/>
      <c r="F101" s="264"/>
      <c r="G101" s="276"/>
      <c r="H101" s="17"/>
      <c r="J101"/>
      <c r="K101"/>
      <c r="L101"/>
    </row>
    <row r="102" spans="2:12">
      <c r="B102" s="274"/>
      <c r="C102" s="274"/>
      <c r="D102" s="264"/>
      <c r="E102" s="264"/>
      <c r="F102" s="264"/>
      <c r="G102" s="276"/>
      <c r="H102" s="17"/>
      <c r="J102"/>
      <c r="K102"/>
      <c r="L102"/>
    </row>
    <row r="103" spans="2:12">
      <c r="B103" s="164" t="s">
        <v>3</v>
      </c>
      <c r="C103" s="164" t="s">
        <v>619</v>
      </c>
      <c r="D103" s="164" t="s">
        <v>623</v>
      </c>
      <c r="E103" s="164" t="s">
        <v>501</v>
      </c>
      <c r="F103" s="164" t="s">
        <v>513</v>
      </c>
      <c r="G103" s="164" t="s">
        <v>514</v>
      </c>
      <c r="H103" s="17"/>
      <c r="J103"/>
      <c r="K103"/>
      <c r="L103"/>
    </row>
    <row r="104" spans="2:12" ht="36.950000000000003" customHeight="1">
      <c r="B104" s="305" t="s">
        <v>582</v>
      </c>
      <c r="C104" s="303" t="s">
        <v>620</v>
      </c>
      <c r="D104" s="303">
        <v>1</v>
      </c>
      <c r="E104" s="304">
        <v>11274</v>
      </c>
      <c r="F104" s="304">
        <v>9583</v>
      </c>
      <c r="G104" s="304">
        <v>1691</v>
      </c>
      <c r="H104" s="17"/>
      <c r="J104"/>
      <c r="K104"/>
      <c r="L104"/>
    </row>
    <row r="105" spans="2:12" ht="36.950000000000003" customHeight="1">
      <c r="B105" s="305" t="s">
        <v>582</v>
      </c>
      <c r="C105" s="303" t="s">
        <v>621</v>
      </c>
      <c r="D105" s="303">
        <v>2</v>
      </c>
      <c r="E105" s="304">
        <v>5154</v>
      </c>
      <c r="F105" s="304">
        <v>4600</v>
      </c>
      <c r="G105" s="304">
        <v>554</v>
      </c>
      <c r="H105" s="17"/>
      <c r="J105"/>
      <c r="K105"/>
      <c r="L105"/>
    </row>
    <row r="106" spans="2:12" ht="39" customHeight="1">
      <c r="B106" s="305" t="s">
        <v>582</v>
      </c>
      <c r="C106" s="303" t="s">
        <v>622</v>
      </c>
      <c r="D106" s="303">
        <v>3</v>
      </c>
      <c r="E106" s="304">
        <v>19597</v>
      </c>
      <c r="F106" s="304">
        <v>16366</v>
      </c>
      <c r="G106" s="304">
        <v>3231</v>
      </c>
      <c r="H106" s="17"/>
      <c r="J106"/>
      <c r="K106"/>
      <c r="L106"/>
    </row>
    <row r="107" spans="2:12">
      <c r="B107" s="274"/>
      <c r="C107" s="274"/>
      <c r="D107" s="264"/>
      <c r="E107" s="264"/>
      <c r="F107" s="264"/>
      <c r="G107" s="276"/>
      <c r="H107" s="17"/>
      <c r="J107"/>
      <c r="K107"/>
      <c r="L107"/>
    </row>
    <row r="108" spans="2:12">
      <c r="B108" s="274"/>
      <c r="C108" s="274"/>
      <c r="D108" s="264"/>
      <c r="E108" s="264"/>
      <c r="F108" s="264"/>
      <c r="G108" s="276"/>
      <c r="H108" s="17"/>
      <c r="J108"/>
      <c r="K108"/>
      <c r="L108"/>
    </row>
    <row r="109" spans="2:12" ht="19.5">
      <c r="B109" s="273" t="s">
        <v>630</v>
      </c>
      <c r="C109" s="274"/>
      <c r="D109" s="264"/>
      <c r="E109" s="264"/>
      <c r="F109" s="264"/>
      <c r="G109" s="276"/>
      <c r="H109" s="17"/>
      <c r="J109"/>
      <c r="K109"/>
      <c r="L109"/>
    </row>
    <row r="110" spans="2:12">
      <c r="B110" s="274"/>
      <c r="C110" s="274"/>
      <c r="D110" s="264"/>
      <c r="E110" s="264"/>
      <c r="F110" s="264"/>
      <c r="G110" s="276"/>
      <c r="H110" s="17"/>
      <c r="J110"/>
      <c r="K110"/>
      <c r="L110"/>
    </row>
    <row r="111" spans="2:12">
      <c r="B111" s="274"/>
      <c r="C111" s="274"/>
      <c r="D111" s="264"/>
      <c r="E111" s="264"/>
      <c r="F111" s="264"/>
      <c r="G111" s="276"/>
      <c r="H111" s="17"/>
      <c r="J111"/>
      <c r="K111"/>
      <c r="L111"/>
    </row>
    <row r="112" spans="2:12">
      <c r="B112" s="274"/>
      <c r="C112" s="274"/>
      <c r="D112" s="264"/>
      <c r="E112" s="264"/>
      <c r="F112" s="264"/>
      <c r="G112" s="276"/>
      <c r="H112" s="17"/>
      <c r="J112"/>
      <c r="K112"/>
      <c r="L112"/>
    </row>
    <row r="113" spans="2:15">
      <c r="B113" s="274"/>
      <c r="C113" s="274"/>
      <c r="D113" s="264"/>
      <c r="E113" s="264"/>
      <c r="F113" s="264"/>
      <c r="G113" s="276"/>
      <c r="H113" s="17"/>
      <c r="J113"/>
      <c r="K113"/>
      <c r="L113"/>
    </row>
    <row r="114" spans="2:15">
      <c r="B114" s="274"/>
      <c r="C114" s="274"/>
      <c r="D114" s="264"/>
      <c r="E114" s="264"/>
      <c r="F114" s="264"/>
      <c r="G114" s="276"/>
      <c r="H114" s="17"/>
      <c r="J114"/>
      <c r="K114"/>
      <c r="L114"/>
    </row>
    <row r="115" spans="2:15">
      <c r="B115" s="274"/>
      <c r="C115" s="274"/>
      <c r="D115" s="264"/>
      <c r="E115" s="264"/>
      <c r="F115" s="264"/>
      <c r="G115" s="276"/>
      <c r="H115" s="17"/>
      <c r="J115"/>
      <c r="K115"/>
      <c r="L115"/>
    </row>
    <row r="116" spans="2:15">
      <c r="B116" s="274"/>
      <c r="C116" s="274"/>
      <c r="D116" s="264"/>
      <c r="E116" s="264"/>
      <c r="F116" s="264"/>
      <c r="G116" s="276"/>
      <c r="H116" s="17"/>
      <c r="J116"/>
      <c r="K116"/>
      <c r="L116"/>
    </row>
    <row r="117" spans="2:15">
      <c r="B117" s="274"/>
      <c r="C117" s="274"/>
      <c r="D117" s="264"/>
      <c r="E117" s="264"/>
      <c r="F117" s="264"/>
      <c r="G117" s="276"/>
      <c r="H117" s="17"/>
      <c r="J117"/>
      <c r="K117"/>
      <c r="L117"/>
    </row>
    <row r="118" spans="2:15">
      <c r="B118" s="274"/>
      <c r="C118" s="274"/>
      <c r="D118" s="264"/>
      <c r="E118" s="264"/>
      <c r="F118" s="264"/>
      <c r="G118" s="276"/>
      <c r="H118" s="17"/>
      <c r="J118"/>
      <c r="K118"/>
      <c r="L118"/>
    </row>
    <row r="119" spans="2:15">
      <c r="B119" s="274"/>
      <c r="C119" s="274"/>
      <c r="D119" s="264"/>
      <c r="E119" s="264"/>
      <c r="F119" s="264"/>
      <c r="G119" s="276"/>
      <c r="H119" s="17"/>
      <c r="J119"/>
      <c r="K119"/>
      <c r="L119"/>
    </row>
    <row r="120" spans="2:15">
      <c r="B120" s="274"/>
      <c r="C120" s="274"/>
      <c r="D120" s="264"/>
      <c r="E120" s="264"/>
      <c r="F120" s="264"/>
      <c r="G120" s="276"/>
      <c r="H120" s="17"/>
      <c r="J120"/>
      <c r="K120"/>
      <c r="L120"/>
    </row>
    <row r="121" spans="2:15">
      <c r="B121" s="274"/>
      <c r="C121" s="274"/>
      <c r="D121" s="264"/>
      <c r="E121" s="264"/>
      <c r="F121" s="264"/>
      <c r="G121" s="276"/>
      <c r="H121" s="17"/>
      <c r="J121"/>
      <c r="K121"/>
      <c r="L121"/>
    </row>
    <row r="122" spans="2:15">
      <c r="B122" s="274"/>
      <c r="C122" s="274"/>
      <c r="D122" s="264"/>
      <c r="E122" s="264"/>
      <c r="F122" s="264"/>
      <c r="G122" s="276"/>
      <c r="H122" s="17"/>
      <c r="J122"/>
      <c r="K122"/>
      <c r="L122"/>
    </row>
    <row r="123" spans="2:15">
      <c r="B123" s="274"/>
      <c r="C123" s="274"/>
      <c r="D123" s="264"/>
      <c r="E123" s="264"/>
      <c r="F123" s="264"/>
      <c r="G123" s="276"/>
      <c r="H123" s="17"/>
      <c r="J123"/>
      <c r="K123"/>
      <c r="L123"/>
    </row>
    <row r="124" spans="2:15">
      <c r="B124" s="274"/>
      <c r="C124" s="274"/>
      <c r="D124" s="264"/>
      <c r="E124" s="264"/>
      <c r="F124" s="264"/>
      <c r="G124" s="276"/>
      <c r="H124" s="17"/>
      <c r="J124"/>
      <c r="K124"/>
      <c r="L124"/>
    </row>
    <row r="125" spans="2:15">
      <c r="B125" s="274"/>
      <c r="C125" s="274"/>
      <c r="D125" s="264"/>
      <c r="E125" s="264"/>
      <c r="F125" s="264"/>
      <c r="G125" s="276"/>
      <c r="H125" s="17"/>
      <c r="J125"/>
      <c r="K125"/>
      <c r="L125"/>
    </row>
    <row r="126" spans="2:15">
      <c r="B126" s="274"/>
      <c r="C126" s="274"/>
      <c r="D126" s="264"/>
      <c r="E126" s="264"/>
      <c r="F126" s="264"/>
      <c r="G126" s="276"/>
      <c r="H126" s="17"/>
      <c r="J126"/>
      <c r="K126"/>
      <c r="L126"/>
    </row>
    <row r="127" spans="2:15">
      <c r="J127"/>
      <c r="K127"/>
      <c r="L127"/>
      <c r="O127"/>
    </row>
    <row r="128" spans="2:15" customFormat="1"/>
    <row r="129" spans="2:19" customFormat="1"/>
    <row r="130" spans="2:19" customFormat="1"/>
    <row r="131" spans="2:19" customFormat="1"/>
    <row r="132" spans="2:19" customFormat="1"/>
    <row r="133" spans="2:19" customFormat="1"/>
    <row r="134" spans="2:19" customFormat="1"/>
    <row r="135" spans="2:19" customFormat="1"/>
    <row r="136" spans="2:19" customFormat="1"/>
    <row r="137" spans="2:19" customFormat="1"/>
    <row r="138" spans="2:19" customFormat="1"/>
    <row r="139" spans="2:19" ht="19.5">
      <c r="B139" s="273" t="s">
        <v>575</v>
      </c>
      <c r="I139"/>
      <c r="J139"/>
      <c r="K139"/>
      <c r="L139"/>
      <c r="M139"/>
      <c r="N139"/>
      <c r="O139"/>
      <c r="P139"/>
    </row>
    <row r="140" spans="2:19" ht="18.75">
      <c r="B140" s="83"/>
      <c r="J140"/>
      <c r="K140"/>
      <c r="L140"/>
      <c r="M140"/>
      <c r="N140"/>
      <c r="O140"/>
      <c r="P140"/>
      <c r="Q140"/>
      <c r="R140"/>
      <c r="S140"/>
    </row>
    <row r="141" spans="2:19" ht="18.75">
      <c r="B141" s="83"/>
      <c r="J141"/>
      <c r="K141"/>
      <c r="L141"/>
      <c r="M141"/>
      <c r="N141"/>
      <c r="O141"/>
      <c r="P141"/>
      <c r="Q141"/>
      <c r="R141"/>
      <c r="S141"/>
    </row>
    <row r="142" spans="2:19" ht="18.75">
      <c r="B142" s="83"/>
      <c r="J142"/>
      <c r="K142"/>
      <c r="L142"/>
      <c r="M142"/>
      <c r="N142"/>
      <c r="O142"/>
      <c r="P142"/>
      <c r="Q142"/>
      <c r="R142"/>
      <c r="S142"/>
    </row>
    <row r="143" spans="2:19" ht="18.75">
      <c r="B143" s="83"/>
      <c r="J143"/>
      <c r="K143"/>
      <c r="L143"/>
      <c r="M143"/>
      <c r="N143"/>
      <c r="O143"/>
      <c r="P143"/>
      <c r="Q143"/>
      <c r="R143"/>
      <c r="S143"/>
    </row>
    <row r="144" spans="2:19">
      <c r="J144"/>
      <c r="K144"/>
      <c r="L144"/>
      <c r="M144"/>
      <c r="N144"/>
      <c r="O144"/>
      <c r="P144"/>
      <c r="Q144"/>
      <c r="R144"/>
      <c r="S144"/>
    </row>
    <row r="145" spans="2:27" ht="18.75">
      <c r="B145" s="83"/>
      <c r="J145"/>
      <c r="K145"/>
      <c r="L145"/>
      <c r="M145"/>
      <c r="N145"/>
      <c r="O145"/>
      <c r="P145"/>
      <c r="Q145"/>
      <c r="R145"/>
      <c r="S145"/>
    </row>
    <row r="147" spans="2:27" ht="84.95" customHeight="1">
      <c r="B147" s="245" t="s">
        <v>499</v>
      </c>
      <c r="C147" s="245" t="s">
        <v>120</v>
      </c>
      <c r="D147" s="245" t="s">
        <v>500</v>
      </c>
      <c r="E147" s="245" t="s">
        <v>198</v>
      </c>
      <c r="F147" s="245" t="s">
        <v>519</v>
      </c>
      <c r="G147" s="246" t="s">
        <v>585</v>
      </c>
      <c r="H147" s="246" t="s">
        <v>576</v>
      </c>
      <c r="I147" s="246" t="s">
        <v>577</v>
      </c>
      <c r="J147" s="246" t="s">
        <v>506</v>
      </c>
      <c r="K147" s="246" t="s">
        <v>578</v>
      </c>
      <c r="L147" s="246" t="s">
        <v>579</v>
      </c>
      <c r="M147" s="246" t="s">
        <v>580</v>
      </c>
      <c r="N147" s="246" t="s">
        <v>566</v>
      </c>
      <c r="O147" s="247" t="s">
        <v>567</v>
      </c>
      <c r="P147" s="247" t="s">
        <v>568</v>
      </c>
      <c r="Q147" s="246" t="s">
        <v>364</v>
      </c>
      <c r="R147" s="246" t="s">
        <v>569</v>
      </c>
      <c r="S147" s="246" t="s">
        <v>570</v>
      </c>
      <c r="T147" s="248" t="s">
        <v>571</v>
      </c>
      <c r="U147"/>
      <c r="V147"/>
      <c r="W147"/>
      <c r="X147"/>
      <c r="Z147"/>
      <c r="AA147"/>
    </row>
    <row r="148" spans="2:27">
      <c r="B148" s="249" t="s">
        <v>501</v>
      </c>
      <c r="C148" s="250" t="s">
        <v>242</v>
      </c>
      <c r="D148" s="250" t="s">
        <v>502</v>
      </c>
      <c r="E148" s="251">
        <v>1</v>
      </c>
      <c r="F148" s="251" t="s">
        <v>281</v>
      </c>
      <c r="G148" s="250">
        <v>11274</v>
      </c>
      <c r="H148" s="250">
        <v>5154</v>
      </c>
      <c r="I148" s="250">
        <v>19597</v>
      </c>
      <c r="J148" s="252">
        <v>-6.6000000000000003E-2</v>
      </c>
      <c r="K148" s="250">
        <v>10199</v>
      </c>
      <c r="L148" s="250">
        <v>4558</v>
      </c>
      <c r="M148" s="250">
        <v>17922</v>
      </c>
      <c r="N148" s="250">
        <v>1075</v>
      </c>
      <c r="O148" s="250">
        <v>596</v>
      </c>
      <c r="P148" s="250">
        <v>1675</v>
      </c>
      <c r="Q148" s="253">
        <v>977845</v>
      </c>
      <c r="R148" s="254">
        <v>1.0993561744689941</v>
      </c>
      <c r="S148" s="254">
        <v>0.60950350761413574</v>
      </c>
      <c r="T148" s="255">
        <v>1.7129504680633545</v>
      </c>
      <c r="U148"/>
      <c r="V148"/>
      <c r="W148"/>
      <c r="X148"/>
      <c r="Z148"/>
      <c r="AA148"/>
    </row>
    <row r="149" spans="2:27">
      <c r="B149" s="249" t="s">
        <v>501</v>
      </c>
      <c r="C149" s="250" t="s">
        <v>242</v>
      </c>
      <c r="D149" s="250" t="s">
        <v>502</v>
      </c>
      <c r="E149" s="251">
        <v>2</v>
      </c>
      <c r="F149" s="251" t="s">
        <v>281</v>
      </c>
      <c r="G149" s="250">
        <v>11274</v>
      </c>
      <c r="H149" s="250">
        <v>5154</v>
      </c>
      <c r="I149" s="250">
        <v>19597</v>
      </c>
      <c r="J149" s="252">
        <v>-6.6000000000000003E-2</v>
      </c>
      <c r="K149" s="250">
        <v>9530</v>
      </c>
      <c r="L149" s="250">
        <v>4261</v>
      </c>
      <c r="M149" s="250">
        <v>16747</v>
      </c>
      <c r="N149" s="250">
        <v>1744</v>
      </c>
      <c r="O149" s="250">
        <v>893</v>
      </c>
      <c r="P149" s="250">
        <v>2850</v>
      </c>
      <c r="Q149" s="253">
        <v>1239352</v>
      </c>
      <c r="R149" s="254">
        <v>1.4071869850158691</v>
      </c>
      <c r="S149" s="254">
        <v>0.72053784132003784</v>
      </c>
      <c r="T149" s="255">
        <v>2.2995889186859131</v>
      </c>
      <c r="U149"/>
      <c r="V149"/>
      <c r="W149"/>
      <c r="X149"/>
      <c r="Z149"/>
      <c r="AA149"/>
    </row>
    <row r="150" spans="2:27">
      <c r="B150" s="249" t="s">
        <v>501</v>
      </c>
      <c r="C150" s="250" t="s">
        <v>242</v>
      </c>
      <c r="D150" s="250" t="s">
        <v>502</v>
      </c>
      <c r="E150" s="251">
        <v>3</v>
      </c>
      <c r="F150" s="251" t="s">
        <v>281</v>
      </c>
      <c r="G150" s="250">
        <v>11274</v>
      </c>
      <c r="H150" s="250">
        <v>5154</v>
      </c>
      <c r="I150" s="250">
        <v>19597</v>
      </c>
      <c r="J150" s="252">
        <v>-6.6000000000000003E-2</v>
      </c>
      <c r="K150" s="250">
        <v>8894</v>
      </c>
      <c r="L150" s="250">
        <v>3983</v>
      </c>
      <c r="M150" s="250">
        <v>15636</v>
      </c>
      <c r="N150" s="250">
        <v>2380</v>
      </c>
      <c r="O150" s="250">
        <v>1171</v>
      </c>
      <c r="P150" s="250">
        <v>3961</v>
      </c>
      <c r="Q150" s="253">
        <v>837959</v>
      </c>
      <c r="R150" s="254">
        <v>2.8402345180511475</v>
      </c>
      <c r="S150" s="254">
        <v>1.3974431753158569</v>
      </c>
      <c r="T150" s="255">
        <v>4.726961612701416</v>
      </c>
      <c r="U150"/>
      <c r="V150"/>
      <c r="W150"/>
      <c r="X150"/>
      <c r="Z150"/>
      <c r="AA150"/>
    </row>
    <row r="151" spans="2:27">
      <c r="B151" s="249" t="s">
        <v>501</v>
      </c>
      <c r="C151" s="250" t="s">
        <v>242</v>
      </c>
      <c r="D151" s="250" t="s">
        <v>502</v>
      </c>
      <c r="E151" s="251">
        <v>4</v>
      </c>
      <c r="F151" s="251" t="s">
        <v>281</v>
      </c>
      <c r="G151" s="250">
        <v>11274</v>
      </c>
      <c r="H151" s="250">
        <v>5154</v>
      </c>
      <c r="I151" s="250">
        <v>19597</v>
      </c>
      <c r="J151" s="252">
        <v>-6.6000000000000003E-2</v>
      </c>
      <c r="K151" s="250">
        <v>8313</v>
      </c>
      <c r="L151" s="250">
        <v>3716</v>
      </c>
      <c r="M151" s="250">
        <v>14593</v>
      </c>
      <c r="N151" s="250">
        <v>2961</v>
      </c>
      <c r="O151" s="250">
        <v>1438</v>
      </c>
      <c r="P151" s="250">
        <v>5004</v>
      </c>
      <c r="Q151" s="253">
        <v>855330</v>
      </c>
      <c r="R151" s="254">
        <v>3.4618217945098877</v>
      </c>
      <c r="S151" s="254">
        <v>1.6812224388122559</v>
      </c>
      <c r="T151" s="255">
        <v>5.8503737449645996</v>
      </c>
      <c r="U151"/>
      <c r="V151"/>
      <c r="W151"/>
      <c r="X151"/>
      <c r="Z151"/>
      <c r="AA151"/>
    </row>
    <row r="152" spans="2:27">
      <c r="B152" s="249" t="s">
        <v>501</v>
      </c>
      <c r="C152" s="250" t="s">
        <v>242</v>
      </c>
      <c r="D152" s="250" t="s">
        <v>502</v>
      </c>
      <c r="E152" s="251">
        <v>5</v>
      </c>
      <c r="F152" s="251" t="s">
        <v>281</v>
      </c>
      <c r="G152" s="250">
        <v>11274</v>
      </c>
      <c r="H152" s="250">
        <v>5154</v>
      </c>
      <c r="I152" s="250">
        <v>19597</v>
      </c>
      <c r="J152" s="252">
        <v>-6.6000000000000003E-2</v>
      </c>
      <c r="K152" s="250">
        <v>7737</v>
      </c>
      <c r="L152" s="250">
        <v>3460</v>
      </c>
      <c r="M152" s="250">
        <v>13615</v>
      </c>
      <c r="N152" s="250">
        <v>3537</v>
      </c>
      <c r="O152" s="250">
        <v>1694</v>
      </c>
      <c r="P152" s="250">
        <v>5982</v>
      </c>
      <c r="Q152" s="253">
        <v>837959</v>
      </c>
      <c r="R152" s="254">
        <v>4.220970630645752</v>
      </c>
      <c r="S152" s="254">
        <v>2.0215785503387451</v>
      </c>
      <c r="T152" s="255">
        <v>7.1387743949890137</v>
      </c>
      <c r="U152"/>
      <c r="V152"/>
      <c r="W152"/>
      <c r="X152"/>
      <c r="Z152"/>
      <c r="AA152"/>
    </row>
    <row r="153" spans="2:27">
      <c r="B153" s="249" t="s">
        <v>501</v>
      </c>
      <c r="C153" s="250" t="s">
        <v>242</v>
      </c>
      <c r="D153" s="250" t="s">
        <v>201</v>
      </c>
      <c r="E153" s="251">
        <v>6</v>
      </c>
      <c r="F153" s="251" t="s">
        <v>281</v>
      </c>
      <c r="G153" s="250">
        <v>11274</v>
      </c>
      <c r="H153" s="250">
        <v>5154</v>
      </c>
      <c r="I153" s="250">
        <v>19597</v>
      </c>
      <c r="J153" s="252">
        <v>-1.24E-2</v>
      </c>
      <c r="K153" s="250">
        <v>7647</v>
      </c>
      <c r="L153" s="250">
        <v>3422</v>
      </c>
      <c r="M153" s="250">
        <v>13450</v>
      </c>
      <c r="N153" s="250">
        <v>3627</v>
      </c>
      <c r="O153" s="250">
        <v>1732</v>
      </c>
      <c r="P153" s="250">
        <v>6147</v>
      </c>
      <c r="Q153" s="253">
        <v>661371</v>
      </c>
      <c r="R153" s="254">
        <v>5.484062671661377</v>
      </c>
      <c r="S153" s="254">
        <v>2.618802547454834</v>
      </c>
      <c r="T153" s="255">
        <v>9.2943296432495117</v>
      </c>
      <c r="U153"/>
      <c r="V153"/>
      <c r="W153"/>
      <c r="X153"/>
      <c r="Z153"/>
      <c r="AA153"/>
    </row>
    <row r="154" spans="2:27">
      <c r="B154" s="249" t="s">
        <v>501</v>
      </c>
      <c r="C154" s="250" t="s">
        <v>242</v>
      </c>
      <c r="D154" s="250" t="s">
        <v>201</v>
      </c>
      <c r="E154" s="251">
        <v>7</v>
      </c>
      <c r="F154" s="251" t="s">
        <v>281</v>
      </c>
      <c r="G154" s="250">
        <v>11274</v>
      </c>
      <c r="H154" s="250">
        <v>5154</v>
      </c>
      <c r="I154" s="250">
        <v>19597</v>
      </c>
      <c r="J154" s="252">
        <v>-1.24E-2</v>
      </c>
      <c r="K154" s="250">
        <v>7569</v>
      </c>
      <c r="L154" s="250">
        <v>3383</v>
      </c>
      <c r="M154" s="250">
        <v>13286</v>
      </c>
      <c r="N154" s="250">
        <v>3705</v>
      </c>
      <c r="O154" s="250">
        <v>1771</v>
      </c>
      <c r="P154" s="250">
        <v>6311</v>
      </c>
      <c r="Q154" s="253">
        <v>504727</v>
      </c>
      <c r="R154" s="254">
        <v>7.340601921081543</v>
      </c>
      <c r="S154" s="254">
        <v>3.5088276863098145</v>
      </c>
      <c r="T154" s="255">
        <v>12.503788948059082</v>
      </c>
      <c r="U154"/>
      <c r="V154"/>
      <c r="W154"/>
      <c r="X154"/>
      <c r="Z154"/>
      <c r="AA154"/>
    </row>
    <row r="155" spans="2:27">
      <c r="B155" s="249" t="s">
        <v>501</v>
      </c>
      <c r="C155" s="250" t="s">
        <v>242</v>
      </c>
      <c r="D155" s="250" t="s">
        <v>201</v>
      </c>
      <c r="E155" s="251">
        <v>8</v>
      </c>
      <c r="F155" s="251" t="s">
        <v>281</v>
      </c>
      <c r="G155" s="250">
        <v>11274</v>
      </c>
      <c r="H155" s="250">
        <v>5154</v>
      </c>
      <c r="I155" s="250">
        <v>19597</v>
      </c>
      <c r="J155" s="252">
        <v>-1.24E-2</v>
      </c>
      <c r="K155" s="250">
        <v>7473</v>
      </c>
      <c r="L155" s="250">
        <v>3343</v>
      </c>
      <c r="M155" s="250">
        <v>13113</v>
      </c>
      <c r="N155" s="250">
        <v>3801</v>
      </c>
      <c r="O155" s="250">
        <v>1811</v>
      </c>
      <c r="P155" s="250">
        <v>6484</v>
      </c>
      <c r="Q155" s="253">
        <v>487356</v>
      </c>
      <c r="R155" s="254">
        <v>7.7992267608642578</v>
      </c>
      <c r="S155" s="254">
        <v>3.7159693241119385</v>
      </c>
      <c r="T155" s="255">
        <v>13.304443359375</v>
      </c>
      <c r="U155"/>
      <c r="V155"/>
      <c r="W155"/>
      <c r="X155"/>
      <c r="Z155"/>
      <c r="AA155"/>
    </row>
    <row r="156" spans="2:27">
      <c r="B156" s="249" t="s">
        <v>501</v>
      </c>
      <c r="C156" s="250" t="s">
        <v>242</v>
      </c>
      <c r="D156" s="250" t="s">
        <v>201</v>
      </c>
      <c r="E156" s="251">
        <v>9</v>
      </c>
      <c r="F156" s="251" t="s">
        <v>281</v>
      </c>
      <c r="G156" s="250">
        <v>11274</v>
      </c>
      <c r="H156" s="250">
        <v>5154</v>
      </c>
      <c r="I156" s="250">
        <v>19597</v>
      </c>
      <c r="J156" s="252">
        <v>-1.24E-2</v>
      </c>
      <c r="K156" s="250">
        <v>7391</v>
      </c>
      <c r="L156" s="250">
        <v>3307</v>
      </c>
      <c r="M156" s="250">
        <v>12967</v>
      </c>
      <c r="N156" s="250">
        <v>3883</v>
      </c>
      <c r="O156" s="250">
        <v>1847</v>
      </c>
      <c r="P156" s="250">
        <v>6630</v>
      </c>
      <c r="Q156" s="253">
        <v>487356</v>
      </c>
      <c r="R156" s="254">
        <v>7.9674816131591797</v>
      </c>
      <c r="S156" s="254">
        <v>3.7898373603820801</v>
      </c>
      <c r="T156" s="255">
        <v>13.604019165039063</v>
      </c>
      <c r="U156"/>
      <c r="V156"/>
      <c r="W156"/>
      <c r="X156"/>
      <c r="Z156"/>
      <c r="AA156"/>
    </row>
    <row r="157" spans="2:27">
      <c r="B157" s="249" t="s">
        <v>501</v>
      </c>
      <c r="C157" s="250" t="s">
        <v>242</v>
      </c>
      <c r="D157" s="250" t="s">
        <v>201</v>
      </c>
      <c r="E157" s="251">
        <v>10</v>
      </c>
      <c r="F157" s="251" t="s">
        <v>281</v>
      </c>
      <c r="G157" s="250">
        <v>11274</v>
      </c>
      <c r="H157" s="250">
        <v>5154</v>
      </c>
      <c r="I157" s="250">
        <v>19597</v>
      </c>
      <c r="J157" s="252">
        <v>-1.24E-2</v>
      </c>
      <c r="K157" s="250">
        <v>7322</v>
      </c>
      <c r="L157" s="250">
        <v>3283</v>
      </c>
      <c r="M157" s="250">
        <v>12838</v>
      </c>
      <c r="N157" s="250">
        <v>3952</v>
      </c>
      <c r="O157" s="250">
        <v>1871</v>
      </c>
      <c r="P157" s="250">
        <v>6759</v>
      </c>
      <c r="Q157" s="253">
        <v>504727</v>
      </c>
      <c r="R157" s="254">
        <v>7.8299751281738281</v>
      </c>
      <c r="S157" s="254">
        <v>3.7069544792175293</v>
      </c>
      <c r="T157" s="255">
        <v>13.391397476196289</v>
      </c>
      <c r="U157"/>
      <c r="V157"/>
      <c r="W157"/>
      <c r="X157"/>
      <c r="Z157"/>
      <c r="AA157"/>
    </row>
    <row r="158" spans="2:27">
      <c r="B158" s="249" t="s">
        <v>501</v>
      </c>
      <c r="C158" s="250" t="s">
        <v>242</v>
      </c>
      <c r="D158" s="250" t="s">
        <v>201</v>
      </c>
      <c r="E158" s="251">
        <v>11</v>
      </c>
      <c r="F158" s="251" t="s">
        <v>281</v>
      </c>
      <c r="G158" s="250">
        <v>11274</v>
      </c>
      <c r="H158" s="250">
        <v>5154</v>
      </c>
      <c r="I158" s="250">
        <v>19597</v>
      </c>
      <c r="J158" s="252">
        <v>-1.24E-2</v>
      </c>
      <c r="K158" s="250">
        <v>7138</v>
      </c>
      <c r="L158" s="250">
        <v>3196</v>
      </c>
      <c r="M158" s="250">
        <v>12568</v>
      </c>
      <c r="N158" s="250">
        <v>4136</v>
      </c>
      <c r="O158" s="250">
        <v>1958</v>
      </c>
      <c r="P158" s="250">
        <v>7029</v>
      </c>
      <c r="Q158" s="253">
        <v>661371</v>
      </c>
      <c r="R158" s="254">
        <v>6.2536759376525879</v>
      </c>
      <c r="S158" s="254">
        <v>2.9605169296264648</v>
      </c>
      <c r="T158" s="255">
        <v>10.627923011779785</v>
      </c>
      <c r="U158"/>
      <c r="V158"/>
      <c r="W158"/>
      <c r="X158"/>
      <c r="Z158"/>
      <c r="AA158"/>
    </row>
    <row r="159" spans="2:27">
      <c r="B159" s="249" t="s">
        <v>501</v>
      </c>
      <c r="C159" s="250" t="s">
        <v>242</v>
      </c>
      <c r="D159" s="250" t="s">
        <v>201</v>
      </c>
      <c r="E159" s="251">
        <v>12</v>
      </c>
      <c r="F159" s="251" t="s">
        <v>281</v>
      </c>
      <c r="G159" s="250">
        <v>11274</v>
      </c>
      <c r="H159" s="250">
        <v>5154</v>
      </c>
      <c r="I159" s="250">
        <v>19597</v>
      </c>
      <c r="J159" s="252">
        <v>-1.24E-2</v>
      </c>
      <c r="K159" s="250">
        <v>7050</v>
      </c>
      <c r="L159" s="250">
        <v>3162</v>
      </c>
      <c r="M159" s="250">
        <v>12433</v>
      </c>
      <c r="N159" s="250">
        <v>4224</v>
      </c>
      <c r="O159" s="250">
        <v>1992</v>
      </c>
      <c r="P159" s="250">
        <v>7164</v>
      </c>
      <c r="Q159" s="253">
        <v>487356</v>
      </c>
      <c r="R159" s="254">
        <v>8.66717529296875</v>
      </c>
      <c r="S159" s="254">
        <v>4.0873608589172363</v>
      </c>
      <c r="T159" s="255">
        <v>14.699726104736328</v>
      </c>
      <c r="U159"/>
      <c r="V159"/>
      <c r="W159"/>
      <c r="X159"/>
      <c r="Z159"/>
      <c r="AA159"/>
    </row>
    <row r="160" spans="2:27">
      <c r="B160" s="249" t="s">
        <v>501</v>
      </c>
      <c r="C160" s="250" t="s">
        <v>242</v>
      </c>
      <c r="D160" s="250" t="s">
        <v>201</v>
      </c>
      <c r="E160" s="251">
        <v>13</v>
      </c>
      <c r="F160" s="251" t="s">
        <v>281</v>
      </c>
      <c r="G160" s="250">
        <v>11274</v>
      </c>
      <c r="H160" s="250">
        <v>5154</v>
      </c>
      <c r="I160" s="250">
        <v>19597</v>
      </c>
      <c r="J160" s="252">
        <v>-1.24E-2</v>
      </c>
      <c r="K160" s="250">
        <v>6976</v>
      </c>
      <c r="L160" s="250">
        <v>3124</v>
      </c>
      <c r="M160" s="250">
        <v>12289</v>
      </c>
      <c r="N160" s="250">
        <v>4298</v>
      </c>
      <c r="O160" s="250">
        <v>2030</v>
      </c>
      <c r="P160" s="250">
        <v>7308</v>
      </c>
      <c r="Q160" s="253">
        <v>504727</v>
      </c>
      <c r="R160" s="254">
        <v>8.5154953002929688</v>
      </c>
      <c r="S160" s="254">
        <v>4.0219759941101074</v>
      </c>
      <c r="T160" s="255">
        <v>14.479114532470703</v>
      </c>
      <c r="U160"/>
      <c r="V160"/>
      <c r="W160"/>
      <c r="X160"/>
      <c r="Z160"/>
      <c r="AA160"/>
    </row>
    <row r="161" spans="2:27">
      <c r="B161" s="249" t="s">
        <v>501</v>
      </c>
      <c r="C161" s="250" t="s">
        <v>242</v>
      </c>
      <c r="D161" s="250" t="s">
        <v>201</v>
      </c>
      <c r="E161" s="251">
        <v>14</v>
      </c>
      <c r="F161" s="251" t="s">
        <v>281</v>
      </c>
      <c r="G161" s="250">
        <v>11274</v>
      </c>
      <c r="H161" s="250">
        <v>5154</v>
      </c>
      <c r="I161" s="250">
        <v>19597</v>
      </c>
      <c r="J161" s="252">
        <v>-1.24E-2</v>
      </c>
      <c r="K161" s="250">
        <v>6886</v>
      </c>
      <c r="L161" s="250">
        <v>3072</v>
      </c>
      <c r="M161" s="250">
        <v>12120</v>
      </c>
      <c r="N161" s="250">
        <v>4388</v>
      </c>
      <c r="O161" s="250">
        <v>2082</v>
      </c>
      <c r="P161" s="250">
        <v>7477</v>
      </c>
      <c r="Q161" s="253">
        <v>487356</v>
      </c>
      <c r="R161" s="254">
        <v>9.0036849975585938</v>
      </c>
      <c r="S161" s="254">
        <v>4.272031307220459</v>
      </c>
      <c r="T161" s="255">
        <v>15.341967582702637</v>
      </c>
      <c r="U161"/>
      <c r="V161"/>
      <c r="W161"/>
      <c r="X161"/>
      <c r="Z161"/>
      <c r="AA161"/>
    </row>
    <row r="162" spans="2:27">
      <c r="B162" s="256" t="s">
        <v>501</v>
      </c>
      <c r="C162" s="257" t="s">
        <v>242</v>
      </c>
      <c r="D162" s="257" t="s">
        <v>201</v>
      </c>
      <c r="E162" s="258">
        <v>15</v>
      </c>
      <c r="F162" s="258" t="s">
        <v>281</v>
      </c>
      <c r="G162" s="257">
        <v>11274</v>
      </c>
      <c r="H162" s="257">
        <v>5154</v>
      </c>
      <c r="I162" s="257">
        <v>19597</v>
      </c>
      <c r="J162" s="259">
        <v>-1.24E-2</v>
      </c>
      <c r="K162" s="257">
        <v>6810</v>
      </c>
      <c r="L162" s="257">
        <v>3046</v>
      </c>
      <c r="M162" s="257">
        <v>11993</v>
      </c>
      <c r="N162" s="257">
        <v>4464</v>
      </c>
      <c r="O162" s="257">
        <v>2108</v>
      </c>
      <c r="P162" s="257">
        <v>7604</v>
      </c>
      <c r="Q162" s="260">
        <v>487356</v>
      </c>
      <c r="R162" s="261">
        <v>9.1596279144287109</v>
      </c>
      <c r="S162" s="261">
        <v>4.3253798484802246</v>
      </c>
      <c r="T162" s="262">
        <v>15.602558135986328</v>
      </c>
      <c r="U162"/>
      <c r="V162"/>
      <c r="W162"/>
      <c r="X162"/>
      <c r="Z162"/>
      <c r="AA162"/>
    </row>
    <row r="163" spans="2:27">
      <c r="B163" s="249" t="s">
        <v>501</v>
      </c>
      <c r="C163" s="250" t="s">
        <v>282</v>
      </c>
      <c r="D163" s="250" t="s">
        <v>502</v>
      </c>
      <c r="E163" s="251">
        <v>1</v>
      </c>
      <c r="F163" s="251" t="s">
        <v>281</v>
      </c>
      <c r="G163" s="250">
        <v>11274</v>
      </c>
      <c r="H163" s="250">
        <v>5154</v>
      </c>
      <c r="I163" s="250">
        <v>19597</v>
      </c>
      <c r="J163" s="252">
        <v>-3.6400000000000002E-2</v>
      </c>
      <c r="K163" s="250">
        <v>10489</v>
      </c>
      <c r="L163" s="250">
        <v>4685</v>
      </c>
      <c r="M163" s="250">
        <v>18469</v>
      </c>
      <c r="N163" s="250">
        <v>785</v>
      </c>
      <c r="O163" s="250">
        <v>469</v>
      </c>
      <c r="P163" s="250">
        <v>1128</v>
      </c>
      <c r="Q163" s="253">
        <v>420165</v>
      </c>
      <c r="R163" s="254">
        <v>1.8683136701583862</v>
      </c>
      <c r="S163" s="254">
        <v>1.1162282228469849</v>
      </c>
      <c r="T163" s="255">
        <v>2.684659481048584</v>
      </c>
    </row>
    <row r="164" spans="2:27">
      <c r="B164" s="249" t="s">
        <v>501</v>
      </c>
      <c r="C164" s="250" t="s">
        <v>282</v>
      </c>
      <c r="D164" s="250" t="s">
        <v>502</v>
      </c>
      <c r="E164" s="251">
        <v>2</v>
      </c>
      <c r="F164" s="251" t="s">
        <v>281</v>
      </c>
      <c r="G164" s="250">
        <v>11274</v>
      </c>
      <c r="H164" s="250">
        <v>5154</v>
      </c>
      <c r="I164" s="250">
        <v>19597</v>
      </c>
      <c r="J164" s="252">
        <v>-3.6400000000000002E-2</v>
      </c>
      <c r="K164" s="250">
        <v>10130</v>
      </c>
      <c r="L164" s="250">
        <v>4525</v>
      </c>
      <c r="M164" s="250">
        <v>17811</v>
      </c>
      <c r="N164" s="250">
        <v>1144</v>
      </c>
      <c r="O164" s="250">
        <v>629</v>
      </c>
      <c r="P164" s="250">
        <v>1786</v>
      </c>
      <c r="Q164" s="253">
        <v>188719</v>
      </c>
      <c r="R164" s="254">
        <v>6.061922550201416</v>
      </c>
      <c r="S164" s="254">
        <v>3.3329975605010986</v>
      </c>
      <c r="T164" s="255">
        <v>9.46380615234375</v>
      </c>
    </row>
    <row r="165" spans="2:27">
      <c r="B165" s="249" t="s">
        <v>501</v>
      </c>
      <c r="C165" s="250" t="s">
        <v>282</v>
      </c>
      <c r="D165" s="250" t="s">
        <v>502</v>
      </c>
      <c r="E165" s="251">
        <v>3</v>
      </c>
      <c r="F165" s="251" t="s">
        <v>281</v>
      </c>
      <c r="G165" s="250">
        <v>11274</v>
      </c>
      <c r="H165" s="250">
        <v>5154</v>
      </c>
      <c r="I165" s="250">
        <v>19597</v>
      </c>
      <c r="J165" s="252">
        <v>-3.6400000000000002E-2</v>
      </c>
      <c r="K165" s="250">
        <v>9777</v>
      </c>
      <c r="L165" s="250">
        <v>4365</v>
      </c>
      <c r="M165" s="250">
        <v>17166</v>
      </c>
      <c r="N165" s="250">
        <v>1497</v>
      </c>
      <c r="O165" s="250">
        <v>789</v>
      </c>
      <c r="P165" s="250">
        <v>2431</v>
      </c>
      <c r="Q165" s="253">
        <v>155920</v>
      </c>
      <c r="R165" s="254">
        <v>9.6010770797729492</v>
      </c>
      <c r="S165" s="254">
        <v>5.0602869987487793</v>
      </c>
      <c r="T165" s="255">
        <v>15.591328620910645</v>
      </c>
    </row>
    <row r="166" spans="2:27">
      <c r="B166" s="249" t="s">
        <v>501</v>
      </c>
      <c r="C166" s="250" t="s">
        <v>282</v>
      </c>
      <c r="D166" s="250" t="s">
        <v>502</v>
      </c>
      <c r="E166" s="251">
        <v>4</v>
      </c>
      <c r="F166" s="251" t="s">
        <v>281</v>
      </c>
      <c r="G166" s="250">
        <v>11274</v>
      </c>
      <c r="H166" s="250">
        <v>5154</v>
      </c>
      <c r="I166" s="250">
        <v>19597</v>
      </c>
      <c r="J166" s="252">
        <v>-3.6400000000000002E-2</v>
      </c>
      <c r="K166" s="250">
        <v>9433</v>
      </c>
      <c r="L166" s="250">
        <v>4219</v>
      </c>
      <c r="M166" s="250">
        <v>16560</v>
      </c>
      <c r="N166" s="250">
        <v>1841</v>
      </c>
      <c r="O166" s="250">
        <v>935</v>
      </c>
      <c r="P166" s="250">
        <v>3037</v>
      </c>
      <c r="Q166" s="253">
        <v>155920</v>
      </c>
      <c r="R166" s="254">
        <v>11.807337760925293</v>
      </c>
      <c r="S166" s="254">
        <v>5.9966650009155273</v>
      </c>
      <c r="T166" s="255">
        <v>19.477937698364258</v>
      </c>
    </row>
    <row r="167" spans="2:27">
      <c r="B167" s="249" t="s">
        <v>501</v>
      </c>
      <c r="C167" s="250" t="s">
        <v>282</v>
      </c>
      <c r="D167" s="250" t="s">
        <v>502</v>
      </c>
      <c r="E167" s="251">
        <v>5</v>
      </c>
      <c r="F167" s="251" t="s">
        <v>281</v>
      </c>
      <c r="G167" s="250">
        <v>11274</v>
      </c>
      <c r="H167" s="250">
        <v>5154</v>
      </c>
      <c r="I167" s="250">
        <v>19597</v>
      </c>
      <c r="J167" s="252">
        <v>-3.6400000000000002E-2</v>
      </c>
      <c r="K167" s="250">
        <v>9058</v>
      </c>
      <c r="L167" s="250">
        <v>4058</v>
      </c>
      <c r="M167" s="250">
        <v>15932</v>
      </c>
      <c r="N167" s="250">
        <v>2216</v>
      </c>
      <c r="O167" s="250">
        <v>1096</v>
      </c>
      <c r="P167" s="250">
        <v>3665</v>
      </c>
      <c r="Q167" s="253">
        <v>155920</v>
      </c>
      <c r="R167" s="254">
        <v>14.212416648864746</v>
      </c>
      <c r="S167" s="254">
        <v>7.0292453765869141</v>
      </c>
      <c r="T167" s="255">
        <v>23.505643844604492</v>
      </c>
    </row>
    <row r="168" spans="2:27">
      <c r="B168" s="249" t="s">
        <v>501</v>
      </c>
      <c r="C168" s="250" t="s">
        <v>282</v>
      </c>
      <c r="D168" s="250" t="s">
        <v>201</v>
      </c>
      <c r="E168" s="251">
        <v>6</v>
      </c>
      <c r="F168" s="251" t="s">
        <v>281</v>
      </c>
      <c r="G168" s="250">
        <v>11274</v>
      </c>
      <c r="H168" s="250">
        <v>5154</v>
      </c>
      <c r="I168" s="250">
        <v>19597</v>
      </c>
      <c r="J168" s="252">
        <v>-9.1000000000000004E-3</v>
      </c>
      <c r="K168" s="250">
        <v>8985</v>
      </c>
      <c r="L168" s="250">
        <v>4025</v>
      </c>
      <c r="M168" s="250">
        <v>15792</v>
      </c>
      <c r="N168" s="250">
        <v>2289</v>
      </c>
      <c r="O168" s="250">
        <v>1129</v>
      </c>
      <c r="P168" s="250">
        <v>3805</v>
      </c>
      <c r="Q168" s="253">
        <v>188016</v>
      </c>
      <c r="R168" s="254">
        <v>12.174495697021484</v>
      </c>
      <c r="S168" s="254">
        <v>6.0048079490661621</v>
      </c>
      <c r="T168" s="255">
        <v>20.237640380859375</v>
      </c>
    </row>
    <row r="169" spans="2:27">
      <c r="B169" s="249" t="s">
        <v>501</v>
      </c>
      <c r="C169" s="250" t="s">
        <v>282</v>
      </c>
      <c r="D169" s="250" t="s">
        <v>201</v>
      </c>
      <c r="E169" s="251">
        <v>7</v>
      </c>
      <c r="F169" s="251" t="s">
        <v>281</v>
      </c>
      <c r="G169" s="250">
        <v>11274</v>
      </c>
      <c r="H169" s="250">
        <v>5154</v>
      </c>
      <c r="I169" s="250">
        <v>19597</v>
      </c>
      <c r="J169" s="252">
        <v>-9.1000000000000004E-3</v>
      </c>
      <c r="K169" s="250">
        <v>8905</v>
      </c>
      <c r="L169" s="250">
        <v>3986</v>
      </c>
      <c r="M169" s="250">
        <v>15657</v>
      </c>
      <c r="N169" s="250">
        <v>2369</v>
      </c>
      <c r="O169" s="250">
        <v>1168</v>
      </c>
      <c r="P169" s="250">
        <v>3940</v>
      </c>
      <c r="Q169" s="253">
        <v>143207</v>
      </c>
      <c r="R169" s="254">
        <v>16.542486190795898</v>
      </c>
      <c r="S169" s="254">
        <v>8.1560258865356445</v>
      </c>
      <c r="T169" s="255">
        <v>27.51262092590332</v>
      </c>
    </row>
    <row r="170" spans="2:27">
      <c r="B170" s="249" t="s">
        <v>501</v>
      </c>
      <c r="C170" s="250" t="s">
        <v>282</v>
      </c>
      <c r="D170" s="250" t="s">
        <v>201</v>
      </c>
      <c r="E170" s="251">
        <v>8</v>
      </c>
      <c r="F170" s="251" t="s">
        <v>281</v>
      </c>
      <c r="G170" s="250">
        <v>11274</v>
      </c>
      <c r="H170" s="250">
        <v>5154</v>
      </c>
      <c r="I170" s="250">
        <v>19597</v>
      </c>
      <c r="J170" s="252">
        <v>-9.1000000000000004E-3</v>
      </c>
      <c r="K170" s="250">
        <v>8835</v>
      </c>
      <c r="L170" s="250">
        <v>3951</v>
      </c>
      <c r="M170" s="250">
        <v>15522</v>
      </c>
      <c r="N170" s="250">
        <v>2439</v>
      </c>
      <c r="O170" s="250">
        <v>1203</v>
      </c>
      <c r="P170" s="250">
        <v>4075</v>
      </c>
      <c r="Q170" s="253">
        <v>143207</v>
      </c>
      <c r="R170" s="254">
        <v>17.031290054321289</v>
      </c>
      <c r="S170" s="254">
        <v>8.4004268646240234</v>
      </c>
      <c r="T170" s="255">
        <v>28.455312728881836</v>
      </c>
    </row>
    <row r="171" spans="2:27">
      <c r="B171" s="249" t="s">
        <v>501</v>
      </c>
      <c r="C171" s="250" t="s">
        <v>282</v>
      </c>
      <c r="D171" s="250" t="s">
        <v>201</v>
      </c>
      <c r="E171" s="251">
        <v>9</v>
      </c>
      <c r="F171" s="251" t="s">
        <v>281</v>
      </c>
      <c r="G171" s="250">
        <v>11274</v>
      </c>
      <c r="H171" s="250">
        <v>5154</v>
      </c>
      <c r="I171" s="250">
        <v>19597</v>
      </c>
      <c r="J171" s="252">
        <v>-9.1000000000000004E-3</v>
      </c>
      <c r="K171" s="250">
        <v>8760</v>
      </c>
      <c r="L171" s="250">
        <v>3931</v>
      </c>
      <c r="M171" s="250">
        <v>15409</v>
      </c>
      <c r="N171" s="250">
        <v>2514</v>
      </c>
      <c r="O171" s="250">
        <v>1223</v>
      </c>
      <c r="P171" s="250">
        <v>4188</v>
      </c>
      <c r="Q171" s="253">
        <v>143207</v>
      </c>
      <c r="R171" s="254">
        <v>17.555007934570313</v>
      </c>
      <c r="S171" s="254">
        <v>8.5400857925415039</v>
      </c>
      <c r="T171" s="255">
        <v>29.244380950927734</v>
      </c>
    </row>
    <row r="172" spans="2:27">
      <c r="B172" s="249" t="s">
        <v>501</v>
      </c>
      <c r="C172" s="250" t="s">
        <v>282</v>
      </c>
      <c r="D172" s="250" t="s">
        <v>201</v>
      </c>
      <c r="E172" s="251">
        <v>10</v>
      </c>
      <c r="F172" s="251" t="s">
        <v>281</v>
      </c>
      <c r="G172" s="250">
        <v>11274</v>
      </c>
      <c r="H172" s="250">
        <v>5154</v>
      </c>
      <c r="I172" s="250">
        <v>19597</v>
      </c>
      <c r="J172" s="252">
        <v>-9.1000000000000004E-3</v>
      </c>
      <c r="K172" s="250">
        <v>8660</v>
      </c>
      <c r="L172" s="250">
        <v>3876</v>
      </c>
      <c r="M172" s="250">
        <v>15205</v>
      </c>
      <c r="N172" s="250">
        <v>2614</v>
      </c>
      <c r="O172" s="250">
        <v>1278</v>
      </c>
      <c r="P172" s="250">
        <v>4392</v>
      </c>
      <c r="Q172" s="253">
        <v>143207</v>
      </c>
      <c r="R172" s="254">
        <v>18.253297805786133</v>
      </c>
      <c r="S172" s="254">
        <v>8.9241447448730469</v>
      </c>
      <c r="T172" s="255">
        <v>30.668891906738281</v>
      </c>
    </row>
    <row r="173" spans="2:27">
      <c r="B173" s="249" t="s">
        <v>501</v>
      </c>
      <c r="C173" s="250" t="s">
        <v>282</v>
      </c>
      <c r="D173" s="250" t="s">
        <v>201</v>
      </c>
      <c r="E173" s="251">
        <v>11</v>
      </c>
      <c r="F173" s="251" t="s">
        <v>281</v>
      </c>
      <c r="G173" s="250">
        <v>11274</v>
      </c>
      <c r="H173" s="250">
        <v>5154</v>
      </c>
      <c r="I173" s="250">
        <v>19597</v>
      </c>
      <c r="J173" s="252">
        <v>-9.1000000000000004E-3</v>
      </c>
      <c r="K173" s="250">
        <v>8594</v>
      </c>
      <c r="L173" s="250">
        <v>3841</v>
      </c>
      <c r="M173" s="250">
        <v>15079</v>
      </c>
      <c r="N173" s="250">
        <v>2680</v>
      </c>
      <c r="O173" s="250">
        <v>1313</v>
      </c>
      <c r="P173" s="250">
        <v>4518</v>
      </c>
      <c r="Q173" s="253">
        <v>188016</v>
      </c>
      <c r="R173" s="254">
        <v>14.254106521606445</v>
      </c>
      <c r="S173" s="254">
        <v>6.9834485054016113</v>
      </c>
      <c r="T173" s="255">
        <v>24.029869079589844</v>
      </c>
    </row>
    <row r="174" spans="2:27">
      <c r="B174" s="249" t="s">
        <v>501</v>
      </c>
      <c r="C174" s="250" t="s">
        <v>282</v>
      </c>
      <c r="D174" s="250" t="s">
        <v>201</v>
      </c>
      <c r="E174" s="251">
        <v>12</v>
      </c>
      <c r="F174" s="251" t="s">
        <v>281</v>
      </c>
      <c r="G174" s="250">
        <v>11274</v>
      </c>
      <c r="H174" s="250">
        <v>5154</v>
      </c>
      <c r="I174" s="250">
        <v>19597</v>
      </c>
      <c r="J174" s="252">
        <v>-9.1000000000000004E-3</v>
      </c>
      <c r="K174" s="250">
        <v>8512</v>
      </c>
      <c r="L174" s="250">
        <v>3810</v>
      </c>
      <c r="M174" s="250">
        <v>14953</v>
      </c>
      <c r="N174" s="250">
        <v>2762</v>
      </c>
      <c r="O174" s="250">
        <v>1344</v>
      </c>
      <c r="P174" s="250">
        <v>4644</v>
      </c>
      <c r="Q174" s="253">
        <v>143207</v>
      </c>
      <c r="R174" s="254">
        <v>19.286766052246094</v>
      </c>
      <c r="S174" s="254">
        <v>9.3850154876708984</v>
      </c>
      <c r="T174" s="255">
        <v>32.428581237792969</v>
      </c>
    </row>
    <row r="175" spans="2:27">
      <c r="B175" s="249" t="s">
        <v>501</v>
      </c>
      <c r="C175" s="250" t="s">
        <v>282</v>
      </c>
      <c r="D175" s="250" t="s">
        <v>201</v>
      </c>
      <c r="E175" s="251">
        <v>13</v>
      </c>
      <c r="F175" s="251" t="s">
        <v>281</v>
      </c>
      <c r="G175" s="250">
        <v>11274</v>
      </c>
      <c r="H175" s="250">
        <v>5154</v>
      </c>
      <c r="I175" s="250">
        <v>19597</v>
      </c>
      <c r="J175" s="252">
        <v>-9.1000000000000004E-3</v>
      </c>
      <c r="K175" s="250">
        <v>8433</v>
      </c>
      <c r="L175" s="250">
        <v>3777</v>
      </c>
      <c r="M175" s="250">
        <v>14805</v>
      </c>
      <c r="N175" s="250">
        <v>2841</v>
      </c>
      <c r="O175" s="250">
        <v>1377</v>
      </c>
      <c r="P175" s="250">
        <v>4792</v>
      </c>
      <c r="Q175" s="253">
        <v>143207</v>
      </c>
      <c r="R175" s="254">
        <v>19.838415145874023</v>
      </c>
      <c r="S175" s="254">
        <v>9.6154518127441406</v>
      </c>
      <c r="T175" s="255">
        <v>33.462051391601563</v>
      </c>
    </row>
    <row r="176" spans="2:27">
      <c r="B176" s="249" t="s">
        <v>501</v>
      </c>
      <c r="C176" s="250" t="s">
        <v>282</v>
      </c>
      <c r="D176" s="250" t="s">
        <v>201</v>
      </c>
      <c r="E176" s="251">
        <v>14</v>
      </c>
      <c r="F176" s="251" t="s">
        <v>281</v>
      </c>
      <c r="G176" s="250">
        <v>11274</v>
      </c>
      <c r="H176" s="250">
        <v>5154</v>
      </c>
      <c r="I176" s="250">
        <v>19597</v>
      </c>
      <c r="J176" s="252">
        <v>-9.1000000000000004E-3</v>
      </c>
      <c r="K176" s="250">
        <v>8351</v>
      </c>
      <c r="L176" s="250">
        <v>3743</v>
      </c>
      <c r="M176" s="250">
        <v>14669</v>
      </c>
      <c r="N176" s="250">
        <v>2923</v>
      </c>
      <c r="O176" s="250">
        <v>1411</v>
      </c>
      <c r="P176" s="250">
        <v>4928</v>
      </c>
      <c r="Q176" s="253">
        <v>143207</v>
      </c>
      <c r="R176" s="254">
        <v>20.411012649536133</v>
      </c>
      <c r="S176" s="254">
        <v>9.852869987487793</v>
      </c>
      <c r="T176" s="255">
        <v>34.411724090576172</v>
      </c>
    </row>
    <row r="177" spans="2:20">
      <c r="B177" s="256" t="s">
        <v>501</v>
      </c>
      <c r="C177" s="257" t="s">
        <v>282</v>
      </c>
      <c r="D177" s="257" t="s">
        <v>201</v>
      </c>
      <c r="E177" s="258">
        <v>15</v>
      </c>
      <c r="F177" s="258" t="s">
        <v>281</v>
      </c>
      <c r="G177" s="257">
        <v>11274</v>
      </c>
      <c r="H177" s="257">
        <v>5154</v>
      </c>
      <c r="I177" s="257">
        <v>19597</v>
      </c>
      <c r="J177" s="259">
        <v>-9.1000000000000004E-3</v>
      </c>
      <c r="K177" s="257">
        <v>8286</v>
      </c>
      <c r="L177" s="257">
        <v>3702</v>
      </c>
      <c r="M177" s="257">
        <v>14550</v>
      </c>
      <c r="N177" s="257">
        <v>2988</v>
      </c>
      <c r="O177" s="257">
        <v>1452</v>
      </c>
      <c r="P177" s="257">
        <v>5047</v>
      </c>
      <c r="Q177" s="260">
        <v>143207</v>
      </c>
      <c r="R177" s="261">
        <v>20.864902496337891</v>
      </c>
      <c r="S177" s="261">
        <v>10.139168739318848</v>
      </c>
      <c r="T177" s="262">
        <v>35.242691040039063</v>
      </c>
    </row>
    <row r="178" spans="2:20">
      <c r="B178" s="249" t="s">
        <v>501</v>
      </c>
      <c r="C178" s="250" t="s">
        <v>77</v>
      </c>
      <c r="D178" s="250" t="s">
        <v>502</v>
      </c>
      <c r="E178" s="251">
        <v>1</v>
      </c>
      <c r="F178" s="251" t="s">
        <v>281</v>
      </c>
      <c r="G178" s="250">
        <v>11274</v>
      </c>
      <c r="H178" s="250">
        <v>5154</v>
      </c>
      <c r="I178" s="250">
        <v>19597</v>
      </c>
      <c r="J178" s="252">
        <v>-1.0800000000000001E-2</v>
      </c>
      <c r="K178" s="250">
        <v>10720</v>
      </c>
      <c r="L178" s="250">
        <v>4771</v>
      </c>
      <c r="M178" s="250">
        <v>18886</v>
      </c>
      <c r="N178" s="250">
        <v>554</v>
      </c>
      <c r="O178" s="250">
        <v>383</v>
      </c>
      <c r="P178" s="250">
        <v>711</v>
      </c>
      <c r="Q178" s="253">
        <v>291952</v>
      </c>
      <c r="R178" s="254">
        <v>1.8975721597671509</v>
      </c>
      <c r="S178" s="254">
        <v>1.3118594884872437</v>
      </c>
      <c r="T178" s="255">
        <v>2.4353318214416504</v>
      </c>
    </row>
    <row r="179" spans="2:20">
      <c r="B179" s="249" t="s">
        <v>501</v>
      </c>
      <c r="C179" s="250" t="s">
        <v>77</v>
      </c>
      <c r="D179" s="250" t="s">
        <v>502</v>
      </c>
      <c r="E179" s="251">
        <v>2</v>
      </c>
      <c r="F179" s="251" t="s">
        <v>281</v>
      </c>
      <c r="G179" s="250">
        <v>11274</v>
      </c>
      <c r="H179" s="250">
        <v>5154</v>
      </c>
      <c r="I179" s="250">
        <v>19597</v>
      </c>
      <c r="J179" s="252">
        <v>-1.0800000000000001E-2</v>
      </c>
      <c r="K179" s="250">
        <v>10633</v>
      </c>
      <c r="L179" s="250">
        <v>4745</v>
      </c>
      <c r="M179" s="250">
        <v>18713</v>
      </c>
      <c r="N179" s="250">
        <v>641</v>
      </c>
      <c r="O179" s="250">
        <v>409</v>
      </c>
      <c r="P179" s="250">
        <v>884</v>
      </c>
      <c r="Q179" s="253">
        <v>503800</v>
      </c>
      <c r="R179" s="254">
        <v>1.2723302841186523</v>
      </c>
      <c r="S179" s="254">
        <v>0.81183010339736938</v>
      </c>
      <c r="T179" s="255">
        <v>1.7546645402908325</v>
      </c>
    </row>
    <row r="180" spans="2:20">
      <c r="B180" s="249" t="s">
        <v>501</v>
      </c>
      <c r="C180" s="250" t="s">
        <v>77</v>
      </c>
      <c r="D180" s="250" t="s">
        <v>502</v>
      </c>
      <c r="E180" s="251">
        <v>3</v>
      </c>
      <c r="F180" s="251" t="s">
        <v>281</v>
      </c>
      <c r="G180" s="250">
        <v>11274</v>
      </c>
      <c r="H180" s="250">
        <v>5154</v>
      </c>
      <c r="I180" s="250">
        <v>19597</v>
      </c>
      <c r="J180" s="252">
        <v>-1.0800000000000001E-2</v>
      </c>
      <c r="K180" s="250">
        <v>10535</v>
      </c>
      <c r="L180" s="250">
        <v>4701</v>
      </c>
      <c r="M180" s="250">
        <v>18542</v>
      </c>
      <c r="N180" s="250">
        <v>739</v>
      </c>
      <c r="O180" s="250">
        <v>453</v>
      </c>
      <c r="P180" s="250">
        <v>1055</v>
      </c>
      <c r="Q180" s="253">
        <v>336131</v>
      </c>
      <c r="R180" s="254">
        <v>2.1985476016998291</v>
      </c>
      <c r="S180" s="254">
        <v>1.3476887941360474</v>
      </c>
      <c r="T180" s="255">
        <v>3.1386570930480957</v>
      </c>
    </row>
    <row r="181" spans="2:20">
      <c r="B181" s="249" t="s">
        <v>501</v>
      </c>
      <c r="C181" s="250" t="s">
        <v>77</v>
      </c>
      <c r="D181" s="250" t="s">
        <v>502</v>
      </c>
      <c r="E181" s="251">
        <v>4</v>
      </c>
      <c r="F181" s="251" t="s">
        <v>281</v>
      </c>
      <c r="G181" s="250">
        <v>11274</v>
      </c>
      <c r="H181" s="250">
        <v>5154</v>
      </c>
      <c r="I181" s="250">
        <v>19597</v>
      </c>
      <c r="J181" s="252">
        <v>-1.0800000000000001E-2</v>
      </c>
      <c r="K181" s="250">
        <v>10422</v>
      </c>
      <c r="L181" s="250">
        <v>4658</v>
      </c>
      <c r="M181" s="250">
        <v>18358</v>
      </c>
      <c r="N181" s="250">
        <v>852</v>
      </c>
      <c r="O181" s="250">
        <v>496</v>
      </c>
      <c r="P181" s="250">
        <v>1239</v>
      </c>
      <c r="Q181" s="253">
        <v>353502</v>
      </c>
      <c r="R181" s="254">
        <v>2.4101700782775879</v>
      </c>
      <c r="S181" s="254">
        <v>1.4031038284301758</v>
      </c>
      <c r="T181" s="255">
        <v>3.5049307346343994</v>
      </c>
    </row>
    <row r="182" spans="2:20">
      <c r="B182" s="249" t="s">
        <v>501</v>
      </c>
      <c r="C182" s="250" t="s">
        <v>77</v>
      </c>
      <c r="D182" s="250" t="s">
        <v>502</v>
      </c>
      <c r="E182" s="251">
        <v>5</v>
      </c>
      <c r="F182" s="251" t="s">
        <v>281</v>
      </c>
      <c r="G182" s="250">
        <v>11274</v>
      </c>
      <c r="H182" s="250">
        <v>5154</v>
      </c>
      <c r="I182" s="250">
        <v>19597</v>
      </c>
      <c r="J182" s="252">
        <v>-1.0800000000000001E-2</v>
      </c>
      <c r="K182" s="250">
        <v>10322</v>
      </c>
      <c r="L182" s="250">
        <v>4608</v>
      </c>
      <c r="M182" s="250">
        <v>18163</v>
      </c>
      <c r="N182" s="250">
        <v>952</v>
      </c>
      <c r="O182" s="250">
        <v>546</v>
      </c>
      <c r="P182" s="250">
        <v>1434</v>
      </c>
      <c r="Q182" s="253">
        <v>336131</v>
      </c>
      <c r="R182" s="254">
        <v>2.8322288990020752</v>
      </c>
      <c r="S182" s="254">
        <v>1.6243667602539063</v>
      </c>
      <c r="T182" s="255">
        <v>4.2661938667297363</v>
      </c>
    </row>
    <row r="183" spans="2:20">
      <c r="B183" s="249" t="s">
        <v>501</v>
      </c>
      <c r="C183" s="250" t="s">
        <v>77</v>
      </c>
      <c r="D183" s="250" t="s">
        <v>201</v>
      </c>
      <c r="E183" s="251">
        <v>6</v>
      </c>
      <c r="F183" s="251" t="s">
        <v>281</v>
      </c>
      <c r="G183" s="250">
        <v>11274</v>
      </c>
      <c r="H183" s="250">
        <v>5154</v>
      </c>
      <c r="I183" s="250">
        <v>19597</v>
      </c>
      <c r="J183" s="252">
        <v>-8.0000000000000004E-4</v>
      </c>
      <c r="K183" s="250">
        <v>10319</v>
      </c>
      <c r="L183" s="250">
        <v>4606</v>
      </c>
      <c r="M183" s="250">
        <v>18152</v>
      </c>
      <c r="N183" s="250">
        <v>955</v>
      </c>
      <c r="O183" s="250">
        <v>548</v>
      </c>
      <c r="P183" s="250">
        <v>1445</v>
      </c>
      <c r="Q183" s="253">
        <v>231478</v>
      </c>
      <c r="R183" s="254">
        <v>4.1256623268127441</v>
      </c>
      <c r="S183" s="254">
        <v>2.3673956394195557</v>
      </c>
      <c r="T183" s="255">
        <v>6.2424941062927246</v>
      </c>
    </row>
    <row r="184" spans="2:20">
      <c r="B184" s="249" t="s">
        <v>501</v>
      </c>
      <c r="C184" s="250" t="s">
        <v>77</v>
      </c>
      <c r="D184" s="250" t="s">
        <v>201</v>
      </c>
      <c r="E184" s="251">
        <v>7</v>
      </c>
      <c r="F184" s="251" t="s">
        <v>281</v>
      </c>
      <c r="G184" s="250">
        <v>11274</v>
      </c>
      <c r="H184" s="250">
        <v>5154</v>
      </c>
      <c r="I184" s="250">
        <v>19597</v>
      </c>
      <c r="J184" s="252">
        <v>-8.0000000000000004E-4</v>
      </c>
      <c r="K184" s="250">
        <v>10305</v>
      </c>
      <c r="L184" s="250">
        <v>4601</v>
      </c>
      <c r="M184" s="250">
        <v>18142</v>
      </c>
      <c r="N184" s="250">
        <v>969</v>
      </c>
      <c r="O184" s="250">
        <v>553</v>
      </c>
      <c r="P184" s="250">
        <v>1455</v>
      </c>
      <c r="Q184" s="253">
        <v>177294</v>
      </c>
      <c r="R184" s="254">
        <v>5.4654979705810547</v>
      </c>
      <c r="S184" s="254">
        <v>3.1191129684448242</v>
      </c>
      <c r="T184" s="255">
        <v>8.2067070007324219</v>
      </c>
    </row>
    <row r="185" spans="2:20">
      <c r="B185" s="249" t="s">
        <v>501</v>
      </c>
      <c r="C185" s="250" t="s">
        <v>77</v>
      </c>
      <c r="D185" s="250" t="s">
        <v>201</v>
      </c>
      <c r="E185" s="251">
        <v>8</v>
      </c>
      <c r="F185" s="251" t="s">
        <v>281</v>
      </c>
      <c r="G185" s="250">
        <v>11274</v>
      </c>
      <c r="H185" s="250">
        <v>5154</v>
      </c>
      <c r="I185" s="250">
        <v>19597</v>
      </c>
      <c r="J185" s="252">
        <v>-8.0000000000000004E-4</v>
      </c>
      <c r="K185" s="250">
        <v>10301</v>
      </c>
      <c r="L185" s="250">
        <v>4601</v>
      </c>
      <c r="M185" s="250">
        <v>18126</v>
      </c>
      <c r="N185" s="250">
        <v>973</v>
      </c>
      <c r="O185" s="250">
        <v>553</v>
      </c>
      <c r="P185" s="250">
        <v>1471</v>
      </c>
      <c r="Q185" s="253">
        <v>159923</v>
      </c>
      <c r="R185" s="254">
        <v>6.0841779708862305</v>
      </c>
      <c r="S185" s="254">
        <v>3.4579141139984131</v>
      </c>
      <c r="T185" s="255">
        <v>9.198176383972168</v>
      </c>
    </row>
    <row r="186" spans="2:20">
      <c r="B186" s="249" t="s">
        <v>501</v>
      </c>
      <c r="C186" s="250" t="s">
        <v>77</v>
      </c>
      <c r="D186" s="250" t="s">
        <v>201</v>
      </c>
      <c r="E186" s="251">
        <v>9</v>
      </c>
      <c r="F186" s="251" t="s">
        <v>281</v>
      </c>
      <c r="G186" s="250">
        <v>11274</v>
      </c>
      <c r="H186" s="250">
        <v>5154</v>
      </c>
      <c r="I186" s="250">
        <v>19597</v>
      </c>
      <c r="J186" s="252">
        <v>-8.0000000000000004E-4</v>
      </c>
      <c r="K186" s="250">
        <v>10287</v>
      </c>
      <c r="L186" s="250">
        <v>4600</v>
      </c>
      <c r="M186" s="250">
        <v>18109</v>
      </c>
      <c r="N186" s="250">
        <v>987</v>
      </c>
      <c r="O186" s="250">
        <v>554</v>
      </c>
      <c r="P186" s="250">
        <v>1488</v>
      </c>
      <c r="Q186" s="253">
        <v>159923</v>
      </c>
      <c r="R186" s="254">
        <v>6.171720027923584</v>
      </c>
      <c r="S186" s="254">
        <v>3.4641673564910889</v>
      </c>
      <c r="T186" s="255">
        <v>9.3044776916503906</v>
      </c>
    </row>
    <row r="187" spans="2:20">
      <c r="B187" s="249" t="s">
        <v>501</v>
      </c>
      <c r="C187" s="250" t="s">
        <v>77</v>
      </c>
      <c r="D187" s="250" t="s">
        <v>201</v>
      </c>
      <c r="E187" s="251">
        <v>10</v>
      </c>
      <c r="F187" s="251" t="s">
        <v>281</v>
      </c>
      <c r="G187" s="250">
        <v>11274</v>
      </c>
      <c r="H187" s="250">
        <v>5154</v>
      </c>
      <c r="I187" s="250">
        <v>19597</v>
      </c>
      <c r="J187" s="252">
        <v>-8.0000000000000004E-4</v>
      </c>
      <c r="K187" s="250">
        <v>10284</v>
      </c>
      <c r="L187" s="250">
        <v>4598</v>
      </c>
      <c r="M187" s="250">
        <v>18093</v>
      </c>
      <c r="N187" s="250">
        <v>990</v>
      </c>
      <c r="O187" s="250">
        <v>556</v>
      </c>
      <c r="P187" s="250">
        <v>1504</v>
      </c>
      <c r="Q187" s="253">
        <v>177294</v>
      </c>
      <c r="R187" s="254">
        <v>5.5839452743530273</v>
      </c>
      <c r="S187" s="254">
        <v>3.1360337734222412</v>
      </c>
      <c r="T187" s="255">
        <v>8.4830846786499023</v>
      </c>
    </row>
    <row r="188" spans="2:20">
      <c r="B188" s="249" t="s">
        <v>501</v>
      </c>
      <c r="C188" s="250" t="s">
        <v>77</v>
      </c>
      <c r="D188" s="250" t="s">
        <v>201</v>
      </c>
      <c r="E188" s="251">
        <v>11</v>
      </c>
      <c r="F188" s="251" t="s">
        <v>281</v>
      </c>
      <c r="G188" s="250">
        <v>11274</v>
      </c>
      <c r="H188" s="250">
        <v>5154</v>
      </c>
      <c r="I188" s="250">
        <v>19597</v>
      </c>
      <c r="J188" s="252">
        <v>-8.0000000000000004E-4</v>
      </c>
      <c r="K188" s="250">
        <v>10278</v>
      </c>
      <c r="L188" s="250">
        <v>4595</v>
      </c>
      <c r="M188" s="250">
        <v>18082</v>
      </c>
      <c r="N188" s="250">
        <v>996</v>
      </c>
      <c r="O188" s="250">
        <v>559</v>
      </c>
      <c r="P188" s="250">
        <v>1515</v>
      </c>
      <c r="Q188" s="253">
        <v>231478</v>
      </c>
      <c r="R188" s="254">
        <v>4.3027849197387695</v>
      </c>
      <c r="S188" s="254">
        <v>2.4149165153503418</v>
      </c>
      <c r="T188" s="255">
        <v>6.5448980331420898</v>
      </c>
    </row>
    <row r="189" spans="2:20">
      <c r="B189" s="249" t="s">
        <v>501</v>
      </c>
      <c r="C189" s="250" t="s">
        <v>77</v>
      </c>
      <c r="D189" s="250" t="s">
        <v>201</v>
      </c>
      <c r="E189" s="251">
        <v>12</v>
      </c>
      <c r="F189" s="251" t="s">
        <v>281</v>
      </c>
      <c r="G189" s="250">
        <v>11274</v>
      </c>
      <c r="H189" s="250">
        <v>5154</v>
      </c>
      <c r="I189" s="250">
        <v>19597</v>
      </c>
      <c r="J189" s="252">
        <v>-8.0000000000000004E-4</v>
      </c>
      <c r="K189" s="250">
        <v>10273</v>
      </c>
      <c r="L189" s="250">
        <v>4593</v>
      </c>
      <c r="M189" s="250">
        <v>18076</v>
      </c>
      <c r="N189" s="250">
        <v>1001</v>
      </c>
      <c r="O189" s="250">
        <v>561</v>
      </c>
      <c r="P189" s="250">
        <v>1521</v>
      </c>
      <c r="Q189" s="253">
        <v>159923</v>
      </c>
      <c r="R189" s="254">
        <v>6.2592620849609375</v>
      </c>
      <c r="S189" s="254">
        <v>3.5079381465911865</v>
      </c>
      <c r="T189" s="255">
        <v>9.5108270645141602</v>
      </c>
    </row>
    <row r="190" spans="2:20">
      <c r="B190" s="249" t="s">
        <v>501</v>
      </c>
      <c r="C190" s="250" t="s">
        <v>77</v>
      </c>
      <c r="D190" s="250" t="s">
        <v>201</v>
      </c>
      <c r="E190" s="251">
        <v>13</v>
      </c>
      <c r="F190" s="251" t="s">
        <v>281</v>
      </c>
      <c r="G190" s="250">
        <v>11274</v>
      </c>
      <c r="H190" s="250">
        <v>5154</v>
      </c>
      <c r="I190" s="250">
        <v>19597</v>
      </c>
      <c r="J190" s="252">
        <v>-8.0000000000000004E-4</v>
      </c>
      <c r="K190" s="250">
        <v>10262</v>
      </c>
      <c r="L190" s="250">
        <v>4583</v>
      </c>
      <c r="M190" s="250">
        <v>18047</v>
      </c>
      <c r="N190" s="250">
        <v>1012</v>
      </c>
      <c r="O190" s="250">
        <v>571</v>
      </c>
      <c r="P190" s="250">
        <v>1550</v>
      </c>
      <c r="Q190" s="253">
        <v>177294</v>
      </c>
      <c r="R190" s="254">
        <v>5.7080326080322266</v>
      </c>
      <c r="S190" s="254">
        <v>3.2206392288208008</v>
      </c>
      <c r="T190" s="255">
        <v>8.7425413131713867</v>
      </c>
    </row>
    <row r="191" spans="2:20">
      <c r="B191" s="249" t="s">
        <v>501</v>
      </c>
      <c r="C191" s="250" t="s">
        <v>77</v>
      </c>
      <c r="D191" s="250" t="s">
        <v>201</v>
      </c>
      <c r="E191" s="251">
        <v>14</v>
      </c>
      <c r="F191" s="251" t="s">
        <v>281</v>
      </c>
      <c r="G191" s="250">
        <v>11274</v>
      </c>
      <c r="H191" s="250">
        <v>5154</v>
      </c>
      <c r="I191" s="250">
        <v>19597</v>
      </c>
      <c r="J191" s="252">
        <v>-8.0000000000000004E-4</v>
      </c>
      <c r="K191" s="250">
        <v>10259</v>
      </c>
      <c r="L191" s="250">
        <v>4582</v>
      </c>
      <c r="M191" s="250">
        <v>18044</v>
      </c>
      <c r="N191" s="250">
        <v>1015</v>
      </c>
      <c r="O191" s="250">
        <v>572</v>
      </c>
      <c r="P191" s="250">
        <v>1553</v>
      </c>
      <c r="Q191" s="253">
        <v>159923</v>
      </c>
      <c r="R191" s="254">
        <v>6.3468046188354492</v>
      </c>
      <c r="S191" s="254">
        <v>3.57672119140625</v>
      </c>
      <c r="T191" s="255">
        <v>9.7109241485595703</v>
      </c>
    </row>
    <row r="192" spans="2:20">
      <c r="B192" s="256" t="s">
        <v>501</v>
      </c>
      <c r="C192" s="257" t="s">
        <v>77</v>
      </c>
      <c r="D192" s="257" t="s">
        <v>201</v>
      </c>
      <c r="E192" s="258">
        <v>15</v>
      </c>
      <c r="F192" s="258" t="s">
        <v>281</v>
      </c>
      <c r="G192" s="257">
        <v>11274</v>
      </c>
      <c r="H192" s="257">
        <v>5154</v>
      </c>
      <c r="I192" s="257">
        <v>19597</v>
      </c>
      <c r="J192" s="259">
        <v>-8.0000000000000004E-4</v>
      </c>
      <c r="K192" s="257">
        <v>10253</v>
      </c>
      <c r="L192" s="257">
        <v>4579</v>
      </c>
      <c r="M192" s="257">
        <v>18037</v>
      </c>
      <c r="N192" s="257">
        <v>1021</v>
      </c>
      <c r="O192" s="257">
        <v>575</v>
      </c>
      <c r="P192" s="257">
        <v>1560</v>
      </c>
      <c r="Q192" s="260">
        <v>159923</v>
      </c>
      <c r="R192" s="261">
        <v>6.3843226432800293</v>
      </c>
      <c r="S192" s="261">
        <v>3.59548020362854</v>
      </c>
      <c r="T192" s="262">
        <v>9.7546939849853516</v>
      </c>
    </row>
    <row r="193" spans="2:20">
      <c r="B193" s="249" t="s">
        <v>501</v>
      </c>
      <c r="C193" s="250" t="s">
        <v>121</v>
      </c>
      <c r="D193" s="250" t="s">
        <v>502</v>
      </c>
      <c r="E193" s="251">
        <v>1</v>
      </c>
      <c r="F193" s="251" t="s">
        <v>281</v>
      </c>
      <c r="G193" s="250">
        <v>11274</v>
      </c>
      <c r="H193" s="250">
        <v>5154</v>
      </c>
      <c r="I193" s="250">
        <v>19597</v>
      </c>
      <c r="J193" s="252">
        <v>-0.02</v>
      </c>
      <c r="K193" s="250">
        <v>10645</v>
      </c>
      <c r="L193" s="250">
        <v>4750</v>
      </c>
      <c r="M193" s="250">
        <v>18749</v>
      </c>
      <c r="N193" s="250">
        <v>629</v>
      </c>
      <c r="O193" s="250">
        <v>404</v>
      </c>
      <c r="P193" s="250">
        <v>848</v>
      </c>
      <c r="Q193" s="253">
        <v>133969</v>
      </c>
      <c r="R193" s="254">
        <v>4.6951160430908203</v>
      </c>
      <c r="S193" s="254">
        <v>3.0156228542327881</v>
      </c>
      <c r="T193" s="255">
        <v>6.3298225402832031</v>
      </c>
    </row>
    <row r="194" spans="2:20">
      <c r="B194" s="249" t="s">
        <v>501</v>
      </c>
      <c r="C194" s="250" t="s">
        <v>121</v>
      </c>
      <c r="D194" s="250" t="s">
        <v>502</v>
      </c>
      <c r="E194" s="251">
        <v>2</v>
      </c>
      <c r="F194" s="251" t="s">
        <v>281</v>
      </c>
      <c r="G194" s="250">
        <v>11274</v>
      </c>
      <c r="H194" s="250">
        <v>5154</v>
      </c>
      <c r="I194" s="250">
        <v>19597</v>
      </c>
      <c r="J194" s="252">
        <v>-0.02</v>
      </c>
      <c r="K194" s="250">
        <v>10451</v>
      </c>
      <c r="L194" s="250">
        <v>4669</v>
      </c>
      <c r="M194" s="250">
        <v>18415</v>
      </c>
      <c r="N194" s="250">
        <v>823</v>
      </c>
      <c r="O194" s="250">
        <v>485</v>
      </c>
      <c r="P194" s="250">
        <v>1182</v>
      </c>
      <c r="Q194" s="253">
        <v>273304</v>
      </c>
      <c r="R194" s="254">
        <v>3.0112988948822021</v>
      </c>
      <c r="S194" s="254">
        <v>1.774580717086792</v>
      </c>
      <c r="T194" s="255">
        <v>4.3248543739318848</v>
      </c>
    </row>
    <row r="195" spans="2:20">
      <c r="B195" s="249" t="s">
        <v>501</v>
      </c>
      <c r="C195" s="250" t="s">
        <v>121</v>
      </c>
      <c r="D195" s="250" t="s">
        <v>502</v>
      </c>
      <c r="E195" s="251">
        <v>3</v>
      </c>
      <c r="F195" s="251" t="s">
        <v>281</v>
      </c>
      <c r="G195" s="250">
        <v>11274</v>
      </c>
      <c r="H195" s="250">
        <v>5154</v>
      </c>
      <c r="I195" s="250">
        <v>19597</v>
      </c>
      <c r="J195" s="252">
        <v>-0.02</v>
      </c>
      <c r="K195" s="250">
        <v>10271</v>
      </c>
      <c r="L195" s="250">
        <v>4593</v>
      </c>
      <c r="M195" s="250">
        <v>18065</v>
      </c>
      <c r="N195" s="250">
        <v>1003</v>
      </c>
      <c r="O195" s="250">
        <v>561</v>
      </c>
      <c r="P195" s="250">
        <v>1532</v>
      </c>
      <c r="Q195" s="253">
        <v>170998</v>
      </c>
      <c r="R195" s="254">
        <v>5.865565299987793</v>
      </c>
      <c r="S195" s="254">
        <v>3.2807402610778809</v>
      </c>
      <c r="T195" s="255">
        <v>8.9591693878173828</v>
      </c>
    </row>
    <row r="196" spans="2:20">
      <c r="B196" s="249" t="s">
        <v>501</v>
      </c>
      <c r="C196" s="250" t="s">
        <v>121</v>
      </c>
      <c r="D196" s="250" t="s">
        <v>502</v>
      </c>
      <c r="E196" s="251">
        <v>4</v>
      </c>
      <c r="F196" s="251" t="s">
        <v>281</v>
      </c>
      <c r="G196" s="250">
        <v>11274</v>
      </c>
      <c r="H196" s="250">
        <v>5154</v>
      </c>
      <c r="I196" s="250">
        <v>19597</v>
      </c>
      <c r="J196" s="252">
        <v>-0.02</v>
      </c>
      <c r="K196" s="250">
        <v>10065</v>
      </c>
      <c r="L196" s="250">
        <v>4496</v>
      </c>
      <c r="M196" s="250">
        <v>17692</v>
      </c>
      <c r="N196" s="250">
        <v>1209</v>
      </c>
      <c r="O196" s="250">
        <v>658</v>
      </c>
      <c r="P196" s="250">
        <v>1905</v>
      </c>
      <c r="Q196" s="253">
        <v>170998</v>
      </c>
      <c r="R196" s="254">
        <v>7.0702581405639648</v>
      </c>
      <c r="S196" s="254">
        <v>3.8479983806610107</v>
      </c>
      <c r="T196" s="255">
        <v>11.140481948852539</v>
      </c>
    </row>
    <row r="197" spans="2:20">
      <c r="B197" s="249" t="s">
        <v>501</v>
      </c>
      <c r="C197" s="250" t="s">
        <v>121</v>
      </c>
      <c r="D197" s="250" t="s">
        <v>502</v>
      </c>
      <c r="E197" s="251">
        <v>5</v>
      </c>
      <c r="F197" s="251" t="s">
        <v>281</v>
      </c>
      <c r="G197" s="250">
        <v>11274</v>
      </c>
      <c r="H197" s="250">
        <v>5154</v>
      </c>
      <c r="I197" s="250">
        <v>19597</v>
      </c>
      <c r="J197" s="252">
        <v>-0.02</v>
      </c>
      <c r="K197" s="250">
        <v>9880</v>
      </c>
      <c r="L197" s="250">
        <v>4407</v>
      </c>
      <c r="M197" s="250">
        <v>17356</v>
      </c>
      <c r="N197" s="250">
        <v>1394</v>
      </c>
      <c r="O197" s="250">
        <v>747</v>
      </c>
      <c r="P197" s="250">
        <v>2241</v>
      </c>
      <c r="Q197" s="253">
        <v>170998</v>
      </c>
      <c r="R197" s="254">
        <v>8.1521425247192383</v>
      </c>
      <c r="S197" s="254">
        <v>4.3684725761413574</v>
      </c>
      <c r="T197" s="255">
        <v>13.105416297912598</v>
      </c>
    </row>
    <row r="198" spans="2:20">
      <c r="B198" s="249" t="s">
        <v>501</v>
      </c>
      <c r="C198" s="250" t="s">
        <v>121</v>
      </c>
      <c r="D198" s="250" t="s">
        <v>201</v>
      </c>
      <c r="E198" s="251">
        <v>6</v>
      </c>
      <c r="F198" s="251" t="s">
        <v>281</v>
      </c>
      <c r="G198" s="250">
        <v>11274</v>
      </c>
      <c r="H198" s="250">
        <v>5154</v>
      </c>
      <c r="I198" s="250">
        <v>19597</v>
      </c>
      <c r="J198" s="252">
        <v>-2E-3</v>
      </c>
      <c r="K198" s="250">
        <v>9858</v>
      </c>
      <c r="L198" s="250">
        <v>4403</v>
      </c>
      <c r="M198" s="250">
        <v>17327</v>
      </c>
      <c r="N198" s="250">
        <v>1416</v>
      </c>
      <c r="O198" s="250">
        <v>751</v>
      </c>
      <c r="P198" s="250">
        <v>2270</v>
      </c>
      <c r="Q198" s="253">
        <v>123966</v>
      </c>
      <c r="R198" s="254">
        <v>11.422487258911133</v>
      </c>
      <c r="S198" s="254">
        <v>6.058112621307373</v>
      </c>
      <c r="T198" s="255">
        <v>18.311471939086914</v>
      </c>
    </row>
    <row r="199" spans="2:20">
      <c r="B199" s="249" t="s">
        <v>501</v>
      </c>
      <c r="C199" s="250" t="s">
        <v>121</v>
      </c>
      <c r="D199" s="250" t="s">
        <v>201</v>
      </c>
      <c r="E199" s="251">
        <v>7</v>
      </c>
      <c r="F199" s="251" t="s">
        <v>281</v>
      </c>
      <c r="G199" s="250">
        <v>11274</v>
      </c>
      <c r="H199" s="250">
        <v>5154</v>
      </c>
      <c r="I199" s="250">
        <v>19597</v>
      </c>
      <c r="J199" s="252">
        <v>-2E-3</v>
      </c>
      <c r="K199" s="250">
        <v>9840</v>
      </c>
      <c r="L199" s="250">
        <v>4399</v>
      </c>
      <c r="M199" s="250">
        <v>17301</v>
      </c>
      <c r="N199" s="250">
        <v>1434</v>
      </c>
      <c r="O199" s="250">
        <v>755</v>
      </c>
      <c r="P199" s="250">
        <v>2296</v>
      </c>
      <c r="Q199" s="253">
        <v>93727</v>
      </c>
      <c r="R199" s="254">
        <v>15.299753189086914</v>
      </c>
      <c r="S199" s="254">
        <v>8.0553092956542969</v>
      </c>
      <c r="T199" s="255">
        <v>24.496675491333008</v>
      </c>
    </row>
    <row r="200" spans="2:20">
      <c r="B200" s="249" t="s">
        <v>501</v>
      </c>
      <c r="C200" s="250" t="s">
        <v>121</v>
      </c>
      <c r="D200" s="250" t="s">
        <v>201</v>
      </c>
      <c r="E200" s="251">
        <v>8</v>
      </c>
      <c r="F200" s="251" t="s">
        <v>281</v>
      </c>
      <c r="G200" s="250">
        <v>11274</v>
      </c>
      <c r="H200" s="250">
        <v>5154</v>
      </c>
      <c r="I200" s="250">
        <v>19597</v>
      </c>
      <c r="J200" s="252">
        <v>-2E-3</v>
      </c>
      <c r="K200" s="250">
        <v>9815</v>
      </c>
      <c r="L200" s="250">
        <v>4381</v>
      </c>
      <c r="M200" s="250">
        <v>17239</v>
      </c>
      <c r="N200" s="250">
        <v>1459</v>
      </c>
      <c r="O200" s="250">
        <v>773</v>
      </c>
      <c r="P200" s="250">
        <v>2358</v>
      </c>
      <c r="Q200" s="253">
        <v>93727</v>
      </c>
      <c r="R200" s="254">
        <v>15.566486358642578</v>
      </c>
      <c r="S200" s="254">
        <v>8.2473564147949219</v>
      </c>
      <c r="T200" s="255">
        <v>25.158172607421875</v>
      </c>
    </row>
    <row r="201" spans="2:20">
      <c r="B201" s="249" t="s">
        <v>501</v>
      </c>
      <c r="C201" s="250" t="s">
        <v>121</v>
      </c>
      <c r="D201" s="250" t="s">
        <v>201</v>
      </c>
      <c r="E201" s="251">
        <v>9</v>
      </c>
      <c r="F201" s="251" t="s">
        <v>281</v>
      </c>
      <c r="G201" s="250">
        <v>11274</v>
      </c>
      <c r="H201" s="250">
        <v>5154</v>
      </c>
      <c r="I201" s="250">
        <v>19597</v>
      </c>
      <c r="J201" s="252">
        <v>-2E-3</v>
      </c>
      <c r="K201" s="250">
        <v>9803</v>
      </c>
      <c r="L201" s="250">
        <v>4376</v>
      </c>
      <c r="M201" s="250">
        <v>17208</v>
      </c>
      <c r="N201" s="250">
        <v>1471</v>
      </c>
      <c r="O201" s="250">
        <v>778</v>
      </c>
      <c r="P201" s="250">
        <v>2389</v>
      </c>
      <c r="Q201" s="253">
        <v>93727</v>
      </c>
      <c r="R201" s="254">
        <v>15.694518089294434</v>
      </c>
      <c r="S201" s="254">
        <v>8.3007030487060547</v>
      </c>
      <c r="T201" s="255">
        <v>25.488920211791992</v>
      </c>
    </row>
    <row r="202" spans="2:20">
      <c r="B202" s="249" t="s">
        <v>501</v>
      </c>
      <c r="C202" s="250" t="s">
        <v>121</v>
      </c>
      <c r="D202" s="250" t="s">
        <v>201</v>
      </c>
      <c r="E202" s="251">
        <v>10</v>
      </c>
      <c r="F202" s="251" t="s">
        <v>281</v>
      </c>
      <c r="G202" s="250">
        <v>11274</v>
      </c>
      <c r="H202" s="250">
        <v>5154</v>
      </c>
      <c r="I202" s="250">
        <v>19597</v>
      </c>
      <c r="J202" s="252">
        <v>-2E-3</v>
      </c>
      <c r="K202" s="250">
        <v>9787</v>
      </c>
      <c r="L202" s="250">
        <v>4368</v>
      </c>
      <c r="M202" s="250">
        <v>17179</v>
      </c>
      <c r="N202" s="250">
        <v>1487</v>
      </c>
      <c r="O202" s="250">
        <v>786</v>
      </c>
      <c r="P202" s="250">
        <v>2418</v>
      </c>
      <c r="Q202" s="253">
        <v>93727</v>
      </c>
      <c r="R202" s="254">
        <v>15.865225791931152</v>
      </c>
      <c r="S202" s="254">
        <v>8.3860578536987305</v>
      </c>
      <c r="T202" s="255">
        <v>25.798330307006836</v>
      </c>
    </row>
    <row r="203" spans="2:20">
      <c r="B203" s="249" t="s">
        <v>501</v>
      </c>
      <c r="C203" s="250" t="s">
        <v>121</v>
      </c>
      <c r="D203" s="250" t="s">
        <v>201</v>
      </c>
      <c r="E203" s="251">
        <v>11</v>
      </c>
      <c r="F203" s="251" t="s">
        <v>281</v>
      </c>
      <c r="G203" s="250">
        <v>11274</v>
      </c>
      <c r="H203" s="250">
        <v>5154</v>
      </c>
      <c r="I203" s="250">
        <v>19597</v>
      </c>
      <c r="J203" s="252">
        <v>-2E-3</v>
      </c>
      <c r="K203" s="250">
        <v>9770</v>
      </c>
      <c r="L203" s="250">
        <v>4360</v>
      </c>
      <c r="M203" s="250">
        <v>17145</v>
      </c>
      <c r="N203" s="250">
        <v>1504</v>
      </c>
      <c r="O203" s="250">
        <v>794</v>
      </c>
      <c r="P203" s="250">
        <v>2452</v>
      </c>
      <c r="Q203" s="253">
        <v>123966</v>
      </c>
      <c r="R203" s="254">
        <v>12.132358551025391</v>
      </c>
      <c r="S203" s="254">
        <v>6.4049820899963379</v>
      </c>
      <c r="T203" s="255">
        <v>19.779617309570313</v>
      </c>
    </row>
    <row r="204" spans="2:20">
      <c r="B204" s="249" t="s">
        <v>501</v>
      </c>
      <c r="C204" s="250" t="s">
        <v>121</v>
      </c>
      <c r="D204" s="250" t="s">
        <v>201</v>
      </c>
      <c r="E204" s="251">
        <v>12</v>
      </c>
      <c r="F204" s="251" t="s">
        <v>281</v>
      </c>
      <c r="G204" s="250">
        <v>11274</v>
      </c>
      <c r="H204" s="250">
        <v>5154</v>
      </c>
      <c r="I204" s="250">
        <v>19597</v>
      </c>
      <c r="J204" s="252">
        <v>-2E-3</v>
      </c>
      <c r="K204" s="250">
        <v>9748</v>
      </c>
      <c r="L204" s="250">
        <v>4352</v>
      </c>
      <c r="M204" s="250">
        <v>17117</v>
      </c>
      <c r="N204" s="250">
        <v>1526</v>
      </c>
      <c r="O204" s="250">
        <v>802</v>
      </c>
      <c r="P204" s="250">
        <v>2480</v>
      </c>
      <c r="Q204" s="253">
        <v>93727</v>
      </c>
      <c r="R204" s="254">
        <v>16.281326293945313</v>
      </c>
      <c r="S204" s="254">
        <v>8.5567655563354492</v>
      </c>
      <c r="T204" s="255">
        <v>26.459823608398438</v>
      </c>
    </row>
    <row r="205" spans="2:20">
      <c r="B205" s="249" t="s">
        <v>501</v>
      </c>
      <c r="C205" s="250" t="s">
        <v>121</v>
      </c>
      <c r="D205" s="250" t="s">
        <v>201</v>
      </c>
      <c r="E205" s="251">
        <v>13</v>
      </c>
      <c r="F205" s="251" t="s">
        <v>281</v>
      </c>
      <c r="G205" s="250">
        <v>11274</v>
      </c>
      <c r="H205" s="250">
        <v>5154</v>
      </c>
      <c r="I205" s="250">
        <v>19597</v>
      </c>
      <c r="J205" s="252">
        <v>-2E-3</v>
      </c>
      <c r="K205" s="250">
        <v>9734</v>
      </c>
      <c r="L205" s="250">
        <v>4349</v>
      </c>
      <c r="M205" s="250">
        <v>17088</v>
      </c>
      <c r="N205" s="250">
        <v>1540</v>
      </c>
      <c r="O205" s="250">
        <v>805</v>
      </c>
      <c r="P205" s="250">
        <v>2509</v>
      </c>
      <c r="Q205" s="253">
        <v>93727</v>
      </c>
      <c r="R205" s="254">
        <v>16.430698394775391</v>
      </c>
      <c r="S205" s="254">
        <v>8.5887737274169922</v>
      </c>
      <c r="T205" s="255">
        <v>26.769233703613281</v>
      </c>
    </row>
    <row r="206" spans="2:20">
      <c r="B206" s="249" t="s">
        <v>501</v>
      </c>
      <c r="C206" s="250" t="s">
        <v>121</v>
      </c>
      <c r="D206" s="250" t="s">
        <v>201</v>
      </c>
      <c r="E206" s="251">
        <v>14</v>
      </c>
      <c r="F206" s="251" t="s">
        <v>281</v>
      </c>
      <c r="G206" s="250">
        <v>11274</v>
      </c>
      <c r="H206" s="250">
        <v>5154</v>
      </c>
      <c r="I206" s="250">
        <v>19597</v>
      </c>
      <c r="J206" s="252">
        <v>-2E-3</v>
      </c>
      <c r="K206" s="250">
        <v>9696</v>
      </c>
      <c r="L206" s="250">
        <v>4337</v>
      </c>
      <c r="M206" s="250">
        <v>17038</v>
      </c>
      <c r="N206" s="250">
        <v>1578</v>
      </c>
      <c r="O206" s="250">
        <v>817</v>
      </c>
      <c r="P206" s="250">
        <v>2559</v>
      </c>
      <c r="Q206" s="253">
        <v>93727</v>
      </c>
      <c r="R206" s="254">
        <v>16.836130142211914</v>
      </c>
      <c r="S206" s="254">
        <v>8.7168045043945313</v>
      </c>
      <c r="T206" s="255">
        <v>27.302700042724609</v>
      </c>
    </row>
    <row r="207" spans="2:20">
      <c r="B207" s="256" t="s">
        <v>501</v>
      </c>
      <c r="C207" s="257" t="s">
        <v>121</v>
      </c>
      <c r="D207" s="257" t="s">
        <v>201</v>
      </c>
      <c r="E207" s="258">
        <v>15</v>
      </c>
      <c r="F207" s="258" t="s">
        <v>281</v>
      </c>
      <c r="G207" s="257">
        <v>11274</v>
      </c>
      <c r="H207" s="257">
        <v>5154</v>
      </c>
      <c r="I207" s="257">
        <v>19597</v>
      </c>
      <c r="J207" s="259">
        <v>-2E-3</v>
      </c>
      <c r="K207" s="257">
        <v>9688</v>
      </c>
      <c r="L207" s="257">
        <v>4330</v>
      </c>
      <c r="M207" s="257">
        <v>17006</v>
      </c>
      <c r="N207" s="257">
        <v>1586</v>
      </c>
      <c r="O207" s="257">
        <v>824</v>
      </c>
      <c r="P207" s="257">
        <v>2591</v>
      </c>
      <c r="Q207" s="260">
        <v>93727</v>
      </c>
      <c r="R207" s="261">
        <v>16.921483993530273</v>
      </c>
      <c r="S207" s="261">
        <v>8.7914905548095703</v>
      </c>
      <c r="T207" s="262">
        <v>27.644115447998047</v>
      </c>
    </row>
    <row r="208" spans="2:20">
      <c r="B208" s="249" t="s">
        <v>501</v>
      </c>
      <c r="C208" s="250" t="s">
        <v>122</v>
      </c>
      <c r="D208" s="250" t="s">
        <v>502</v>
      </c>
      <c r="E208" s="251">
        <v>1</v>
      </c>
      <c r="F208" s="251" t="s">
        <v>281</v>
      </c>
      <c r="G208" s="250">
        <v>11274</v>
      </c>
      <c r="H208" s="250">
        <v>5154</v>
      </c>
      <c r="I208" s="250">
        <v>19597</v>
      </c>
      <c r="J208" s="252">
        <v>-1.2E-2</v>
      </c>
      <c r="K208" s="250">
        <v>10711</v>
      </c>
      <c r="L208" s="250">
        <v>4770</v>
      </c>
      <c r="M208" s="250">
        <v>18872</v>
      </c>
      <c r="N208" s="250">
        <v>563</v>
      </c>
      <c r="O208" s="250">
        <v>384</v>
      </c>
      <c r="P208" s="250">
        <v>725</v>
      </c>
      <c r="Q208" s="253">
        <v>131759</v>
      </c>
      <c r="R208" s="254">
        <v>4.2729525566101074</v>
      </c>
      <c r="S208" s="254">
        <v>2.9144120216369629</v>
      </c>
      <c r="T208" s="255">
        <v>5.5024704933166504</v>
      </c>
    </row>
    <row r="209" spans="2:27">
      <c r="B209" s="249" t="s">
        <v>501</v>
      </c>
      <c r="C209" s="250" t="s">
        <v>122</v>
      </c>
      <c r="D209" s="250" t="s">
        <v>502</v>
      </c>
      <c r="E209" s="251">
        <v>2</v>
      </c>
      <c r="F209" s="251" t="s">
        <v>281</v>
      </c>
      <c r="G209" s="250">
        <v>11274</v>
      </c>
      <c r="H209" s="250">
        <v>5154</v>
      </c>
      <c r="I209" s="250">
        <v>19597</v>
      </c>
      <c r="J209" s="252">
        <v>-1.2E-2</v>
      </c>
      <c r="K209" s="250">
        <v>10609</v>
      </c>
      <c r="L209" s="250">
        <v>4732</v>
      </c>
      <c r="M209" s="250">
        <v>18675</v>
      </c>
      <c r="N209" s="250">
        <v>665</v>
      </c>
      <c r="O209" s="250">
        <v>422</v>
      </c>
      <c r="P209" s="250">
        <v>922</v>
      </c>
      <c r="Q209" s="253">
        <v>273529</v>
      </c>
      <c r="R209" s="254">
        <v>2.4311864376068115</v>
      </c>
      <c r="S209" s="254">
        <v>1.5427980422973633</v>
      </c>
      <c r="T209" s="255">
        <v>3.3707575798034668</v>
      </c>
    </row>
    <row r="210" spans="2:27">
      <c r="B210" s="249" t="s">
        <v>501</v>
      </c>
      <c r="C210" s="250" t="s">
        <v>122</v>
      </c>
      <c r="D210" s="250" t="s">
        <v>502</v>
      </c>
      <c r="E210" s="251">
        <v>3</v>
      </c>
      <c r="F210" s="251" t="s">
        <v>281</v>
      </c>
      <c r="G210" s="250">
        <v>11274</v>
      </c>
      <c r="H210" s="250">
        <v>5154</v>
      </c>
      <c r="I210" s="250">
        <v>19597</v>
      </c>
      <c r="J210" s="252">
        <v>-1.2E-2</v>
      </c>
      <c r="K210" s="250">
        <v>10499</v>
      </c>
      <c r="L210" s="250">
        <v>4689</v>
      </c>
      <c r="M210" s="250">
        <v>18483</v>
      </c>
      <c r="N210" s="250">
        <v>775</v>
      </c>
      <c r="O210" s="250">
        <v>465</v>
      </c>
      <c r="P210" s="250">
        <v>1114</v>
      </c>
      <c r="Q210" s="253">
        <v>174910</v>
      </c>
      <c r="R210" s="254">
        <v>4.4308500289916992</v>
      </c>
      <c r="S210" s="254">
        <v>2.6585102081298828</v>
      </c>
      <c r="T210" s="255">
        <v>6.3689894676208496</v>
      </c>
    </row>
    <row r="211" spans="2:27">
      <c r="B211" s="249" t="s">
        <v>501</v>
      </c>
      <c r="C211" s="250" t="s">
        <v>122</v>
      </c>
      <c r="D211" s="250" t="s">
        <v>502</v>
      </c>
      <c r="E211" s="251">
        <v>4</v>
      </c>
      <c r="F211" s="251" t="s">
        <v>281</v>
      </c>
      <c r="G211" s="250">
        <v>11274</v>
      </c>
      <c r="H211" s="250">
        <v>5154</v>
      </c>
      <c r="I211" s="250">
        <v>19597</v>
      </c>
      <c r="J211" s="252">
        <v>-1.2E-2</v>
      </c>
      <c r="K211" s="250">
        <v>10376</v>
      </c>
      <c r="L211" s="250">
        <v>4637</v>
      </c>
      <c r="M211" s="250">
        <v>18269</v>
      </c>
      <c r="N211" s="250">
        <v>898</v>
      </c>
      <c r="O211" s="250">
        <v>517</v>
      </c>
      <c r="P211" s="250">
        <v>1328</v>
      </c>
      <c r="Q211" s="253">
        <v>174910</v>
      </c>
      <c r="R211" s="254">
        <v>5.1340689659118652</v>
      </c>
      <c r="S211" s="254">
        <v>2.955805778503418</v>
      </c>
      <c r="T211" s="255">
        <v>7.5924758911132813</v>
      </c>
    </row>
    <row r="212" spans="2:27">
      <c r="B212" s="249" t="s">
        <v>501</v>
      </c>
      <c r="C212" s="250" t="s">
        <v>122</v>
      </c>
      <c r="D212" s="250" t="s">
        <v>502</v>
      </c>
      <c r="E212" s="251">
        <v>5</v>
      </c>
      <c r="F212" s="251" t="s">
        <v>281</v>
      </c>
      <c r="G212" s="250">
        <v>11274</v>
      </c>
      <c r="H212" s="250">
        <v>5154</v>
      </c>
      <c r="I212" s="250">
        <v>19597</v>
      </c>
      <c r="J212" s="252">
        <v>-1.2E-2</v>
      </c>
      <c r="K212" s="250">
        <v>10271</v>
      </c>
      <c r="L212" s="250">
        <v>4593</v>
      </c>
      <c r="M212" s="250">
        <v>18068</v>
      </c>
      <c r="N212" s="250">
        <v>1003</v>
      </c>
      <c r="O212" s="250">
        <v>561</v>
      </c>
      <c r="P212" s="250">
        <v>1529</v>
      </c>
      <c r="Q212" s="253">
        <v>174910</v>
      </c>
      <c r="R212" s="254">
        <v>5.734377384185791</v>
      </c>
      <c r="S212" s="254">
        <v>3.2073638439178467</v>
      </c>
      <c r="T212" s="255">
        <v>8.74163818359375</v>
      </c>
    </row>
    <row r="213" spans="2:27">
      <c r="B213" s="249" t="s">
        <v>501</v>
      </c>
      <c r="C213" s="250" t="s">
        <v>122</v>
      </c>
      <c r="D213" s="250" t="s">
        <v>201</v>
      </c>
      <c r="E213" s="251">
        <v>6</v>
      </c>
      <c r="F213" s="251" t="s">
        <v>281</v>
      </c>
      <c r="G213" s="250">
        <v>11274</v>
      </c>
      <c r="H213" s="250">
        <v>5154</v>
      </c>
      <c r="I213" s="250">
        <v>19597</v>
      </c>
      <c r="J213" s="252">
        <v>-3.0000000000000001E-3</v>
      </c>
      <c r="K213" s="250">
        <v>10239</v>
      </c>
      <c r="L213" s="250">
        <v>4573</v>
      </c>
      <c r="M213" s="250">
        <v>18019</v>
      </c>
      <c r="N213" s="250">
        <v>1035</v>
      </c>
      <c r="O213" s="250">
        <v>581</v>
      </c>
      <c r="P213" s="250">
        <v>1578</v>
      </c>
      <c r="Q213" s="253">
        <v>117911</v>
      </c>
      <c r="R213" s="254">
        <v>8.777806282043457</v>
      </c>
      <c r="S213" s="254">
        <v>4.9274454116821289</v>
      </c>
      <c r="T213" s="255">
        <v>13.382974624633789</v>
      </c>
    </row>
    <row r="214" spans="2:27">
      <c r="B214" s="249" t="s">
        <v>501</v>
      </c>
      <c r="C214" s="250" t="s">
        <v>122</v>
      </c>
      <c r="D214" s="250" t="s">
        <v>201</v>
      </c>
      <c r="E214" s="251">
        <v>7</v>
      </c>
      <c r="F214" s="251" t="s">
        <v>281</v>
      </c>
      <c r="G214" s="250">
        <v>11274</v>
      </c>
      <c r="H214" s="250">
        <v>5154</v>
      </c>
      <c r="I214" s="250">
        <v>19597</v>
      </c>
      <c r="J214" s="252">
        <v>-3.0000000000000001E-3</v>
      </c>
      <c r="K214" s="250">
        <v>10213</v>
      </c>
      <c r="L214" s="250">
        <v>4562</v>
      </c>
      <c r="M214" s="250">
        <v>17952</v>
      </c>
      <c r="N214" s="250">
        <v>1061</v>
      </c>
      <c r="O214" s="250">
        <v>592</v>
      </c>
      <c r="P214" s="250">
        <v>1645</v>
      </c>
      <c r="Q214" s="253">
        <v>90500</v>
      </c>
      <c r="R214" s="254">
        <v>11.723756790161133</v>
      </c>
      <c r="S214" s="254">
        <v>6.5414366722106934</v>
      </c>
      <c r="T214" s="255">
        <v>18.176795959472656</v>
      </c>
    </row>
    <row r="215" spans="2:27">
      <c r="B215" s="249" t="s">
        <v>501</v>
      </c>
      <c r="C215" s="250" t="s">
        <v>122</v>
      </c>
      <c r="D215" s="250" t="s">
        <v>201</v>
      </c>
      <c r="E215" s="251">
        <v>8</v>
      </c>
      <c r="F215" s="251" t="s">
        <v>281</v>
      </c>
      <c r="G215" s="250">
        <v>11274</v>
      </c>
      <c r="H215" s="250">
        <v>5154</v>
      </c>
      <c r="I215" s="250">
        <v>19597</v>
      </c>
      <c r="J215" s="252">
        <v>-3.0000000000000001E-3</v>
      </c>
      <c r="K215" s="250">
        <v>10182</v>
      </c>
      <c r="L215" s="250">
        <v>4551</v>
      </c>
      <c r="M215" s="250">
        <v>17891</v>
      </c>
      <c r="N215" s="250">
        <v>1092</v>
      </c>
      <c r="O215" s="250">
        <v>603</v>
      </c>
      <c r="P215" s="250">
        <v>1706</v>
      </c>
      <c r="Q215" s="253">
        <v>90500</v>
      </c>
      <c r="R215" s="254">
        <v>12.066298484802246</v>
      </c>
      <c r="S215" s="254">
        <v>6.6629834175109863</v>
      </c>
      <c r="T215" s="255">
        <v>18.850830078125</v>
      </c>
    </row>
    <row r="216" spans="2:27">
      <c r="B216" s="249" t="s">
        <v>501</v>
      </c>
      <c r="C216" s="250" t="s">
        <v>122</v>
      </c>
      <c r="D216" s="250" t="s">
        <v>201</v>
      </c>
      <c r="E216" s="251">
        <v>9</v>
      </c>
      <c r="F216" s="251" t="s">
        <v>281</v>
      </c>
      <c r="G216" s="250">
        <v>11274</v>
      </c>
      <c r="H216" s="250">
        <v>5154</v>
      </c>
      <c r="I216" s="250">
        <v>19597</v>
      </c>
      <c r="J216" s="252">
        <v>-3.0000000000000001E-3</v>
      </c>
      <c r="K216" s="250">
        <v>10152</v>
      </c>
      <c r="L216" s="250">
        <v>4536</v>
      </c>
      <c r="M216" s="250">
        <v>17860</v>
      </c>
      <c r="N216" s="250">
        <v>1122</v>
      </c>
      <c r="O216" s="250">
        <v>618</v>
      </c>
      <c r="P216" s="250">
        <v>1737</v>
      </c>
      <c r="Q216" s="253">
        <v>90500</v>
      </c>
      <c r="R216" s="254">
        <v>12.39778995513916</v>
      </c>
      <c r="S216" s="254">
        <v>6.8287291526794434</v>
      </c>
      <c r="T216" s="255">
        <v>19.193370819091797</v>
      </c>
    </row>
    <row r="217" spans="2:27">
      <c r="B217" s="249" t="s">
        <v>501</v>
      </c>
      <c r="C217" s="250" t="s">
        <v>122</v>
      </c>
      <c r="D217" s="250" t="s">
        <v>201</v>
      </c>
      <c r="E217" s="251">
        <v>10</v>
      </c>
      <c r="F217" s="251" t="s">
        <v>281</v>
      </c>
      <c r="G217" s="250">
        <v>11274</v>
      </c>
      <c r="H217" s="250">
        <v>5154</v>
      </c>
      <c r="I217" s="250">
        <v>19597</v>
      </c>
      <c r="J217" s="252">
        <v>-3.0000000000000001E-3</v>
      </c>
      <c r="K217" s="250">
        <v>10123</v>
      </c>
      <c r="L217" s="250">
        <v>4522</v>
      </c>
      <c r="M217" s="250">
        <v>17802</v>
      </c>
      <c r="N217" s="250">
        <v>1151</v>
      </c>
      <c r="O217" s="250">
        <v>632</v>
      </c>
      <c r="P217" s="250">
        <v>1795</v>
      </c>
      <c r="Q217" s="253">
        <v>90500</v>
      </c>
      <c r="R217" s="254">
        <v>12.718232154846191</v>
      </c>
      <c r="S217" s="254">
        <v>6.9834256172180176</v>
      </c>
      <c r="T217" s="255">
        <v>19.834253311157227</v>
      </c>
    </row>
    <row r="218" spans="2:27">
      <c r="B218" s="249" t="s">
        <v>501</v>
      </c>
      <c r="C218" s="250" t="s">
        <v>122</v>
      </c>
      <c r="D218" s="250" t="s">
        <v>201</v>
      </c>
      <c r="E218" s="251">
        <v>11</v>
      </c>
      <c r="F218" s="251" t="s">
        <v>281</v>
      </c>
      <c r="G218" s="250">
        <v>11274</v>
      </c>
      <c r="H218" s="250">
        <v>5154</v>
      </c>
      <c r="I218" s="250">
        <v>19597</v>
      </c>
      <c r="J218" s="252">
        <v>-3.0000000000000001E-3</v>
      </c>
      <c r="K218" s="250">
        <v>10099</v>
      </c>
      <c r="L218" s="250">
        <v>4518</v>
      </c>
      <c r="M218" s="250">
        <v>17745</v>
      </c>
      <c r="N218" s="250">
        <v>1175</v>
      </c>
      <c r="O218" s="250">
        <v>636</v>
      </c>
      <c r="P218" s="250">
        <v>1852</v>
      </c>
      <c r="Q218" s="253">
        <v>117911</v>
      </c>
      <c r="R218" s="254">
        <v>9.9651432037353516</v>
      </c>
      <c r="S218" s="254">
        <v>5.3938984870910645</v>
      </c>
      <c r="T218" s="255">
        <v>15.706762313842773</v>
      </c>
    </row>
    <row r="219" spans="2:27">
      <c r="B219" s="249" t="s">
        <v>501</v>
      </c>
      <c r="C219" s="250" t="s">
        <v>122</v>
      </c>
      <c r="D219" s="250" t="s">
        <v>201</v>
      </c>
      <c r="E219" s="251">
        <v>12</v>
      </c>
      <c r="F219" s="251" t="s">
        <v>281</v>
      </c>
      <c r="G219" s="250">
        <v>11274</v>
      </c>
      <c r="H219" s="250">
        <v>5154</v>
      </c>
      <c r="I219" s="250">
        <v>19597</v>
      </c>
      <c r="J219" s="252">
        <v>-3.0000000000000001E-3</v>
      </c>
      <c r="K219" s="250">
        <v>10060</v>
      </c>
      <c r="L219" s="250">
        <v>4495</v>
      </c>
      <c r="M219" s="250">
        <v>17680</v>
      </c>
      <c r="N219" s="250">
        <v>1214</v>
      </c>
      <c r="O219" s="250">
        <v>659</v>
      </c>
      <c r="P219" s="250">
        <v>1917</v>
      </c>
      <c r="Q219" s="253">
        <v>90500</v>
      </c>
      <c r="R219" s="254">
        <v>13.414363861083984</v>
      </c>
      <c r="S219" s="254">
        <v>7.2817683219909668</v>
      </c>
      <c r="T219" s="255">
        <v>21.182321548461914</v>
      </c>
    </row>
    <row r="220" spans="2:27">
      <c r="B220" s="249" t="s">
        <v>501</v>
      </c>
      <c r="C220" s="250" t="s">
        <v>122</v>
      </c>
      <c r="D220" s="250" t="s">
        <v>201</v>
      </c>
      <c r="E220" s="251">
        <v>13</v>
      </c>
      <c r="F220" s="251" t="s">
        <v>281</v>
      </c>
      <c r="G220" s="250">
        <v>11274</v>
      </c>
      <c r="H220" s="250">
        <v>5154</v>
      </c>
      <c r="I220" s="250">
        <v>19597</v>
      </c>
      <c r="J220" s="252">
        <v>-3.0000000000000001E-3</v>
      </c>
      <c r="K220" s="250">
        <v>10041</v>
      </c>
      <c r="L220" s="250">
        <v>4484</v>
      </c>
      <c r="M220" s="250">
        <v>17645</v>
      </c>
      <c r="N220" s="250">
        <v>1233</v>
      </c>
      <c r="O220" s="250">
        <v>670</v>
      </c>
      <c r="P220" s="250">
        <v>1952</v>
      </c>
      <c r="Q220" s="253">
        <v>90500</v>
      </c>
      <c r="R220" s="254">
        <v>13.624309539794922</v>
      </c>
      <c r="S220" s="254">
        <v>7.4033150672912598</v>
      </c>
      <c r="T220" s="255">
        <v>21.569059371948242</v>
      </c>
    </row>
    <row r="221" spans="2:27">
      <c r="B221" s="249" t="s">
        <v>501</v>
      </c>
      <c r="C221" s="250" t="s">
        <v>122</v>
      </c>
      <c r="D221" s="250" t="s">
        <v>201</v>
      </c>
      <c r="E221" s="251">
        <v>14</v>
      </c>
      <c r="F221" s="251" t="s">
        <v>281</v>
      </c>
      <c r="G221" s="250">
        <v>11274</v>
      </c>
      <c r="H221" s="250">
        <v>5154</v>
      </c>
      <c r="I221" s="250">
        <v>19597</v>
      </c>
      <c r="J221" s="252">
        <v>-3.0000000000000001E-3</v>
      </c>
      <c r="K221" s="250">
        <v>9984</v>
      </c>
      <c r="L221" s="250">
        <v>4471</v>
      </c>
      <c r="M221" s="250">
        <v>17574</v>
      </c>
      <c r="N221" s="250">
        <v>1290</v>
      </c>
      <c r="O221" s="250">
        <v>683</v>
      </c>
      <c r="P221" s="250">
        <v>2023</v>
      </c>
      <c r="Q221" s="253">
        <v>90500</v>
      </c>
      <c r="R221" s="254">
        <v>14.254143714904785</v>
      </c>
      <c r="S221" s="254">
        <v>7.5469613075256348</v>
      </c>
      <c r="T221" s="255">
        <v>22.353591918945313</v>
      </c>
    </row>
    <row r="222" spans="2:27">
      <c r="B222" s="256" t="s">
        <v>501</v>
      </c>
      <c r="C222" s="257" t="s">
        <v>122</v>
      </c>
      <c r="D222" s="257" t="s">
        <v>201</v>
      </c>
      <c r="E222" s="258">
        <v>15</v>
      </c>
      <c r="F222" s="258" t="s">
        <v>281</v>
      </c>
      <c r="G222" s="257">
        <v>11274</v>
      </c>
      <c r="H222" s="257">
        <v>5154</v>
      </c>
      <c r="I222" s="257">
        <v>19597</v>
      </c>
      <c r="J222" s="259">
        <v>-3.0000000000000001E-3</v>
      </c>
      <c r="K222" s="257">
        <v>9967</v>
      </c>
      <c r="L222" s="257">
        <v>4460</v>
      </c>
      <c r="M222" s="257">
        <v>17530</v>
      </c>
      <c r="N222" s="257">
        <v>1307</v>
      </c>
      <c r="O222" s="257">
        <v>694</v>
      </c>
      <c r="P222" s="257">
        <v>2067</v>
      </c>
      <c r="Q222" s="260">
        <v>90500</v>
      </c>
      <c r="R222" s="261">
        <v>14.441988945007324</v>
      </c>
      <c r="S222" s="261">
        <v>7.6685080528259277</v>
      </c>
      <c r="T222" s="262">
        <v>22.839778900146484</v>
      </c>
    </row>
    <row r="223" spans="2:27">
      <c r="B223" s="249" t="s">
        <v>513</v>
      </c>
      <c r="C223" s="250" t="s">
        <v>242</v>
      </c>
      <c r="D223" s="250" t="s">
        <v>502</v>
      </c>
      <c r="E223" s="251">
        <v>1</v>
      </c>
      <c r="F223" s="251" t="s">
        <v>281</v>
      </c>
      <c r="G223" s="250">
        <v>9583</v>
      </c>
      <c r="H223" s="250">
        <v>4600</v>
      </c>
      <c r="I223" s="250">
        <v>16366</v>
      </c>
      <c r="J223" s="252">
        <v>-6.6000000000000003E-2</v>
      </c>
      <c r="K223" s="250">
        <v>8688</v>
      </c>
      <c r="L223" s="250">
        <v>4096</v>
      </c>
      <c r="M223" s="250">
        <v>14979</v>
      </c>
      <c r="N223" s="250">
        <v>895</v>
      </c>
      <c r="O223" s="250">
        <v>504</v>
      </c>
      <c r="P223" s="250">
        <v>1387</v>
      </c>
      <c r="Q223" s="253">
        <v>977845</v>
      </c>
      <c r="R223" s="254">
        <v>0.91527795791625977</v>
      </c>
      <c r="S223" s="254">
        <v>0.5154191255569458</v>
      </c>
      <c r="T223" s="255">
        <v>1.4184252023696899</v>
      </c>
      <c r="U223"/>
      <c r="V223"/>
      <c r="W223"/>
      <c r="X223"/>
      <c r="Y223"/>
      <c r="Z223"/>
      <c r="AA223"/>
    </row>
    <row r="224" spans="2:27">
      <c r="B224" s="249" t="s">
        <v>513</v>
      </c>
      <c r="C224" s="250" t="s">
        <v>242</v>
      </c>
      <c r="D224" s="250" t="s">
        <v>502</v>
      </c>
      <c r="E224" s="251">
        <v>2</v>
      </c>
      <c r="F224" s="251" t="s">
        <v>281</v>
      </c>
      <c r="G224" s="250">
        <v>9583</v>
      </c>
      <c r="H224" s="250">
        <v>4600</v>
      </c>
      <c r="I224" s="250">
        <v>16366</v>
      </c>
      <c r="J224" s="252">
        <v>-6.6000000000000003E-2</v>
      </c>
      <c r="K224" s="250">
        <v>8119</v>
      </c>
      <c r="L224" s="250">
        <v>3829</v>
      </c>
      <c r="M224" s="250">
        <v>13997</v>
      </c>
      <c r="N224" s="250">
        <v>1464</v>
      </c>
      <c r="O224" s="250">
        <v>771</v>
      </c>
      <c r="P224" s="250">
        <v>2369</v>
      </c>
      <c r="Q224" s="253">
        <v>1239352</v>
      </c>
      <c r="R224" s="254">
        <v>1.1812623739242554</v>
      </c>
      <c r="S224" s="254">
        <v>0.62209928035736084</v>
      </c>
      <c r="T224" s="255">
        <v>1.9114828109741211</v>
      </c>
      <c r="U224"/>
      <c r="V224"/>
      <c r="W224"/>
      <c r="X224"/>
      <c r="Y224"/>
      <c r="Z224"/>
      <c r="AA224"/>
    </row>
    <row r="225" spans="2:27">
      <c r="B225" s="249" t="s">
        <v>513</v>
      </c>
      <c r="C225" s="250" t="s">
        <v>242</v>
      </c>
      <c r="D225" s="250" t="s">
        <v>502</v>
      </c>
      <c r="E225" s="251">
        <v>3</v>
      </c>
      <c r="F225" s="251" t="s">
        <v>281</v>
      </c>
      <c r="G225" s="250">
        <v>9583</v>
      </c>
      <c r="H225" s="250">
        <v>4600</v>
      </c>
      <c r="I225" s="250">
        <v>16366</v>
      </c>
      <c r="J225" s="252">
        <v>-6.6000000000000003E-2</v>
      </c>
      <c r="K225" s="250">
        <v>7580</v>
      </c>
      <c r="L225" s="250">
        <v>3575</v>
      </c>
      <c r="M225" s="250">
        <v>13072</v>
      </c>
      <c r="N225" s="250">
        <v>2003</v>
      </c>
      <c r="O225" s="250">
        <v>1025</v>
      </c>
      <c r="P225" s="250">
        <v>3294</v>
      </c>
      <c r="Q225" s="253">
        <v>837959</v>
      </c>
      <c r="R225" s="254">
        <v>2.3903317451477051</v>
      </c>
      <c r="S225" s="254">
        <v>1.2232102155685425</v>
      </c>
      <c r="T225" s="255">
        <v>3.9309799671173096</v>
      </c>
      <c r="U225"/>
      <c r="V225"/>
      <c r="W225"/>
      <c r="X225"/>
      <c r="Y225"/>
      <c r="Z225"/>
      <c r="AA225"/>
    </row>
    <row r="226" spans="2:27">
      <c r="B226" s="249" t="s">
        <v>513</v>
      </c>
      <c r="C226" s="250" t="s">
        <v>242</v>
      </c>
      <c r="D226" s="250" t="s">
        <v>502</v>
      </c>
      <c r="E226" s="251">
        <v>4</v>
      </c>
      <c r="F226" s="251" t="s">
        <v>281</v>
      </c>
      <c r="G226" s="250">
        <v>9583</v>
      </c>
      <c r="H226" s="250">
        <v>4600</v>
      </c>
      <c r="I226" s="250">
        <v>16366</v>
      </c>
      <c r="J226" s="252">
        <v>-6.6000000000000003E-2</v>
      </c>
      <c r="K226" s="250">
        <v>7083</v>
      </c>
      <c r="L226" s="250">
        <v>3333</v>
      </c>
      <c r="M226" s="250">
        <v>12198</v>
      </c>
      <c r="N226" s="250">
        <v>2500</v>
      </c>
      <c r="O226" s="250">
        <v>1267</v>
      </c>
      <c r="P226" s="250">
        <v>4168</v>
      </c>
      <c r="Q226" s="253">
        <v>855330</v>
      </c>
      <c r="R226" s="254">
        <v>2.9228484630584717</v>
      </c>
      <c r="S226" s="254">
        <v>1.4812996387481689</v>
      </c>
      <c r="T226" s="255">
        <v>4.8729729652404785</v>
      </c>
      <c r="U226"/>
      <c r="V226"/>
      <c r="W226"/>
      <c r="X226"/>
      <c r="Y226"/>
      <c r="Z226"/>
      <c r="AA226"/>
    </row>
    <row r="227" spans="2:27">
      <c r="B227" s="249" t="s">
        <v>513</v>
      </c>
      <c r="C227" s="250" t="s">
        <v>242</v>
      </c>
      <c r="D227" s="250" t="s">
        <v>502</v>
      </c>
      <c r="E227" s="251">
        <v>5</v>
      </c>
      <c r="F227" s="251" t="s">
        <v>281</v>
      </c>
      <c r="G227" s="250">
        <v>9583</v>
      </c>
      <c r="H227" s="250">
        <v>4600</v>
      </c>
      <c r="I227" s="250">
        <v>16366</v>
      </c>
      <c r="J227" s="252">
        <v>-6.6000000000000003E-2</v>
      </c>
      <c r="K227" s="250">
        <v>6593</v>
      </c>
      <c r="L227" s="250">
        <v>3106</v>
      </c>
      <c r="M227" s="250">
        <v>11382</v>
      </c>
      <c r="N227" s="250">
        <v>2990</v>
      </c>
      <c r="O227" s="250">
        <v>1494</v>
      </c>
      <c r="P227" s="250">
        <v>4984</v>
      </c>
      <c r="Q227" s="253">
        <v>837959</v>
      </c>
      <c r="R227" s="254">
        <v>3.5681936740875244</v>
      </c>
      <c r="S227" s="254">
        <v>1.7829034328460693</v>
      </c>
      <c r="T227" s="255">
        <v>5.9477849006652832</v>
      </c>
      <c r="U227"/>
      <c r="V227"/>
      <c r="W227"/>
      <c r="X227"/>
      <c r="Y227"/>
      <c r="Z227"/>
      <c r="AA227"/>
    </row>
    <row r="228" spans="2:27">
      <c r="B228" s="249" t="s">
        <v>513</v>
      </c>
      <c r="C228" s="250" t="s">
        <v>242</v>
      </c>
      <c r="D228" s="250" t="s">
        <v>201</v>
      </c>
      <c r="E228" s="251">
        <v>6</v>
      </c>
      <c r="F228" s="251" t="s">
        <v>281</v>
      </c>
      <c r="G228" s="250">
        <v>9583</v>
      </c>
      <c r="H228" s="250">
        <v>4600</v>
      </c>
      <c r="I228" s="250">
        <v>16366</v>
      </c>
      <c r="J228" s="252">
        <v>-1.24E-2</v>
      </c>
      <c r="K228" s="250">
        <v>6514</v>
      </c>
      <c r="L228" s="250">
        <v>3071</v>
      </c>
      <c r="M228" s="250">
        <v>11246</v>
      </c>
      <c r="N228" s="250">
        <v>3069</v>
      </c>
      <c r="O228" s="250">
        <v>1529</v>
      </c>
      <c r="P228" s="250">
        <v>5120</v>
      </c>
      <c r="Q228" s="253">
        <v>661371</v>
      </c>
      <c r="R228" s="254">
        <v>4.6403608322143555</v>
      </c>
      <c r="S228" s="254">
        <v>2.3118643760681152</v>
      </c>
      <c r="T228" s="255">
        <v>7.7414946556091309</v>
      </c>
      <c r="U228"/>
      <c r="V228"/>
      <c r="W228"/>
      <c r="X228"/>
      <c r="Y228"/>
      <c r="Z228"/>
      <c r="AA228"/>
    </row>
    <row r="229" spans="2:27">
      <c r="B229" s="249" t="s">
        <v>513</v>
      </c>
      <c r="C229" s="250" t="s">
        <v>242</v>
      </c>
      <c r="D229" s="250" t="s">
        <v>201</v>
      </c>
      <c r="E229" s="251">
        <v>7</v>
      </c>
      <c r="F229" s="251" t="s">
        <v>281</v>
      </c>
      <c r="G229" s="250">
        <v>9583</v>
      </c>
      <c r="H229" s="250">
        <v>4600</v>
      </c>
      <c r="I229" s="250">
        <v>16366</v>
      </c>
      <c r="J229" s="252">
        <v>-1.24E-2</v>
      </c>
      <c r="K229" s="250">
        <v>6448</v>
      </c>
      <c r="L229" s="250">
        <v>3039</v>
      </c>
      <c r="M229" s="250">
        <v>11104</v>
      </c>
      <c r="N229" s="250">
        <v>3135</v>
      </c>
      <c r="O229" s="250">
        <v>1561</v>
      </c>
      <c r="P229" s="250">
        <v>5262</v>
      </c>
      <c r="Q229" s="253">
        <v>504727</v>
      </c>
      <c r="R229" s="254">
        <v>6.2112784385681152</v>
      </c>
      <c r="S229" s="254">
        <v>3.0927610397338867</v>
      </c>
      <c r="T229" s="255">
        <v>10.425437927246094</v>
      </c>
      <c r="U229"/>
      <c r="V229"/>
      <c r="W229"/>
      <c r="X229"/>
      <c r="Y229"/>
      <c r="Z229"/>
      <c r="AA229"/>
    </row>
    <row r="230" spans="2:27">
      <c r="B230" s="249" t="s">
        <v>513</v>
      </c>
      <c r="C230" s="250" t="s">
        <v>242</v>
      </c>
      <c r="D230" s="250" t="s">
        <v>201</v>
      </c>
      <c r="E230" s="251">
        <v>8</v>
      </c>
      <c r="F230" s="251" t="s">
        <v>281</v>
      </c>
      <c r="G230" s="250">
        <v>9583</v>
      </c>
      <c r="H230" s="250">
        <v>4600</v>
      </c>
      <c r="I230" s="250">
        <v>16366</v>
      </c>
      <c r="J230" s="252">
        <v>-1.24E-2</v>
      </c>
      <c r="K230" s="250">
        <v>6365</v>
      </c>
      <c r="L230" s="250">
        <v>3001</v>
      </c>
      <c r="M230" s="250">
        <v>10960</v>
      </c>
      <c r="N230" s="250">
        <v>3218</v>
      </c>
      <c r="O230" s="250">
        <v>1599</v>
      </c>
      <c r="P230" s="250">
        <v>5406</v>
      </c>
      <c r="Q230" s="253">
        <v>487356</v>
      </c>
      <c r="R230" s="254">
        <v>6.6029758453369141</v>
      </c>
      <c r="S230" s="254">
        <v>3.2809691429138184</v>
      </c>
      <c r="T230" s="255">
        <v>11.092507362365723</v>
      </c>
      <c r="U230"/>
      <c r="V230"/>
      <c r="W230"/>
      <c r="X230"/>
      <c r="Y230"/>
      <c r="Z230"/>
      <c r="AA230"/>
    </row>
    <row r="231" spans="2:27">
      <c r="B231" s="249" t="s">
        <v>513</v>
      </c>
      <c r="C231" s="250" t="s">
        <v>242</v>
      </c>
      <c r="D231" s="250" t="s">
        <v>201</v>
      </c>
      <c r="E231" s="251">
        <v>9</v>
      </c>
      <c r="F231" s="251" t="s">
        <v>281</v>
      </c>
      <c r="G231" s="250">
        <v>9583</v>
      </c>
      <c r="H231" s="250">
        <v>4600</v>
      </c>
      <c r="I231" s="250">
        <v>16366</v>
      </c>
      <c r="J231" s="252">
        <v>-1.24E-2</v>
      </c>
      <c r="K231" s="250">
        <v>6295</v>
      </c>
      <c r="L231" s="250">
        <v>2966</v>
      </c>
      <c r="M231" s="250">
        <v>10840</v>
      </c>
      <c r="N231" s="250">
        <v>3288</v>
      </c>
      <c r="O231" s="250">
        <v>1634</v>
      </c>
      <c r="P231" s="250">
        <v>5526</v>
      </c>
      <c r="Q231" s="253">
        <v>487356</v>
      </c>
      <c r="R231" s="254">
        <v>6.7466082572937012</v>
      </c>
      <c r="S231" s="254">
        <v>3.3527853488922119</v>
      </c>
      <c r="T231" s="255">
        <v>11.338733673095703</v>
      </c>
      <c r="U231"/>
      <c r="V231"/>
      <c r="W231"/>
      <c r="X231"/>
      <c r="Y231"/>
      <c r="Z231"/>
      <c r="AA231"/>
    </row>
    <row r="232" spans="2:27">
      <c r="B232" s="249" t="s">
        <v>513</v>
      </c>
      <c r="C232" s="250" t="s">
        <v>242</v>
      </c>
      <c r="D232" s="250" t="s">
        <v>201</v>
      </c>
      <c r="E232" s="251">
        <v>10</v>
      </c>
      <c r="F232" s="251" t="s">
        <v>281</v>
      </c>
      <c r="G232" s="250">
        <v>9583</v>
      </c>
      <c r="H232" s="250">
        <v>4600</v>
      </c>
      <c r="I232" s="250">
        <v>16366</v>
      </c>
      <c r="J232" s="252">
        <v>-1.24E-2</v>
      </c>
      <c r="K232" s="250">
        <v>6232</v>
      </c>
      <c r="L232" s="250">
        <v>2944</v>
      </c>
      <c r="M232" s="250">
        <v>10731</v>
      </c>
      <c r="N232" s="250">
        <v>3351</v>
      </c>
      <c r="O232" s="250">
        <v>1656</v>
      </c>
      <c r="P232" s="250">
        <v>5635</v>
      </c>
      <c r="Q232" s="253">
        <v>504727</v>
      </c>
      <c r="R232" s="254">
        <v>6.6392326354980469</v>
      </c>
      <c r="S232" s="254">
        <v>3.2809817790985107</v>
      </c>
      <c r="T232" s="255">
        <v>11.164450645446777</v>
      </c>
      <c r="U232"/>
      <c r="V232"/>
      <c r="W232"/>
      <c r="X232"/>
      <c r="Y232"/>
      <c r="Z232"/>
      <c r="AA232"/>
    </row>
    <row r="233" spans="2:27">
      <c r="B233" s="249" t="s">
        <v>513</v>
      </c>
      <c r="C233" s="250" t="s">
        <v>242</v>
      </c>
      <c r="D233" s="250" t="s">
        <v>201</v>
      </c>
      <c r="E233" s="251">
        <v>11</v>
      </c>
      <c r="F233" s="251" t="s">
        <v>281</v>
      </c>
      <c r="G233" s="250">
        <v>9583</v>
      </c>
      <c r="H233" s="250">
        <v>4600</v>
      </c>
      <c r="I233" s="250">
        <v>16366</v>
      </c>
      <c r="J233" s="252">
        <v>-1.24E-2</v>
      </c>
      <c r="K233" s="250">
        <v>6085</v>
      </c>
      <c r="L233" s="250">
        <v>2876</v>
      </c>
      <c r="M233" s="250">
        <v>10511</v>
      </c>
      <c r="N233" s="250">
        <v>3498</v>
      </c>
      <c r="O233" s="250">
        <v>1724</v>
      </c>
      <c r="P233" s="250">
        <v>5855</v>
      </c>
      <c r="Q233" s="253">
        <v>661371</v>
      </c>
      <c r="R233" s="254">
        <v>5.2890133857727051</v>
      </c>
      <c r="S233" s="254">
        <v>2.6067063808441162</v>
      </c>
      <c r="T233" s="255">
        <v>8.8528223037719727</v>
      </c>
      <c r="U233"/>
      <c r="V233"/>
      <c r="W233"/>
      <c r="X233"/>
      <c r="Y233"/>
      <c r="Z233"/>
      <c r="AA233"/>
    </row>
    <row r="234" spans="2:27">
      <c r="B234" s="249" t="s">
        <v>513</v>
      </c>
      <c r="C234" s="250" t="s">
        <v>242</v>
      </c>
      <c r="D234" s="250" t="s">
        <v>201</v>
      </c>
      <c r="E234" s="251">
        <v>12</v>
      </c>
      <c r="F234" s="251" t="s">
        <v>281</v>
      </c>
      <c r="G234" s="250">
        <v>9583</v>
      </c>
      <c r="H234" s="250">
        <v>4600</v>
      </c>
      <c r="I234" s="250">
        <v>16366</v>
      </c>
      <c r="J234" s="252">
        <v>-1.24E-2</v>
      </c>
      <c r="K234" s="250">
        <v>6010</v>
      </c>
      <c r="L234" s="250">
        <v>2845</v>
      </c>
      <c r="M234" s="250">
        <v>10396</v>
      </c>
      <c r="N234" s="250">
        <v>3573</v>
      </c>
      <c r="O234" s="250">
        <v>1755</v>
      </c>
      <c r="P234" s="250">
        <v>5970</v>
      </c>
      <c r="Q234" s="253">
        <v>487356</v>
      </c>
      <c r="R234" s="254">
        <v>7.3313965797424316</v>
      </c>
      <c r="S234" s="254">
        <v>3.6010637283325195</v>
      </c>
      <c r="T234" s="255">
        <v>12.249772071838379</v>
      </c>
      <c r="U234"/>
      <c r="V234"/>
      <c r="W234"/>
      <c r="X234"/>
      <c r="Y234"/>
      <c r="Z234"/>
      <c r="AA234"/>
    </row>
    <row r="235" spans="2:27">
      <c r="B235" s="249" t="s">
        <v>513</v>
      </c>
      <c r="C235" s="250" t="s">
        <v>242</v>
      </c>
      <c r="D235" s="250" t="s">
        <v>201</v>
      </c>
      <c r="E235" s="251">
        <v>13</v>
      </c>
      <c r="F235" s="251" t="s">
        <v>281</v>
      </c>
      <c r="G235" s="250">
        <v>9583</v>
      </c>
      <c r="H235" s="250">
        <v>4600</v>
      </c>
      <c r="I235" s="250">
        <v>16366</v>
      </c>
      <c r="J235" s="252">
        <v>-1.24E-2</v>
      </c>
      <c r="K235" s="250">
        <v>5946</v>
      </c>
      <c r="L235" s="250">
        <v>2810</v>
      </c>
      <c r="M235" s="250">
        <v>10272</v>
      </c>
      <c r="N235" s="250">
        <v>3637</v>
      </c>
      <c r="O235" s="250">
        <v>1790</v>
      </c>
      <c r="P235" s="250">
        <v>6094</v>
      </c>
      <c r="Q235" s="253">
        <v>504727</v>
      </c>
      <c r="R235" s="254">
        <v>7.2058753967285156</v>
      </c>
      <c r="S235" s="254">
        <v>3.5464715957641602</v>
      </c>
      <c r="T235" s="255">
        <v>12.073854446411133</v>
      </c>
      <c r="U235"/>
      <c r="V235"/>
      <c r="W235"/>
      <c r="X235"/>
      <c r="Y235"/>
      <c r="Z235"/>
      <c r="AA235"/>
    </row>
    <row r="236" spans="2:27">
      <c r="B236" s="249" t="s">
        <v>513</v>
      </c>
      <c r="C236" s="250" t="s">
        <v>242</v>
      </c>
      <c r="D236" s="250" t="s">
        <v>201</v>
      </c>
      <c r="E236" s="251">
        <v>14</v>
      </c>
      <c r="F236" s="251" t="s">
        <v>281</v>
      </c>
      <c r="G236" s="250">
        <v>9583</v>
      </c>
      <c r="H236" s="250">
        <v>4600</v>
      </c>
      <c r="I236" s="250">
        <v>16366</v>
      </c>
      <c r="J236" s="252">
        <v>-1.24E-2</v>
      </c>
      <c r="K236" s="250">
        <v>5872</v>
      </c>
      <c r="L236" s="250">
        <v>2762</v>
      </c>
      <c r="M236" s="250">
        <v>10134</v>
      </c>
      <c r="N236" s="250">
        <v>3711</v>
      </c>
      <c r="O236" s="250">
        <v>1838</v>
      </c>
      <c r="P236" s="250">
        <v>6232</v>
      </c>
      <c r="Q236" s="253">
        <v>487356</v>
      </c>
      <c r="R236" s="254">
        <v>7.6145567893981934</v>
      </c>
      <c r="S236" s="254">
        <v>3.7713704109191895</v>
      </c>
      <c r="T236" s="255">
        <v>12.78736686706543</v>
      </c>
      <c r="U236"/>
      <c r="V236"/>
      <c r="W236"/>
      <c r="X236"/>
      <c r="Y236"/>
      <c r="Z236"/>
      <c r="AA236"/>
    </row>
    <row r="237" spans="2:27">
      <c r="B237" s="256" t="s">
        <v>513</v>
      </c>
      <c r="C237" s="257" t="s">
        <v>242</v>
      </c>
      <c r="D237" s="257" t="s">
        <v>201</v>
      </c>
      <c r="E237" s="258">
        <v>15</v>
      </c>
      <c r="F237" s="258" t="s">
        <v>281</v>
      </c>
      <c r="G237" s="257">
        <v>9583</v>
      </c>
      <c r="H237" s="257">
        <v>4600</v>
      </c>
      <c r="I237" s="257">
        <v>16366</v>
      </c>
      <c r="J237" s="259">
        <v>-1.24E-2</v>
      </c>
      <c r="K237" s="257">
        <v>5805</v>
      </c>
      <c r="L237" s="257">
        <v>2738</v>
      </c>
      <c r="M237" s="257">
        <v>10028</v>
      </c>
      <c r="N237" s="257">
        <v>3778</v>
      </c>
      <c r="O237" s="257">
        <v>1862</v>
      </c>
      <c r="P237" s="257">
        <v>6338</v>
      </c>
      <c r="Q237" s="260">
        <v>487356</v>
      </c>
      <c r="R237" s="261">
        <v>7.7520332336425781</v>
      </c>
      <c r="S237" s="261">
        <v>3.8206157684326172</v>
      </c>
      <c r="T237" s="262">
        <v>13.004867553710938</v>
      </c>
      <c r="U237"/>
      <c r="V237"/>
      <c r="W237"/>
      <c r="X237"/>
      <c r="Y237"/>
      <c r="Z237"/>
      <c r="AA237"/>
    </row>
    <row r="238" spans="2:27">
      <c r="B238" s="249" t="s">
        <v>513</v>
      </c>
      <c r="C238" s="250" t="s">
        <v>282</v>
      </c>
      <c r="D238" s="250" t="s">
        <v>502</v>
      </c>
      <c r="E238" s="251">
        <v>1</v>
      </c>
      <c r="F238" s="251" t="s">
        <v>281</v>
      </c>
      <c r="G238" s="250">
        <v>9583</v>
      </c>
      <c r="H238" s="250">
        <v>4600</v>
      </c>
      <c r="I238" s="250">
        <v>16366</v>
      </c>
      <c r="J238" s="252">
        <v>-3.6400000000000002E-2</v>
      </c>
      <c r="K238" s="250">
        <v>8940</v>
      </c>
      <c r="L238" s="250">
        <v>4213</v>
      </c>
      <c r="M238" s="250">
        <v>15440</v>
      </c>
      <c r="N238" s="250">
        <v>643</v>
      </c>
      <c r="O238" s="250">
        <v>387</v>
      </c>
      <c r="P238" s="250">
        <v>926</v>
      </c>
      <c r="Q238" s="253">
        <v>420165</v>
      </c>
      <c r="R238" s="254">
        <v>1.5303511619567871</v>
      </c>
      <c r="S238" s="254">
        <v>0.9210667610168457</v>
      </c>
      <c r="T238" s="255">
        <v>2.2038962841033936</v>
      </c>
    </row>
    <row r="239" spans="2:27">
      <c r="B239" s="249" t="s">
        <v>513</v>
      </c>
      <c r="C239" s="250" t="s">
        <v>282</v>
      </c>
      <c r="D239" s="250" t="s">
        <v>502</v>
      </c>
      <c r="E239" s="251">
        <v>2</v>
      </c>
      <c r="F239" s="251" t="s">
        <v>281</v>
      </c>
      <c r="G239" s="250">
        <v>9583</v>
      </c>
      <c r="H239" s="250">
        <v>4600</v>
      </c>
      <c r="I239" s="250">
        <v>16366</v>
      </c>
      <c r="J239" s="252">
        <v>-3.6400000000000002E-2</v>
      </c>
      <c r="K239" s="250">
        <v>8631</v>
      </c>
      <c r="L239" s="250">
        <v>4064</v>
      </c>
      <c r="M239" s="250">
        <v>14889</v>
      </c>
      <c r="N239" s="250">
        <v>952</v>
      </c>
      <c r="O239" s="250">
        <v>536</v>
      </c>
      <c r="P239" s="250">
        <v>1477</v>
      </c>
      <c r="Q239" s="253">
        <v>188719</v>
      </c>
      <c r="R239" s="254">
        <v>5.0445370674133301</v>
      </c>
      <c r="S239" s="254">
        <v>2.8402016162872314</v>
      </c>
      <c r="T239" s="255">
        <v>7.826451301574707</v>
      </c>
    </row>
    <row r="240" spans="2:27">
      <c r="B240" s="249" t="s">
        <v>513</v>
      </c>
      <c r="C240" s="250" t="s">
        <v>282</v>
      </c>
      <c r="D240" s="250" t="s">
        <v>502</v>
      </c>
      <c r="E240" s="251">
        <v>3</v>
      </c>
      <c r="F240" s="251" t="s">
        <v>281</v>
      </c>
      <c r="G240" s="250">
        <v>9583</v>
      </c>
      <c r="H240" s="250">
        <v>4600</v>
      </c>
      <c r="I240" s="250">
        <v>16366</v>
      </c>
      <c r="J240" s="252">
        <v>-3.6400000000000002E-2</v>
      </c>
      <c r="K240" s="250">
        <v>8328</v>
      </c>
      <c r="L240" s="250">
        <v>3920</v>
      </c>
      <c r="M240" s="250">
        <v>14349</v>
      </c>
      <c r="N240" s="250">
        <v>1255</v>
      </c>
      <c r="O240" s="250">
        <v>680</v>
      </c>
      <c r="P240" s="250">
        <v>2017</v>
      </c>
      <c r="Q240" s="253">
        <v>155920</v>
      </c>
      <c r="R240" s="254">
        <v>8.0489988327026367</v>
      </c>
      <c r="S240" s="254">
        <v>4.361210823059082</v>
      </c>
      <c r="T240" s="255">
        <v>12.936120986938477</v>
      </c>
    </row>
    <row r="241" spans="2:20">
      <c r="B241" s="249" t="s">
        <v>513</v>
      </c>
      <c r="C241" s="250" t="s">
        <v>282</v>
      </c>
      <c r="D241" s="250" t="s">
        <v>502</v>
      </c>
      <c r="E241" s="251">
        <v>4</v>
      </c>
      <c r="F241" s="251" t="s">
        <v>281</v>
      </c>
      <c r="G241" s="250">
        <v>9583</v>
      </c>
      <c r="H241" s="250">
        <v>4600</v>
      </c>
      <c r="I241" s="250">
        <v>16366</v>
      </c>
      <c r="J241" s="252">
        <v>-3.6400000000000002E-2</v>
      </c>
      <c r="K241" s="250">
        <v>8035</v>
      </c>
      <c r="L241" s="250">
        <v>3788</v>
      </c>
      <c r="M241" s="250">
        <v>13840</v>
      </c>
      <c r="N241" s="250">
        <v>1548</v>
      </c>
      <c r="O241" s="250">
        <v>812</v>
      </c>
      <c r="P241" s="250">
        <v>2526</v>
      </c>
      <c r="Q241" s="253">
        <v>155920</v>
      </c>
      <c r="R241" s="254">
        <v>9.9281682968139648</v>
      </c>
      <c r="S241" s="254">
        <v>5.207798957824707</v>
      </c>
      <c r="T241" s="255">
        <v>16.200614929199219</v>
      </c>
    </row>
    <row r="242" spans="2:20">
      <c r="B242" s="249" t="s">
        <v>513</v>
      </c>
      <c r="C242" s="250" t="s">
        <v>282</v>
      </c>
      <c r="D242" s="250" t="s">
        <v>502</v>
      </c>
      <c r="E242" s="251">
        <v>5</v>
      </c>
      <c r="F242" s="251" t="s">
        <v>281</v>
      </c>
      <c r="G242" s="250">
        <v>9583</v>
      </c>
      <c r="H242" s="250">
        <v>4600</v>
      </c>
      <c r="I242" s="250">
        <v>16366</v>
      </c>
      <c r="J242" s="252">
        <v>-3.6400000000000002E-2</v>
      </c>
      <c r="K242" s="250">
        <v>7718</v>
      </c>
      <c r="L242" s="250">
        <v>3641</v>
      </c>
      <c r="M242" s="250">
        <v>13315</v>
      </c>
      <c r="N242" s="250">
        <v>1865</v>
      </c>
      <c r="O242" s="250">
        <v>959</v>
      </c>
      <c r="P242" s="250">
        <v>3051</v>
      </c>
      <c r="Q242" s="253">
        <v>155920</v>
      </c>
      <c r="R242" s="254">
        <v>11.961261749267578</v>
      </c>
      <c r="S242" s="254">
        <v>6.1505904197692871</v>
      </c>
      <c r="T242" s="255">
        <v>19.567726135253906</v>
      </c>
    </row>
    <row r="243" spans="2:20">
      <c r="B243" s="249" t="s">
        <v>513</v>
      </c>
      <c r="C243" s="250" t="s">
        <v>282</v>
      </c>
      <c r="D243" s="250" t="s">
        <v>201</v>
      </c>
      <c r="E243" s="251">
        <v>6</v>
      </c>
      <c r="F243" s="251" t="s">
        <v>281</v>
      </c>
      <c r="G243" s="250">
        <v>9583</v>
      </c>
      <c r="H243" s="250">
        <v>4600</v>
      </c>
      <c r="I243" s="250">
        <v>16366</v>
      </c>
      <c r="J243" s="252">
        <v>-9.1000000000000004E-3</v>
      </c>
      <c r="K243" s="250">
        <v>7653</v>
      </c>
      <c r="L243" s="250">
        <v>3612</v>
      </c>
      <c r="M243" s="250">
        <v>13199</v>
      </c>
      <c r="N243" s="250">
        <v>1930</v>
      </c>
      <c r="O243" s="250">
        <v>988</v>
      </c>
      <c r="P243" s="250">
        <v>3167</v>
      </c>
      <c r="Q243" s="253">
        <v>188016</v>
      </c>
      <c r="R243" s="254">
        <v>10.265084266662598</v>
      </c>
      <c r="S243" s="254">
        <v>5.2548723220825195</v>
      </c>
      <c r="T243" s="255">
        <v>16.84431266784668</v>
      </c>
    </row>
    <row r="244" spans="2:20">
      <c r="B244" s="249" t="s">
        <v>513</v>
      </c>
      <c r="C244" s="250" t="s">
        <v>282</v>
      </c>
      <c r="D244" s="250" t="s">
        <v>201</v>
      </c>
      <c r="E244" s="251">
        <v>7</v>
      </c>
      <c r="F244" s="251" t="s">
        <v>281</v>
      </c>
      <c r="G244" s="250">
        <v>9583</v>
      </c>
      <c r="H244" s="250">
        <v>4600</v>
      </c>
      <c r="I244" s="250">
        <v>16366</v>
      </c>
      <c r="J244" s="252">
        <v>-9.1000000000000004E-3</v>
      </c>
      <c r="K244" s="250">
        <v>7587</v>
      </c>
      <c r="L244" s="250">
        <v>3577</v>
      </c>
      <c r="M244" s="250">
        <v>13087</v>
      </c>
      <c r="N244" s="250">
        <v>1996</v>
      </c>
      <c r="O244" s="250">
        <v>1023</v>
      </c>
      <c r="P244" s="250">
        <v>3279</v>
      </c>
      <c r="Q244" s="253">
        <v>143207</v>
      </c>
      <c r="R244" s="254">
        <v>13.9378662109375</v>
      </c>
      <c r="S244" s="254">
        <v>7.1435055732727051</v>
      </c>
      <c r="T244" s="255">
        <v>22.89692497253418</v>
      </c>
    </row>
    <row r="245" spans="2:20">
      <c r="B245" s="249" t="s">
        <v>513</v>
      </c>
      <c r="C245" s="250" t="s">
        <v>282</v>
      </c>
      <c r="D245" s="250" t="s">
        <v>201</v>
      </c>
      <c r="E245" s="251">
        <v>8</v>
      </c>
      <c r="F245" s="251" t="s">
        <v>281</v>
      </c>
      <c r="G245" s="250">
        <v>9583</v>
      </c>
      <c r="H245" s="250">
        <v>4600</v>
      </c>
      <c r="I245" s="250">
        <v>16366</v>
      </c>
      <c r="J245" s="252">
        <v>-9.1000000000000004E-3</v>
      </c>
      <c r="K245" s="250">
        <v>7524</v>
      </c>
      <c r="L245" s="250">
        <v>3545</v>
      </c>
      <c r="M245" s="250">
        <v>12974</v>
      </c>
      <c r="N245" s="250">
        <v>2059</v>
      </c>
      <c r="O245" s="250">
        <v>1055</v>
      </c>
      <c r="P245" s="250">
        <v>3392</v>
      </c>
      <c r="Q245" s="253">
        <v>143207</v>
      </c>
      <c r="R245" s="254">
        <v>14.377788543701172</v>
      </c>
      <c r="S245" s="254">
        <v>7.3669586181640625</v>
      </c>
      <c r="T245" s="255">
        <v>23.685993194580078</v>
      </c>
    </row>
    <row r="246" spans="2:20">
      <c r="B246" s="249" t="s">
        <v>513</v>
      </c>
      <c r="C246" s="250" t="s">
        <v>282</v>
      </c>
      <c r="D246" s="250" t="s">
        <v>201</v>
      </c>
      <c r="E246" s="251">
        <v>9</v>
      </c>
      <c r="F246" s="251" t="s">
        <v>281</v>
      </c>
      <c r="G246" s="250">
        <v>9583</v>
      </c>
      <c r="H246" s="250">
        <v>4600</v>
      </c>
      <c r="I246" s="250">
        <v>16366</v>
      </c>
      <c r="J246" s="252">
        <v>-9.1000000000000004E-3</v>
      </c>
      <c r="K246" s="250">
        <v>7463</v>
      </c>
      <c r="L246" s="250">
        <v>3525</v>
      </c>
      <c r="M246" s="250">
        <v>12878</v>
      </c>
      <c r="N246" s="250">
        <v>2120</v>
      </c>
      <c r="O246" s="250">
        <v>1075</v>
      </c>
      <c r="P246" s="250">
        <v>3488</v>
      </c>
      <c r="Q246" s="253">
        <v>143207</v>
      </c>
      <c r="R246" s="254">
        <v>14.803746223449707</v>
      </c>
      <c r="S246" s="254">
        <v>7.5066165924072266</v>
      </c>
      <c r="T246" s="255">
        <v>24.356351852416992</v>
      </c>
    </row>
    <row r="247" spans="2:20">
      <c r="B247" s="249" t="s">
        <v>513</v>
      </c>
      <c r="C247" s="250" t="s">
        <v>282</v>
      </c>
      <c r="D247" s="250" t="s">
        <v>201</v>
      </c>
      <c r="E247" s="251">
        <v>10</v>
      </c>
      <c r="F247" s="251" t="s">
        <v>281</v>
      </c>
      <c r="G247" s="250">
        <v>9583</v>
      </c>
      <c r="H247" s="250">
        <v>4600</v>
      </c>
      <c r="I247" s="250">
        <v>16366</v>
      </c>
      <c r="J247" s="252">
        <v>-9.1000000000000004E-3</v>
      </c>
      <c r="K247" s="250">
        <v>7381</v>
      </c>
      <c r="L247" s="250">
        <v>3479</v>
      </c>
      <c r="M247" s="250">
        <v>12709</v>
      </c>
      <c r="N247" s="250">
        <v>2202</v>
      </c>
      <c r="O247" s="250">
        <v>1121</v>
      </c>
      <c r="P247" s="250">
        <v>3657</v>
      </c>
      <c r="Q247" s="253">
        <v>143207</v>
      </c>
      <c r="R247" s="254">
        <v>15.376343727111816</v>
      </c>
      <c r="S247" s="254">
        <v>7.8278293609619141</v>
      </c>
      <c r="T247" s="255">
        <v>25.536460876464844</v>
      </c>
    </row>
    <row r="248" spans="2:20">
      <c r="B248" s="249" t="s">
        <v>513</v>
      </c>
      <c r="C248" s="250" t="s">
        <v>282</v>
      </c>
      <c r="D248" s="250" t="s">
        <v>201</v>
      </c>
      <c r="E248" s="251">
        <v>11</v>
      </c>
      <c r="F248" s="251" t="s">
        <v>281</v>
      </c>
      <c r="G248" s="250">
        <v>9583</v>
      </c>
      <c r="H248" s="250">
        <v>4600</v>
      </c>
      <c r="I248" s="250">
        <v>16366</v>
      </c>
      <c r="J248" s="252">
        <v>-9.1000000000000004E-3</v>
      </c>
      <c r="K248" s="250">
        <v>7324</v>
      </c>
      <c r="L248" s="250">
        <v>3447</v>
      </c>
      <c r="M248" s="250">
        <v>12599</v>
      </c>
      <c r="N248" s="250">
        <v>2259</v>
      </c>
      <c r="O248" s="250">
        <v>1153</v>
      </c>
      <c r="P248" s="250">
        <v>3767</v>
      </c>
      <c r="Q248" s="253">
        <v>188016</v>
      </c>
      <c r="R248" s="254">
        <v>12.014934539794922</v>
      </c>
      <c r="S248" s="254">
        <v>6.1324567794799805</v>
      </c>
      <c r="T248" s="255">
        <v>20.035530090332031</v>
      </c>
    </row>
    <row r="249" spans="2:20">
      <c r="B249" s="249" t="s">
        <v>513</v>
      </c>
      <c r="C249" s="250" t="s">
        <v>282</v>
      </c>
      <c r="D249" s="250" t="s">
        <v>201</v>
      </c>
      <c r="E249" s="251">
        <v>12</v>
      </c>
      <c r="F249" s="251" t="s">
        <v>281</v>
      </c>
      <c r="G249" s="250">
        <v>9583</v>
      </c>
      <c r="H249" s="250">
        <v>4600</v>
      </c>
      <c r="I249" s="250">
        <v>16366</v>
      </c>
      <c r="J249" s="252">
        <v>-9.1000000000000004E-3</v>
      </c>
      <c r="K249" s="250">
        <v>7252</v>
      </c>
      <c r="L249" s="250">
        <v>3417</v>
      </c>
      <c r="M249" s="250">
        <v>12499</v>
      </c>
      <c r="N249" s="250">
        <v>2331</v>
      </c>
      <c r="O249" s="250">
        <v>1183</v>
      </c>
      <c r="P249" s="250">
        <v>3867</v>
      </c>
      <c r="Q249" s="253">
        <v>143207</v>
      </c>
      <c r="R249" s="254">
        <v>16.277137756347656</v>
      </c>
      <c r="S249" s="254">
        <v>8.2607698440551758</v>
      </c>
      <c r="T249" s="255">
        <v>27.00286865234375</v>
      </c>
    </row>
    <row r="250" spans="2:20">
      <c r="B250" s="249" t="s">
        <v>513</v>
      </c>
      <c r="C250" s="250" t="s">
        <v>282</v>
      </c>
      <c r="D250" s="250" t="s">
        <v>201</v>
      </c>
      <c r="E250" s="251">
        <v>13</v>
      </c>
      <c r="F250" s="251" t="s">
        <v>281</v>
      </c>
      <c r="G250" s="250">
        <v>9583</v>
      </c>
      <c r="H250" s="250">
        <v>4600</v>
      </c>
      <c r="I250" s="250">
        <v>16366</v>
      </c>
      <c r="J250" s="252">
        <v>-9.1000000000000004E-3</v>
      </c>
      <c r="K250" s="250">
        <v>7188</v>
      </c>
      <c r="L250" s="250">
        <v>3392</v>
      </c>
      <c r="M250" s="250">
        <v>12378</v>
      </c>
      <c r="N250" s="250">
        <v>2395</v>
      </c>
      <c r="O250" s="250">
        <v>1208</v>
      </c>
      <c r="P250" s="250">
        <v>3988</v>
      </c>
      <c r="Q250" s="253">
        <v>143207</v>
      </c>
      <c r="R250" s="254">
        <v>16.724042892456055</v>
      </c>
      <c r="S250" s="254">
        <v>8.4353418350219727</v>
      </c>
      <c r="T250" s="255">
        <v>27.847801208496094</v>
      </c>
    </row>
    <row r="251" spans="2:20">
      <c r="B251" s="249" t="s">
        <v>513</v>
      </c>
      <c r="C251" s="250" t="s">
        <v>282</v>
      </c>
      <c r="D251" s="250" t="s">
        <v>201</v>
      </c>
      <c r="E251" s="251">
        <v>14</v>
      </c>
      <c r="F251" s="251" t="s">
        <v>281</v>
      </c>
      <c r="G251" s="250">
        <v>9583</v>
      </c>
      <c r="H251" s="250">
        <v>4600</v>
      </c>
      <c r="I251" s="250">
        <v>16366</v>
      </c>
      <c r="J251" s="252">
        <v>-9.1000000000000004E-3</v>
      </c>
      <c r="K251" s="250">
        <v>7119</v>
      </c>
      <c r="L251" s="250">
        <v>3359</v>
      </c>
      <c r="M251" s="250">
        <v>12260</v>
      </c>
      <c r="N251" s="250">
        <v>2464</v>
      </c>
      <c r="O251" s="250">
        <v>1241</v>
      </c>
      <c r="P251" s="250">
        <v>4106</v>
      </c>
      <c r="Q251" s="253">
        <v>143207</v>
      </c>
      <c r="R251" s="254">
        <v>17.205862045288086</v>
      </c>
      <c r="S251" s="254">
        <v>8.6657781600952148</v>
      </c>
      <c r="T251" s="255">
        <v>28.671781539916992</v>
      </c>
    </row>
    <row r="252" spans="2:20">
      <c r="B252" s="256" t="s">
        <v>513</v>
      </c>
      <c r="C252" s="257" t="s">
        <v>282</v>
      </c>
      <c r="D252" s="257" t="s">
        <v>201</v>
      </c>
      <c r="E252" s="258">
        <v>15</v>
      </c>
      <c r="F252" s="258" t="s">
        <v>281</v>
      </c>
      <c r="G252" s="257">
        <v>9583</v>
      </c>
      <c r="H252" s="257">
        <v>4600</v>
      </c>
      <c r="I252" s="257">
        <v>16366</v>
      </c>
      <c r="J252" s="259">
        <v>-9.1000000000000004E-3</v>
      </c>
      <c r="K252" s="257">
        <v>7058</v>
      </c>
      <c r="L252" s="257">
        <v>3320</v>
      </c>
      <c r="M252" s="257">
        <v>12160</v>
      </c>
      <c r="N252" s="257">
        <v>2525</v>
      </c>
      <c r="O252" s="257">
        <v>1280</v>
      </c>
      <c r="P252" s="257">
        <v>4206</v>
      </c>
      <c r="Q252" s="260">
        <v>143207</v>
      </c>
      <c r="R252" s="261">
        <v>17.631818771362305</v>
      </c>
      <c r="S252" s="261">
        <v>8.9381103515625</v>
      </c>
      <c r="T252" s="262">
        <v>29.370073318481445</v>
      </c>
    </row>
    <row r="253" spans="2:20">
      <c r="B253" s="249" t="s">
        <v>513</v>
      </c>
      <c r="C253" s="250" t="s">
        <v>77</v>
      </c>
      <c r="D253" s="250" t="s">
        <v>502</v>
      </c>
      <c r="E253" s="251">
        <v>1</v>
      </c>
      <c r="F253" s="251" t="s">
        <v>281</v>
      </c>
      <c r="G253" s="250">
        <v>9583</v>
      </c>
      <c r="H253" s="250">
        <v>4600</v>
      </c>
      <c r="I253" s="250">
        <v>16366</v>
      </c>
      <c r="J253" s="252">
        <v>-1.0800000000000001E-2</v>
      </c>
      <c r="K253" s="250">
        <v>9141</v>
      </c>
      <c r="L253" s="250">
        <v>4293</v>
      </c>
      <c r="M253" s="250">
        <v>15790</v>
      </c>
      <c r="N253" s="250">
        <v>442</v>
      </c>
      <c r="O253" s="250">
        <v>307</v>
      </c>
      <c r="P253" s="250">
        <v>576</v>
      </c>
      <c r="Q253" s="253">
        <v>291952</v>
      </c>
      <c r="R253" s="254">
        <v>1.5139474868774414</v>
      </c>
      <c r="S253" s="254">
        <v>1.0515426397323608</v>
      </c>
      <c r="T253" s="255">
        <v>1.9729269742965698</v>
      </c>
    </row>
    <row r="254" spans="2:20">
      <c r="B254" s="249" t="s">
        <v>513</v>
      </c>
      <c r="C254" s="250" t="s">
        <v>77</v>
      </c>
      <c r="D254" s="250" t="s">
        <v>502</v>
      </c>
      <c r="E254" s="251">
        <v>2</v>
      </c>
      <c r="F254" s="251" t="s">
        <v>281</v>
      </c>
      <c r="G254" s="250">
        <v>9583</v>
      </c>
      <c r="H254" s="250">
        <v>4600</v>
      </c>
      <c r="I254" s="250">
        <v>16366</v>
      </c>
      <c r="J254" s="252">
        <v>-1.0800000000000001E-2</v>
      </c>
      <c r="K254" s="250">
        <v>9063</v>
      </c>
      <c r="L254" s="250">
        <v>4269</v>
      </c>
      <c r="M254" s="250">
        <v>15647</v>
      </c>
      <c r="N254" s="250">
        <v>520</v>
      </c>
      <c r="O254" s="250">
        <v>331</v>
      </c>
      <c r="P254" s="250">
        <v>719</v>
      </c>
      <c r="Q254" s="253">
        <v>503800</v>
      </c>
      <c r="R254" s="254">
        <v>1.0321556329727173</v>
      </c>
      <c r="S254" s="254">
        <v>0.65700674057006836</v>
      </c>
      <c r="T254" s="255">
        <v>1.4271535873413086</v>
      </c>
    </row>
    <row r="255" spans="2:20">
      <c r="B255" s="249" t="s">
        <v>513</v>
      </c>
      <c r="C255" s="250" t="s">
        <v>77</v>
      </c>
      <c r="D255" s="250" t="s">
        <v>502</v>
      </c>
      <c r="E255" s="251">
        <v>3</v>
      </c>
      <c r="F255" s="251" t="s">
        <v>281</v>
      </c>
      <c r="G255" s="250">
        <v>9583</v>
      </c>
      <c r="H255" s="250">
        <v>4600</v>
      </c>
      <c r="I255" s="250">
        <v>16366</v>
      </c>
      <c r="J255" s="252">
        <v>-1.0800000000000001E-2</v>
      </c>
      <c r="K255" s="250">
        <v>8978</v>
      </c>
      <c r="L255" s="250">
        <v>4228</v>
      </c>
      <c r="M255" s="250">
        <v>15498</v>
      </c>
      <c r="N255" s="250">
        <v>605</v>
      </c>
      <c r="O255" s="250">
        <v>372</v>
      </c>
      <c r="P255" s="250">
        <v>868</v>
      </c>
      <c r="Q255" s="253">
        <v>336131</v>
      </c>
      <c r="R255" s="254">
        <v>1.7998934984207153</v>
      </c>
      <c r="S255" s="254">
        <v>1.1067113876342773</v>
      </c>
      <c r="T255" s="255">
        <v>2.5823264122009277</v>
      </c>
    </row>
    <row r="256" spans="2:20">
      <c r="B256" s="249" t="s">
        <v>513</v>
      </c>
      <c r="C256" s="250" t="s">
        <v>77</v>
      </c>
      <c r="D256" s="250" t="s">
        <v>502</v>
      </c>
      <c r="E256" s="251">
        <v>4</v>
      </c>
      <c r="F256" s="251" t="s">
        <v>281</v>
      </c>
      <c r="G256" s="250">
        <v>9583</v>
      </c>
      <c r="H256" s="250">
        <v>4600</v>
      </c>
      <c r="I256" s="250">
        <v>16366</v>
      </c>
      <c r="J256" s="252">
        <v>-1.0800000000000001E-2</v>
      </c>
      <c r="K256" s="250">
        <v>8884</v>
      </c>
      <c r="L256" s="250">
        <v>4188</v>
      </c>
      <c r="M256" s="250">
        <v>15347</v>
      </c>
      <c r="N256" s="250">
        <v>699</v>
      </c>
      <c r="O256" s="250">
        <v>412</v>
      </c>
      <c r="P256" s="250">
        <v>1019</v>
      </c>
      <c r="Q256" s="253">
        <v>353502</v>
      </c>
      <c r="R256" s="254">
        <v>1.9773579835891724</v>
      </c>
      <c r="S256" s="254">
        <v>1.1654814481735229</v>
      </c>
      <c r="T256" s="255">
        <v>2.8825862407684326</v>
      </c>
    </row>
    <row r="257" spans="2:20">
      <c r="B257" s="249" t="s">
        <v>513</v>
      </c>
      <c r="C257" s="250" t="s">
        <v>77</v>
      </c>
      <c r="D257" s="250" t="s">
        <v>502</v>
      </c>
      <c r="E257" s="251">
        <v>5</v>
      </c>
      <c r="F257" s="251" t="s">
        <v>281</v>
      </c>
      <c r="G257" s="250">
        <v>9583</v>
      </c>
      <c r="H257" s="250">
        <v>4600</v>
      </c>
      <c r="I257" s="250">
        <v>16366</v>
      </c>
      <c r="J257" s="252">
        <v>-1.0800000000000001E-2</v>
      </c>
      <c r="K257" s="250">
        <v>8793</v>
      </c>
      <c r="L257" s="250">
        <v>4141</v>
      </c>
      <c r="M257" s="250">
        <v>15180</v>
      </c>
      <c r="N257" s="250">
        <v>790</v>
      </c>
      <c r="O257" s="250">
        <v>459</v>
      </c>
      <c r="P257" s="250">
        <v>1186</v>
      </c>
      <c r="Q257" s="253">
        <v>336131</v>
      </c>
      <c r="R257" s="254">
        <v>2.3502743244171143</v>
      </c>
      <c r="S257" s="254">
        <v>1.3655390739440918</v>
      </c>
      <c r="T257" s="255">
        <v>3.5283863544464111</v>
      </c>
    </row>
    <row r="258" spans="2:20">
      <c r="B258" s="249" t="s">
        <v>513</v>
      </c>
      <c r="C258" s="250" t="s">
        <v>77</v>
      </c>
      <c r="D258" s="250" t="s">
        <v>201</v>
      </c>
      <c r="E258" s="251">
        <v>6</v>
      </c>
      <c r="F258" s="251" t="s">
        <v>281</v>
      </c>
      <c r="G258" s="250">
        <v>9583</v>
      </c>
      <c r="H258" s="250">
        <v>4600</v>
      </c>
      <c r="I258" s="250">
        <v>16366</v>
      </c>
      <c r="J258" s="252">
        <v>-8.0000000000000004E-4</v>
      </c>
      <c r="K258" s="250">
        <v>8790</v>
      </c>
      <c r="L258" s="250">
        <v>4139</v>
      </c>
      <c r="M258" s="250">
        <v>15170</v>
      </c>
      <c r="N258" s="250">
        <v>793</v>
      </c>
      <c r="O258" s="250">
        <v>461</v>
      </c>
      <c r="P258" s="250">
        <v>1196</v>
      </c>
      <c r="Q258" s="253">
        <v>231478</v>
      </c>
      <c r="R258" s="254">
        <v>3.4258115291595459</v>
      </c>
      <c r="S258" s="254">
        <v>1.9915499687194824</v>
      </c>
      <c r="T258" s="255">
        <v>5.1667981147766113</v>
      </c>
    </row>
    <row r="259" spans="2:20">
      <c r="B259" s="249" t="s">
        <v>513</v>
      </c>
      <c r="C259" s="250" t="s">
        <v>77</v>
      </c>
      <c r="D259" s="250" t="s">
        <v>201</v>
      </c>
      <c r="E259" s="251">
        <v>7</v>
      </c>
      <c r="F259" s="251" t="s">
        <v>281</v>
      </c>
      <c r="G259" s="250">
        <v>9583</v>
      </c>
      <c r="H259" s="250">
        <v>4600</v>
      </c>
      <c r="I259" s="250">
        <v>16366</v>
      </c>
      <c r="J259" s="252">
        <v>-8.0000000000000004E-4</v>
      </c>
      <c r="K259" s="250">
        <v>8779</v>
      </c>
      <c r="L259" s="250">
        <v>4134</v>
      </c>
      <c r="M259" s="250">
        <v>15160</v>
      </c>
      <c r="N259" s="250">
        <v>804</v>
      </c>
      <c r="O259" s="250">
        <v>466</v>
      </c>
      <c r="P259" s="250">
        <v>1206</v>
      </c>
      <c r="Q259" s="253">
        <v>177294</v>
      </c>
      <c r="R259" s="254">
        <v>4.5348405838012695</v>
      </c>
      <c r="S259" s="254">
        <v>2.6284024715423584</v>
      </c>
      <c r="T259" s="255">
        <v>6.8022608757019043</v>
      </c>
    </row>
    <row r="260" spans="2:20">
      <c r="B260" s="249" t="s">
        <v>513</v>
      </c>
      <c r="C260" s="250" t="s">
        <v>77</v>
      </c>
      <c r="D260" s="250" t="s">
        <v>201</v>
      </c>
      <c r="E260" s="251">
        <v>8</v>
      </c>
      <c r="F260" s="251" t="s">
        <v>281</v>
      </c>
      <c r="G260" s="250">
        <v>9583</v>
      </c>
      <c r="H260" s="250">
        <v>4600</v>
      </c>
      <c r="I260" s="250">
        <v>16366</v>
      </c>
      <c r="J260" s="252">
        <v>-8.0000000000000004E-4</v>
      </c>
      <c r="K260" s="250">
        <v>8776</v>
      </c>
      <c r="L260" s="250">
        <v>4134</v>
      </c>
      <c r="M260" s="250">
        <v>15148</v>
      </c>
      <c r="N260" s="250">
        <v>807</v>
      </c>
      <c r="O260" s="250">
        <v>466</v>
      </c>
      <c r="P260" s="250">
        <v>1218</v>
      </c>
      <c r="Q260" s="253">
        <v>159923</v>
      </c>
      <c r="R260" s="254">
        <v>5.0461788177490234</v>
      </c>
      <c r="S260" s="254">
        <v>2.9139022827148438</v>
      </c>
      <c r="T260" s="255">
        <v>7.6161651611328125</v>
      </c>
    </row>
    <row r="261" spans="2:20">
      <c r="B261" s="249" t="s">
        <v>513</v>
      </c>
      <c r="C261" s="250" t="s">
        <v>77</v>
      </c>
      <c r="D261" s="250" t="s">
        <v>201</v>
      </c>
      <c r="E261" s="251">
        <v>9</v>
      </c>
      <c r="F261" s="251" t="s">
        <v>281</v>
      </c>
      <c r="G261" s="250">
        <v>9583</v>
      </c>
      <c r="H261" s="250">
        <v>4600</v>
      </c>
      <c r="I261" s="250">
        <v>16366</v>
      </c>
      <c r="J261" s="252">
        <v>-8.0000000000000004E-4</v>
      </c>
      <c r="K261" s="250">
        <v>8764</v>
      </c>
      <c r="L261" s="250">
        <v>4133</v>
      </c>
      <c r="M261" s="250">
        <v>15136</v>
      </c>
      <c r="N261" s="250">
        <v>819</v>
      </c>
      <c r="O261" s="250">
        <v>467</v>
      </c>
      <c r="P261" s="250">
        <v>1230</v>
      </c>
      <c r="Q261" s="253">
        <v>159923</v>
      </c>
      <c r="R261" s="254">
        <v>5.1212148666381836</v>
      </c>
      <c r="S261" s="254">
        <v>2.9201555252075195</v>
      </c>
      <c r="T261" s="255">
        <v>7.6912012100219727</v>
      </c>
    </row>
    <row r="262" spans="2:20">
      <c r="B262" s="249" t="s">
        <v>513</v>
      </c>
      <c r="C262" s="250" t="s">
        <v>77</v>
      </c>
      <c r="D262" s="250" t="s">
        <v>201</v>
      </c>
      <c r="E262" s="251">
        <v>10</v>
      </c>
      <c r="F262" s="251" t="s">
        <v>281</v>
      </c>
      <c r="G262" s="250">
        <v>9583</v>
      </c>
      <c r="H262" s="250">
        <v>4600</v>
      </c>
      <c r="I262" s="250">
        <v>16366</v>
      </c>
      <c r="J262" s="252">
        <v>-8.0000000000000004E-4</v>
      </c>
      <c r="K262" s="250">
        <v>8761</v>
      </c>
      <c r="L262" s="250">
        <v>4131</v>
      </c>
      <c r="M262" s="250">
        <v>15123</v>
      </c>
      <c r="N262" s="250">
        <v>822</v>
      </c>
      <c r="O262" s="250">
        <v>469</v>
      </c>
      <c r="P262" s="250">
        <v>1243</v>
      </c>
      <c r="Q262" s="253">
        <v>177294</v>
      </c>
      <c r="R262" s="254">
        <v>4.6363668441772461</v>
      </c>
      <c r="S262" s="254">
        <v>2.6453235149383545</v>
      </c>
      <c r="T262" s="255">
        <v>7.010953426361084</v>
      </c>
    </row>
    <row r="263" spans="2:20">
      <c r="B263" s="249" t="s">
        <v>513</v>
      </c>
      <c r="C263" s="250" t="s">
        <v>77</v>
      </c>
      <c r="D263" s="250" t="s">
        <v>201</v>
      </c>
      <c r="E263" s="251">
        <v>11</v>
      </c>
      <c r="F263" s="251" t="s">
        <v>281</v>
      </c>
      <c r="G263" s="250">
        <v>9583</v>
      </c>
      <c r="H263" s="250">
        <v>4600</v>
      </c>
      <c r="I263" s="250">
        <v>16366</v>
      </c>
      <c r="J263" s="252">
        <v>-8.0000000000000004E-4</v>
      </c>
      <c r="K263" s="250">
        <v>8755</v>
      </c>
      <c r="L263" s="250">
        <v>4128</v>
      </c>
      <c r="M263" s="250">
        <v>15114</v>
      </c>
      <c r="N263" s="250">
        <v>828</v>
      </c>
      <c r="O263" s="250">
        <v>472</v>
      </c>
      <c r="P263" s="250">
        <v>1252</v>
      </c>
      <c r="Q263" s="253">
        <v>231478</v>
      </c>
      <c r="R263" s="254">
        <v>3.5770137310028076</v>
      </c>
      <c r="S263" s="254">
        <v>2.0390706062316895</v>
      </c>
      <c r="T263" s="255">
        <v>5.4087214469909668</v>
      </c>
    </row>
    <row r="264" spans="2:20">
      <c r="B264" s="249" t="s">
        <v>513</v>
      </c>
      <c r="C264" s="250" t="s">
        <v>77</v>
      </c>
      <c r="D264" s="250" t="s">
        <v>201</v>
      </c>
      <c r="E264" s="251">
        <v>12</v>
      </c>
      <c r="F264" s="251" t="s">
        <v>281</v>
      </c>
      <c r="G264" s="250">
        <v>9583</v>
      </c>
      <c r="H264" s="250">
        <v>4600</v>
      </c>
      <c r="I264" s="250">
        <v>16366</v>
      </c>
      <c r="J264" s="252">
        <v>-8.0000000000000004E-4</v>
      </c>
      <c r="K264" s="250">
        <v>8750</v>
      </c>
      <c r="L264" s="250">
        <v>4126</v>
      </c>
      <c r="M264" s="250">
        <v>15109</v>
      </c>
      <c r="N264" s="250">
        <v>833</v>
      </c>
      <c r="O264" s="250">
        <v>474</v>
      </c>
      <c r="P264" s="250">
        <v>1257</v>
      </c>
      <c r="Q264" s="253">
        <v>159923</v>
      </c>
      <c r="R264" s="254">
        <v>5.2087569236755371</v>
      </c>
      <c r="S264" s="254">
        <v>2.9639263153076172</v>
      </c>
      <c r="T264" s="255">
        <v>7.8600330352783203</v>
      </c>
    </row>
    <row r="265" spans="2:20">
      <c r="B265" s="249" t="s">
        <v>513</v>
      </c>
      <c r="C265" s="250" t="s">
        <v>77</v>
      </c>
      <c r="D265" s="250" t="s">
        <v>201</v>
      </c>
      <c r="E265" s="251">
        <v>13</v>
      </c>
      <c r="F265" s="251" t="s">
        <v>281</v>
      </c>
      <c r="G265" s="250">
        <v>9583</v>
      </c>
      <c r="H265" s="250">
        <v>4600</v>
      </c>
      <c r="I265" s="250">
        <v>16366</v>
      </c>
      <c r="J265" s="252">
        <v>-8.0000000000000004E-4</v>
      </c>
      <c r="K265" s="250">
        <v>8740</v>
      </c>
      <c r="L265" s="250">
        <v>4117</v>
      </c>
      <c r="M265" s="250">
        <v>15084</v>
      </c>
      <c r="N265" s="250">
        <v>843</v>
      </c>
      <c r="O265" s="250">
        <v>483</v>
      </c>
      <c r="P265" s="250">
        <v>1282</v>
      </c>
      <c r="Q265" s="253">
        <v>177294</v>
      </c>
      <c r="R265" s="254">
        <v>4.7548136711120605</v>
      </c>
      <c r="S265" s="254">
        <v>2.7242884635925293</v>
      </c>
      <c r="T265" s="255">
        <v>7.2309274673461914</v>
      </c>
    </row>
    <row r="266" spans="2:20">
      <c r="B266" s="249" t="s">
        <v>513</v>
      </c>
      <c r="C266" s="250" t="s">
        <v>77</v>
      </c>
      <c r="D266" s="250" t="s">
        <v>201</v>
      </c>
      <c r="E266" s="251">
        <v>14</v>
      </c>
      <c r="F266" s="251" t="s">
        <v>281</v>
      </c>
      <c r="G266" s="250">
        <v>9583</v>
      </c>
      <c r="H266" s="250">
        <v>4600</v>
      </c>
      <c r="I266" s="250">
        <v>16366</v>
      </c>
      <c r="J266" s="252">
        <v>-8.0000000000000004E-4</v>
      </c>
      <c r="K266" s="250">
        <v>8738</v>
      </c>
      <c r="L266" s="250">
        <v>4116</v>
      </c>
      <c r="M266" s="250">
        <v>15081</v>
      </c>
      <c r="N266" s="250">
        <v>845</v>
      </c>
      <c r="O266" s="250">
        <v>484</v>
      </c>
      <c r="P266" s="250">
        <v>1285</v>
      </c>
      <c r="Q266" s="253">
        <v>159923</v>
      </c>
      <c r="R266" s="254">
        <v>5.2837929725646973</v>
      </c>
      <c r="S266" s="254">
        <v>3.0264565944671631</v>
      </c>
      <c r="T266" s="255">
        <v>8.0351171493530273</v>
      </c>
    </row>
    <row r="267" spans="2:20">
      <c r="B267" s="256" t="s">
        <v>513</v>
      </c>
      <c r="C267" s="257" t="s">
        <v>77</v>
      </c>
      <c r="D267" s="257" t="s">
        <v>201</v>
      </c>
      <c r="E267" s="258">
        <v>15</v>
      </c>
      <c r="F267" s="258" t="s">
        <v>281</v>
      </c>
      <c r="G267" s="257">
        <v>9583</v>
      </c>
      <c r="H267" s="257">
        <v>4600</v>
      </c>
      <c r="I267" s="257">
        <v>16366</v>
      </c>
      <c r="J267" s="259">
        <v>-8.0000000000000004E-4</v>
      </c>
      <c r="K267" s="257">
        <v>8732</v>
      </c>
      <c r="L267" s="257">
        <v>4113</v>
      </c>
      <c r="M267" s="257">
        <v>15074</v>
      </c>
      <c r="N267" s="257">
        <v>851</v>
      </c>
      <c r="O267" s="257">
        <v>487</v>
      </c>
      <c r="P267" s="257">
        <v>1292</v>
      </c>
      <c r="Q267" s="260">
        <v>159923</v>
      </c>
      <c r="R267" s="261">
        <v>5.3213109970092773</v>
      </c>
      <c r="S267" s="261">
        <v>3.0452156066894531</v>
      </c>
      <c r="T267" s="262">
        <v>8.078887939453125</v>
      </c>
    </row>
    <row r="268" spans="2:20">
      <c r="B268" s="249" t="s">
        <v>513</v>
      </c>
      <c r="C268" s="250" t="s">
        <v>121</v>
      </c>
      <c r="D268" s="250" t="s">
        <v>502</v>
      </c>
      <c r="E268" s="251">
        <v>1</v>
      </c>
      <c r="F268" s="251" t="s">
        <v>281</v>
      </c>
      <c r="G268" s="250">
        <v>9583</v>
      </c>
      <c r="H268" s="250">
        <v>4600</v>
      </c>
      <c r="I268" s="250">
        <v>16366</v>
      </c>
      <c r="J268" s="252">
        <v>-0.02</v>
      </c>
      <c r="K268" s="250">
        <v>9073</v>
      </c>
      <c r="L268" s="250">
        <v>4272</v>
      </c>
      <c r="M268" s="250">
        <v>15676</v>
      </c>
      <c r="N268" s="250">
        <v>510</v>
      </c>
      <c r="O268" s="250">
        <v>328</v>
      </c>
      <c r="P268" s="250">
        <v>690</v>
      </c>
      <c r="Q268" s="253">
        <v>133969</v>
      </c>
      <c r="R268" s="254">
        <v>3.8068509101867676</v>
      </c>
      <c r="S268" s="254">
        <v>2.4483275413513184</v>
      </c>
      <c r="T268" s="255">
        <v>5.1504454612731934</v>
      </c>
    </row>
    <row r="269" spans="2:20">
      <c r="B269" s="249" t="s">
        <v>513</v>
      </c>
      <c r="C269" s="250" t="s">
        <v>121</v>
      </c>
      <c r="D269" s="250" t="s">
        <v>502</v>
      </c>
      <c r="E269" s="251">
        <v>2</v>
      </c>
      <c r="F269" s="251" t="s">
        <v>281</v>
      </c>
      <c r="G269" s="250">
        <v>9583</v>
      </c>
      <c r="H269" s="250">
        <v>4600</v>
      </c>
      <c r="I269" s="250">
        <v>16366</v>
      </c>
      <c r="J269" s="252">
        <v>-0.02</v>
      </c>
      <c r="K269" s="250">
        <v>8909</v>
      </c>
      <c r="L269" s="250">
        <v>4198</v>
      </c>
      <c r="M269" s="250">
        <v>15393</v>
      </c>
      <c r="N269" s="250">
        <v>674</v>
      </c>
      <c r="O269" s="250">
        <v>402</v>
      </c>
      <c r="P269" s="250">
        <v>973</v>
      </c>
      <c r="Q269" s="253">
        <v>273304</v>
      </c>
      <c r="R269" s="254">
        <v>2.466118335723877</v>
      </c>
      <c r="S269" s="254">
        <v>1.4708895683288574</v>
      </c>
      <c r="T269" s="255">
        <v>3.5601382255554199</v>
      </c>
    </row>
    <row r="270" spans="2:20">
      <c r="B270" s="249" t="s">
        <v>513</v>
      </c>
      <c r="C270" s="250" t="s">
        <v>121</v>
      </c>
      <c r="D270" s="250" t="s">
        <v>502</v>
      </c>
      <c r="E270" s="251">
        <v>3</v>
      </c>
      <c r="F270" s="251" t="s">
        <v>281</v>
      </c>
      <c r="G270" s="250">
        <v>9583</v>
      </c>
      <c r="H270" s="250">
        <v>4600</v>
      </c>
      <c r="I270" s="250">
        <v>16366</v>
      </c>
      <c r="J270" s="252">
        <v>-0.02</v>
      </c>
      <c r="K270" s="250">
        <v>8748</v>
      </c>
      <c r="L270" s="250">
        <v>4126</v>
      </c>
      <c r="M270" s="250">
        <v>15099</v>
      </c>
      <c r="N270" s="250">
        <v>835</v>
      </c>
      <c r="O270" s="250">
        <v>474</v>
      </c>
      <c r="P270" s="250">
        <v>1267</v>
      </c>
      <c r="Q270" s="253">
        <v>170998</v>
      </c>
      <c r="R270" s="254">
        <v>4.8830981254577637</v>
      </c>
      <c r="S270" s="254">
        <v>2.7719621658325195</v>
      </c>
      <c r="T270" s="255">
        <v>7.4094433784484863</v>
      </c>
    </row>
    <row r="271" spans="2:20">
      <c r="B271" s="249" t="s">
        <v>513</v>
      </c>
      <c r="C271" s="250" t="s">
        <v>121</v>
      </c>
      <c r="D271" s="250" t="s">
        <v>502</v>
      </c>
      <c r="E271" s="251">
        <v>4</v>
      </c>
      <c r="F271" s="251" t="s">
        <v>281</v>
      </c>
      <c r="G271" s="250">
        <v>9583</v>
      </c>
      <c r="H271" s="250">
        <v>4600</v>
      </c>
      <c r="I271" s="250">
        <v>16366</v>
      </c>
      <c r="J271" s="252">
        <v>-0.02</v>
      </c>
      <c r="K271" s="250">
        <v>8577</v>
      </c>
      <c r="L271" s="250">
        <v>4037</v>
      </c>
      <c r="M271" s="250">
        <v>14788</v>
      </c>
      <c r="N271" s="250">
        <v>1006</v>
      </c>
      <c r="O271" s="250">
        <v>563</v>
      </c>
      <c r="P271" s="250">
        <v>1578</v>
      </c>
      <c r="Q271" s="253">
        <v>170998</v>
      </c>
      <c r="R271" s="254">
        <v>5.8831095695495605</v>
      </c>
      <c r="S271" s="254">
        <v>3.2924363613128662</v>
      </c>
      <c r="T271" s="255">
        <v>9.2281780242919922</v>
      </c>
    </row>
    <row r="272" spans="2:20">
      <c r="B272" s="249" t="s">
        <v>513</v>
      </c>
      <c r="C272" s="250" t="s">
        <v>121</v>
      </c>
      <c r="D272" s="250" t="s">
        <v>502</v>
      </c>
      <c r="E272" s="251">
        <v>5</v>
      </c>
      <c r="F272" s="251" t="s">
        <v>281</v>
      </c>
      <c r="G272" s="250">
        <v>9583</v>
      </c>
      <c r="H272" s="250">
        <v>4600</v>
      </c>
      <c r="I272" s="250">
        <v>16366</v>
      </c>
      <c r="J272" s="252">
        <v>-0.02</v>
      </c>
      <c r="K272" s="250">
        <v>8418</v>
      </c>
      <c r="L272" s="250">
        <v>3955</v>
      </c>
      <c r="M272" s="250">
        <v>14511</v>
      </c>
      <c r="N272" s="250">
        <v>1165</v>
      </c>
      <c r="O272" s="250">
        <v>645</v>
      </c>
      <c r="P272" s="250">
        <v>1855</v>
      </c>
      <c r="Q272" s="253">
        <v>170998</v>
      </c>
      <c r="R272" s="254">
        <v>6.8129448890686035</v>
      </c>
      <c r="S272" s="254">
        <v>3.7719740867614746</v>
      </c>
      <c r="T272" s="255">
        <v>10.848079681396484</v>
      </c>
    </row>
    <row r="273" spans="2:20">
      <c r="B273" s="249" t="s">
        <v>513</v>
      </c>
      <c r="C273" s="250" t="s">
        <v>121</v>
      </c>
      <c r="D273" s="250" t="s">
        <v>201</v>
      </c>
      <c r="E273" s="251">
        <v>6</v>
      </c>
      <c r="F273" s="251" t="s">
        <v>281</v>
      </c>
      <c r="G273" s="250">
        <v>9583</v>
      </c>
      <c r="H273" s="250">
        <v>4600</v>
      </c>
      <c r="I273" s="250">
        <v>16366</v>
      </c>
      <c r="J273" s="252">
        <v>-2E-3</v>
      </c>
      <c r="K273" s="250">
        <v>8400</v>
      </c>
      <c r="L273" s="250">
        <v>3951</v>
      </c>
      <c r="M273" s="250">
        <v>14489</v>
      </c>
      <c r="N273" s="250">
        <v>1183</v>
      </c>
      <c r="O273" s="250">
        <v>649</v>
      </c>
      <c r="P273" s="250">
        <v>1877</v>
      </c>
      <c r="Q273" s="253">
        <v>123966</v>
      </c>
      <c r="R273" s="254">
        <v>9.5429391860961914</v>
      </c>
      <c r="S273" s="254">
        <v>5.2353062629699707</v>
      </c>
      <c r="T273" s="255">
        <v>15.14124870300293</v>
      </c>
    </row>
    <row r="274" spans="2:20">
      <c r="B274" s="249" t="s">
        <v>513</v>
      </c>
      <c r="C274" s="250" t="s">
        <v>121</v>
      </c>
      <c r="D274" s="250" t="s">
        <v>201</v>
      </c>
      <c r="E274" s="251">
        <v>7</v>
      </c>
      <c r="F274" s="251" t="s">
        <v>281</v>
      </c>
      <c r="G274" s="250">
        <v>9583</v>
      </c>
      <c r="H274" s="250">
        <v>4600</v>
      </c>
      <c r="I274" s="250">
        <v>16366</v>
      </c>
      <c r="J274" s="252">
        <v>-2E-3</v>
      </c>
      <c r="K274" s="250">
        <v>8384</v>
      </c>
      <c r="L274" s="250">
        <v>3947</v>
      </c>
      <c r="M274" s="250">
        <v>14465</v>
      </c>
      <c r="N274" s="250">
        <v>1199</v>
      </c>
      <c r="O274" s="250">
        <v>653</v>
      </c>
      <c r="P274" s="250">
        <v>1901</v>
      </c>
      <c r="Q274" s="253">
        <v>93727</v>
      </c>
      <c r="R274" s="254">
        <v>12.792471885681152</v>
      </c>
      <c r="S274" s="254">
        <v>6.9670424461364746</v>
      </c>
      <c r="T274" s="255">
        <v>20.282308578491211</v>
      </c>
    </row>
    <row r="275" spans="2:20">
      <c r="B275" s="249" t="s">
        <v>513</v>
      </c>
      <c r="C275" s="250" t="s">
        <v>121</v>
      </c>
      <c r="D275" s="250" t="s">
        <v>201</v>
      </c>
      <c r="E275" s="251">
        <v>8</v>
      </c>
      <c r="F275" s="251" t="s">
        <v>281</v>
      </c>
      <c r="G275" s="250">
        <v>9583</v>
      </c>
      <c r="H275" s="250">
        <v>4600</v>
      </c>
      <c r="I275" s="250">
        <v>16366</v>
      </c>
      <c r="J275" s="252">
        <v>-2E-3</v>
      </c>
      <c r="K275" s="250">
        <v>8363</v>
      </c>
      <c r="L275" s="250">
        <v>3934</v>
      </c>
      <c r="M275" s="250">
        <v>14410</v>
      </c>
      <c r="N275" s="250">
        <v>1220</v>
      </c>
      <c r="O275" s="250">
        <v>666</v>
      </c>
      <c r="P275" s="250">
        <v>1956</v>
      </c>
      <c r="Q275" s="253">
        <v>93727</v>
      </c>
      <c r="R275" s="254">
        <v>13.016526222229004</v>
      </c>
      <c r="S275" s="254">
        <v>7.1057429313659668</v>
      </c>
      <c r="T275" s="255">
        <v>20.869119644165039</v>
      </c>
    </row>
    <row r="276" spans="2:20">
      <c r="B276" s="249" t="s">
        <v>513</v>
      </c>
      <c r="C276" s="250" t="s">
        <v>121</v>
      </c>
      <c r="D276" s="250" t="s">
        <v>201</v>
      </c>
      <c r="E276" s="251">
        <v>9</v>
      </c>
      <c r="F276" s="251" t="s">
        <v>281</v>
      </c>
      <c r="G276" s="250">
        <v>9583</v>
      </c>
      <c r="H276" s="250">
        <v>4600</v>
      </c>
      <c r="I276" s="250">
        <v>16366</v>
      </c>
      <c r="J276" s="252">
        <v>-2E-3</v>
      </c>
      <c r="K276" s="250">
        <v>8352</v>
      </c>
      <c r="L276" s="250">
        <v>3930</v>
      </c>
      <c r="M276" s="250">
        <v>14386</v>
      </c>
      <c r="N276" s="250">
        <v>1231</v>
      </c>
      <c r="O276" s="250">
        <v>670</v>
      </c>
      <c r="P276" s="250">
        <v>1980</v>
      </c>
      <c r="Q276" s="253">
        <v>93727</v>
      </c>
      <c r="R276" s="254">
        <v>13.133889198303223</v>
      </c>
      <c r="S276" s="254">
        <v>7.1484203338623047</v>
      </c>
      <c r="T276" s="255">
        <v>21.12518310546875</v>
      </c>
    </row>
    <row r="277" spans="2:20">
      <c r="B277" s="249" t="s">
        <v>513</v>
      </c>
      <c r="C277" s="250" t="s">
        <v>121</v>
      </c>
      <c r="D277" s="250" t="s">
        <v>201</v>
      </c>
      <c r="E277" s="251">
        <v>10</v>
      </c>
      <c r="F277" s="251" t="s">
        <v>281</v>
      </c>
      <c r="G277" s="250">
        <v>9583</v>
      </c>
      <c r="H277" s="250">
        <v>4600</v>
      </c>
      <c r="I277" s="250">
        <v>16366</v>
      </c>
      <c r="J277" s="252">
        <v>-2E-3</v>
      </c>
      <c r="K277" s="250">
        <v>8337</v>
      </c>
      <c r="L277" s="250">
        <v>3923</v>
      </c>
      <c r="M277" s="250">
        <v>14361</v>
      </c>
      <c r="N277" s="250">
        <v>1246</v>
      </c>
      <c r="O277" s="250">
        <v>677</v>
      </c>
      <c r="P277" s="250">
        <v>2005</v>
      </c>
      <c r="Q277" s="253">
        <v>93727</v>
      </c>
      <c r="R277" s="254">
        <v>13.293928146362305</v>
      </c>
      <c r="S277" s="254">
        <v>7.2231054306030273</v>
      </c>
      <c r="T277" s="255">
        <v>21.391914367675781</v>
      </c>
    </row>
    <row r="278" spans="2:20">
      <c r="B278" s="249" t="s">
        <v>513</v>
      </c>
      <c r="C278" s="250" t="s">
        <v>121</v>
      </c>
      <c r="D278" s="250" t="s">
        <v>201</v>
      </c>
      <c r="E278" s="251">
        <v>11</v>
      </c>
      <c r="F278" s="251" t="s">
        <v>281</v>
      </c>
      <c r="G278" s="250">
        <v>9583</v>
      </c>
      <c r="H278" s="250">
        <v>4600</v>
      </c>
      <c r="I278" s="250">
        <v>16366</v>
      </c>
      <c r="J278" s="252">
        <v>-2E-3</v>
      </c>
      <c r="K278" s="250">
        <v>8321</v>
      </c>
      <c r="L278" s="250">
        <v>3916</v>
      </c>
      <c r="M278" s="250">
        <v>14330</v>
      </c>
      <c r="N278" s="250">
        <v>1262</v>
      </c>
      <c r="O278" s="250">
        <v>684</v>
      </c>
      <c r="P278" s="250">
        <v>2036</v>
      </c>
      <c r="Q278" s="253">
        <v>123966</v>
      </c>
      <c r="R278" s="254">
        <v>10.180211067199707</v>
      </c>
      <c r="S278" s="254">
        <v>5.5176420211791992</v>
      </c>
      <c r="T278" s="255">
        <v>16.423858642578125</v>
      </c>
    </row>
    <row r="279" spans="2:20">
      <c r="B279" s="249" t="s">
        <v>513</v>
      </c>
      <c r="C279" s="250" t="s">
        <v>121</v>
      </c>
      <c r="D279" s="250" t="s">
        <v>201</v>
      </c>
      <c r="E279" s="251">
        <v>12</v>
      </c>
      <c r="F279" s="251" t="s">
        <v>281</v>
      </c>
      <c r="G279" s="250">
        <v>9583</v>
      </c>
      <c r="H279" s="250">
        <v>4600</v>
      </c>
      <c r="I279" s="250">
        <v>16366</v>
      </c>
      <c r="J279" s="252">
        <v>-2E-3</v>
      </c>
      <c r="K279" s="250">
        <v>8304</v>
      </c>
      <c r="L279" s="250">
        <v>3908</v>
      </c>
      <c r="M279" s="250">
        <v>14308</v>
      </c>
      <c r="N279" s="250">
        <v>1279</v>
      </c>
      <c r="O279" s="250">
        <v>692</v>
      </c>
      <c r="P279" s="250">
        <v>2058</v>
      </c>
      <c r="Q279" s="253">
        <v>93727</v>
      </c>
      <c r="R279" s="254">
        <v>13.646014213562012</v>
      </c>
      <c r="S279" s="254">
        <v>7.3831443786621094</v>
      </c>
      <c r="T279" s="255">
        <v>21.957386016845703</v>
      </c>
    </row>
    <row r="280" spans="2:20">
      <c r="B280" s="249" t="s">
        <v>513</v>
      </c>
      <c r="C280" s="250" t="s">
        <v>121</v>
      </c>
      <c r="D280" s="250" t="s">
        <v>201</v>
      </c>
      <c r="E280" s="251">
        <v>13</v>
      </c>
      <c r="F280" s="251" t="s">
        <v>281</v>
      </c>
      <c r="G280" s="250">
        <v>9583</v>
      </c>
      <c r="H280" s="250">
        <v>4600</v>
      </c>
      <c r="I280" s="250">
        <v>16366</v>
      </c>
      <c r="J280" s="252">
        <v>-2E-3</v>
      </c>
      <c r="K280" s="250">
        <v>8292</v>
      </c>
      <c r="L280" s="250">
        <v>3905</v>
      </c>
      <c r="M280" s="250">
        <v>14284</v>
      </c>
      <c r="N280" s="250">
        <v>1291</v>
      </c>
      <c r="O280" s="250">
        <v>695</v>
      </c>
      <c r="P280" s="250">
        <v>2082</v>
      </c>
      <c r="Q280" s="253">
        <v>93727</v>
      </c>
      <c r="R280" s="254">
        <v>13.774045944213867</v>
      </c>
      <c r="S280" s="254">
        <v>7.4151525497436523</v>
      </c>
      <c r="T280" s="255">
        <v>22.213449478149414</v>
      </c>
    </row>
    <row r="281" spans="2:20">
      <c r="B281" s="249" t="s">
        <v>513</v>
      </c>
      <c r="C281" s="250" t="s">
        <v>121</v>
      </c>
      <c r="D281" s="250" t="s">
        <v>201</v>
      </c>
      <c r="E281" s="251">
        <v>14</v>
      </c>
      <c r="F281" s="251" t="s">
        <v>281</v>
      </c>
      <c r="G281" s="250">
        <v>9583</v>
      </c>
      <c r="H281" s="250">
        <v>4600</v>
      </c>
      <c r="I281" s="250">
        <v>16366</v>
      </c>
      <c r="J281" s="252">
        <v>-2E-3</v>
      </c>
      <c r="K281" s="250">
        <v>8263</v>
      </c>
      <c r="L281" s="250">
        <v>3899</v>
      </c>
      <c r="M281" s="250">
        <v>14243</v>
      </c>
      <c r="N281" s="250">
        <v>1320</v>
      </c>
      <c r="O281" s="250">
        <v>701</v>
      </c>
      <c r="P281" s="250">
        <v>2123</v>
      </c>
      <c r="Q281" s="253">
        <v>93727</v>
      </c>
      <c r="R281" s="254">
        <v>14.083455085754395</v>
      </c>
      <c r="S281" s="254">
        <v>7.4791679382324219</v>
      </c>
      <c r="T281" s="255">
        <v>22.650890350341797</v>
      </c>
    </row>
    <row r="282" spans="2:20">
      <c r="B282" s="256" t="s">
        <v>513</v>
      </c>
      <c r="C282" s="257" t="s">
        <v>121</v>
      </c>
      <c r="D282" s="257" t="s">
        <v>201</v>
      </c>
      <c r="E282" s="258">
        <v>15</v>
      </c>
      <c r="F282" s="258" t="s">
        <v>281</v>
      </c>
      <c r="G282" s="257">
        <v>9583</v>
      </c>
      <c r="H282" s="257">
        <v>4600</v>
      </c>
      <c r="I282" s="257">
        <v>16366</v>
      </c>
      <c r="J282" s="259">
        <v>-2E-3</v>
      </c>
      <c r="K282" s="257">
        <v>8255</v>
      </c>
      <c r="L282" s="257">
        <v>3892</v>
      </c>
      <c r="M282" s="257">
        <v>14217</v>
      </c>
      <c r="N282" s="257">
        <v>1328</v>
      </c>
      <c r="O282" s="257">
        <v>708</v>
      </c>
      <c r="P282" s="257">
        <v>2149</v>
      </c>
      <c r="Q282" s="260">
        <v>93727</v>
      </c>
      <c r="R282" s="261">
        <v>14.168808937072754</v>
      </c>
      <c r="S282" s="261">
        <v>7.5538530349731445</v>
      </c>
      <c r="T282" s="262">
        <v>22.928291320800781</v>
      </c>
    </row>
    <row r="283" spans="2:20">
      <c r="B283" s="249" t="s">
        <v>513</v>
      </c>
      <c r="C283" s="250" t="s">
        <v>122</v>
      </c>
      <c r="D283" s="250" t="s">
        <v>502</v>
      </c>
      <c r="E283" s="251">
        <v>1</v>
      </c>
      <c r="F283" s="251" t="s">
        <v>281</v>
      </c>
      <c r="G283" s="250">
        <v>9583</v>
      </c>
      <c r="H283" s="250">
        <v>4600</v>
      </c>
      <c r="I283" s="250">
        <v>16366</v>
      </c>
      <c r="J283" s="252">
        <v>-1.2E-2</v>
      </c>
      <c r="K283" s="250">
        <v>9133</v>
      </c>
      <c r="L283" s="250">
        <v>4292</v>
      </c>
      <c r="M283" s="250">
        <v>15778</v>
      </c>
      <c r="N283" s="250">
        <v>450</v>
      </c>
      <c r="O283" s="250">
        <v>308</v>
      </c>
      <c r="P283" s="250">
        <v>588</v>
      </c>
      <c r="Q283" s="253">
        <v>131759</v>
      </c>
      <c r="R283" s="254">
        <v>3.4153263568878174</v>
      </c>
      <c r="S283" s="254">
        <v>2.3376011848449707</v>
      </c>
      <c r="T283" s="255">
        <v>4.4626932144165039</v>
      </c>
    </row>
    <row r="284" spans="2:20">
      <c r="B284" s="249" t="s">
        <v>513</v>
      </c>
      <c r="C284" s="250" t="s">
        <v>122</v>
      </c>
      <c r="D284" s="250" t="s">
        <v>502</v>
      </c>
      <c r="E284" s="251">
        <v>2</v>
      </c>
      <c r="F284" s="251" t="s">
        <v>281</v>
      </c>
      <c r="G284" s="250">
        <v>9583</v>
      </c>
      <c r="H284" s="250">
        <v>4600</v>
      </c>
      <c r="I284" s="250">
        <v>16366</v>
      </c>
      <c r="J284" s="252">
        <v>-1.2E-2</v>
      </c>
      <c r="K284" s="250">
        <v>9042</v>
      </c>
      <c r="L284" s="250">
        <v>4256</v>
      </c>
      <c r="M284" s="250">
        <v>15614</v>
      </c>
      <c r="N284" s="250">
        <v>541</v>
      </c>
      <c r="O284" s="250">
        <v>344</v>
      </c>
      <c r="P284" s="250">
        <v>752</v>
      </c>
      <c r="Q284" s="253">
        <v>273529</v>
      </c>
      <c r="R284" s="254">
        <v>1.9778525829315186</v>
      </c>
      <c r="S284" s="254">
        <v>1.2576363086700439</v>
      </c>
      <c r="T284" s="255">
        <v>2.7492513656616211</v>
      </c>
    </row>
    <row r="285" spans="2:20">
      <c r="B285" s="249" t="s">
        <v>513</v>
      </c>
      <c r="C285" s="250" t="s">
        <v>122</v>
      </c>
      <c r="D285" s="250" t="s">
        <v>502</v>
      </c>
      <c r="E285" s="251">
        <v>3</v>
      </c>
      <c r="F285" s="251" t="s">
        <v>281</v>
      </c>
      <c r="G285" s="250">
        <v>9583</v>
      </c>
      <c r="H285" s="250">
        <v>4600</v>
      </c>
      <c r="I285" s="250">
        <v>16366</v>
      </c>
      <c r="J285" s="252">
        <v>-1.2E-2</v>
      </c>
      <c r="K285" s="250">
        <v>8946</v>
      </c>
      <c r="L285" s="250">
        <v>4217</v>
      </c>
      <c r="M285" s="250">
        <v>15449</v>
      </c>
      <c r="N285" s="250">
        <v>637</v>
      </c>
      <c r="O285" s="250">
        <v>383</v>
      </c>
      <c r="P285" s="250">
        <v>917</v>
      </c>
      <c r="Q285" s="253">
        <v>174910</v>
      </c>
      <c r="R285" s="254">
        <v>3.6418728828430176</v>
      </c>
      <c r="S285" s="254">
        <v>2.1896975040435791</v>
      </c>
      <c r="T285" s="255">
        <v>5.2426958084106445</v>
      </c>
    </row>
    <row r="286" spans="2:20">
      <c r="B286" s="249" t="s">
        <v>513</v>
      </c>
      <c r="C286" s="250" t="s">
        <v>122</v>
      </c>
      <c r="D286" s="250" t="s">
        <v>502</v>
      </c>
      <c r="E286" s="251">
        <v>4</v>
      </c>
      <c r="F286" s="251" t="s">
        <v>281</v>
      </c>
      <c r="G286" s="250">
        <v>9583</v>
      </c>
      <c r="H286" s="250">
        <v>4600</v>
      </c>
      <c r="I286" s="250">
        <v>16366</v>
      </c>
      <c r="J286" s="252">
        <v>-1.2E-2</v>
      </c>
      <c r="K286" s="250">
        <v>8843</v>
      </c>
      <c r="L286" s="250">
        <v>4168</v>
      </c>
      <c r="M286" s="250">
        <v>15273</v>
      </c>
      <c r="N286" s="250">
        <v>740</v>
      </c>
      <c r="O286" s="250">
        <v>432</v>
      </c>
      <c r="P286" s="250">
        <v>1093</v>
      </c>
      <c r="Q286" s="253">
        <v>174910</v>
      </c>
      <c r="R286" s="254">
        <v>4.2307476997375488</v>
      </c>
      <c r="S286" s="254">
        <v>2.4698417186737061</v>
      </c>
      <c r="T286" s="255">
        <v>6.2489280700683594</v>
      </c>
    </row>
    <row r="287" spans="2:20">
      <c r="B287" s="249" t="s">
        <v>513</v>
      </c>
      <c r="C287" s="250" t="s">
        <v>122</v>
      </c>
      <c r="D287" s="250" t="s">
        <v>502</v>
      </c>
      <c r="E287" s="251">
        <v>5</v>
      </c>
      <c r="F287" s="251" t="s">
        <v>281</v>
      </c>
      <c r="G287" s="250">
        <v>9583</v>
      </c>
      <c r="H287" s="250">
        <v>4600</v>
      </c>
      <c r="I287" s="250">
        <v>16366</v>
      </c>
      <c r="J287" s="252">
        <v>-1.2E-2</v>
      </c>
      <c r="K287" s="250">
        <v>8748</v>
      </c>
      <c r="L287" s="250">
        <v>4126</v>
      </c>
      <c r="M287" s="250">
        <v>15102</v>
      </c>
      <c r="N287" s="250">
        <v>835</v>
      </c>
      <c r="O287" s="250">
        <v>474</v>
      </c>
      <c r="P287" s="250">
        <v>1264</v>
      </c>
      <c r="Q287" s="253">
        <v>174910</v>
      </c>
      <c r="R287" s="254">
        <v>4.7738838195800781</v>
      </c>
      <c r="S287" s="254">
        <v>2.7099652290344238</v>
      </c>
      <c r="T287" s="255">
        <v>7.2265739440917969</v>
      </c>
    </row>
    <row r="288" spans="2:20">
      <c r="B288" s="249" t="s">
        <v>513</v>
      </c>
      <c r="C288" s="250" t="s">
        <v>122</v>
      </c>
      <c r="D288" s="250" t="s">
        <v>201</v>
      </c>
      <c r="E288" s="251">
        <v>6</v>
      </c>
      <c r="F288" s="251" t="s">
        <v>281</v>
      </c>
      <c r="G288" s="250">
        <v>9583</v>
      </c>
      <c r="H288" s="250">
        <v>4600</v>
      </c>
      <c r="I288" s="250">
        <v>16366</v>
      </c>
      <c r="J288" s="252">
        <v>-3.0000000000000001E-3</v>
      </c>
      <c r="K288" s="250">
        <v>8721</v>
      </c>
      <c r="L288" s="250">
        <v>4109</v>
      </c>
      <c r="M288" s="250">
        <v>15059</v>
      </c>
      <c r="N288" s="250">
        <v>862</v>
      </c>
      <c r="O288" s="250">
        <v>491</v>
      </c>
      <c r="P288" s="250">
        <v>1307</v>
      </c>
      <c r="Q288" s="253">
        <v>117911</v>
      </c>
      <c r="R288" s="254">
        <v>7.3105988502502441</v>
      </c>
      <c r="S288" s="254">
        <v>4.1641578674316406</v>
      </c>
      <c r="T288" s="255">
        <v>11.08463191986084</v>
      </c>
    </row>
    <row r="289" spans="2:23">
      <c r="B289" s="249" t="s">
        <v>513</v>
      </c>
      <c r="C289" s="250" t="s">
        <v>122</v>
      </c>
      <c r="D289" s="250" t="s">
        <v>201</v>
      </c>
      <c r="E289" s="251">
        <v>7</v>
      </c>
      <c r="F289" s="251" t="s">
        <v>281</v>
      </c>
      <c r="G289" s="250">
        <v>9583</v>
      </c>
      <c r="H289" s="250">
        <v>4600</v>
      </c>
      <c r="I289" s="250">
        <v>16366</v>
      </c>
      <c r="J289" s="252">
        <v>-3.0000000000000001E-3</v>
      </c>
      <c r="K289" s="250">
        <v>8699</v>
      </c>
      <c r="L289" s="250">
        <v>4100</v>
      </c>
      <c r="M289" s="250">
        <v>15005</v>
      </c>
      <c r="N289" s="250">
        <v>884</v>
      </c>
      <c r="O289" s="250">
        <v>500</v>
      </c>
      <c r="P289" s="250">
        <v>1361</v>
      </c>
      <c r="Q289" s="253">
        <v>90500</v>
      </c>
      <c r="R289" s="254">
        <v>9.7679557800292969</v>
      </c>
      <c r="S289" s="254">
        <v>5.5248622894287109</v>
      </c>
      <c r="T289" s="255">
        <v>15.038673400878906</v>
      </c>
    </row>
    <row r="290" spans="2:23">
      <c r="B290" s="249" t="s">
        <v>513</v>
      </c>
      <c r="C290" s="250" t="s">
        <v>122</v>
      </c>
      <c r="D290" s="250" t="s">
        <v>201</v>
      </c>
      <c r="E290" s="251">
        <v>8</v>
      </c>
      <c r="F290" s="251" t="s">
        <v>281</v>
      </c>
      <c r="G290" s="250">
        <v>9583</v>
      </c>
      <c r="H290" s="250">
        <v>4600</v>
      </c>
      <c r="I290" s="250">
        <v>16366</v>
      </c>
      <c r="J290" s="252">
        <v>-3.0000000000000001E-3</v>
      </c>
      <c r="K290" s="250">
        <v>8675</v>
      </c>
      <c r="L290" s="250">
        <v>4089</v>
      </c>
      <c r="M290" s="250">
        <v>14953</v>
      </c>
      <c r="N290" s="250">
        <v>908</v>
      </c>
      <c r="O290" s="250">
        <v>511</v>
      </c>
      <c r="P290" s="250">
        <v>1413</v>
      </c>
      <c r="Q290" s="253">
        <v>90500</v>
      </c>
      <c r="R290" s="254">
        <v>10.033149719238281</v>
      </c>
      <c r="S290" s="254">
        <v>5.6464090347290039</v>
      </c>
      <c r="T290" s="255">
        <v>15.613259315490723</v>
      </c>
    </row>
    <row r="291" spans="2:23">
      <c r="B291" s="249" t="s">
        <v>513</v>
      </c>
      <c r="C291" s="250" t="s">
        <v>122</v>
      </c>
      <c r="D291" s="250" t="s">
        <v>201</v>
      </c>
      <c r="E291" s="251">
        <v>9</v>
      </c>
      <c r="F291" s="251" t="s">
        <v>281</v>
      </c>
      <c r="G291" s="250">
        <v>9583</v>
      </c>
      <c r="H291" s="250">
        <v>4600</v>
      </c>
      <c r="I291" s="250">
        <v>16366</v>
      </c>
      <c r="J291" s="252">
        <v>-3.0000000000000001E-3</v>
      </c>
      <c r="K291" s="250">
        <v>8647</v>
      </c>
      <c r="L291" s="250">
        <v>4075</v>
      </c>
      <c r="M291" s="250">
        <v>14928</v>
      </c>
      <c r="N291" s="250">
        <v>936</v>
      </c>
      <c r="O291" s="250">
        <v>525</v>
      </c>
      <c r="P291" s="250">
        <v>1438</v>
      </c>
      <c r="Q291" s="253">
        <v>90500</v>
      </c>
      <c r="R291" s="254">
        <v>10.342540740966797</v>
      </c>
      <c r="S291" s="254">
        <v>5.8011050224304199</v>
      </c>
      <c r="T291" s="255">
        <v>15.889503479003906</v>
      </c>
    </row>
    <row r="292" spans="2:23">
      <c r="B292" s="249" t="s">
        <v>513</v>
      </c>
      <c r="C292" s="250" t="s">
        <v>122</v>
      </c>
      <c r="D292" s="250" t="s">
        <v>201</v>
      </c>
      <c r="E292" s="251">
        <v>10</v>
      </c>
      <c r="F292" s="251" t="s">
        <v>281</v>
      </c>
      <c r="G292" s="250">
        <v>9583</v>
      </c>
      <c r="H292" s="250">
        <v>4600</v>
      </c>
      <c r="I292" s="250">
        <v>16366</v>
      </c>
      <c r="J292" s="252">
        <v>-3.0000000000000001E-3</v>
      </c>
      <c r="K292" s="250">
        <v>8625</v>
      </c>
      <c r="L292" s="250">
        <v>4061</v>
      </c>
      <c r="M292" s="250">
        <v>14881</v>
      </c>
      <c r="N292" s="250">
        <v>958</v>
      </c>
      <c r="O292" s="250">
        <v>539</v>
      </c>
      <c r="P292" s="250">
        <v>1485</v>
      </c>
      <c r="Q292" s="253">
        <v>90500</v>
      </c>
      <c r="R292" s="254">
        <v>10.585635185241699</v>
      </c>
      <c r="S292" s="254">
        <v>5.9558010101318359</v>
      </c>
      <c r="T292" s="255">
        <v>16.408840179443359</v>
      </c>
    </row>
    <row r="293" spans="2:23">
      <c r="B293" s="249" t="s">
        <v>513</v>
      </c>
      <c r="C293" s="250" t="s">
        <v>122</v>
      </c>
      <c r="D293" s="250" t="s">
        <v>201</v>
      </c>
      <c r="E293" s="251">
        <v>11</v>
      </c>
      <c r="F293" s="251" t="s">
        <v>281</v>
      </c>
      <c r="G293" s="250">
        <v>9583</v>
      </c>
      <c r="H293" s="250">
        <v>4600</v>
      </c>
      <c r="I293" s="250">
        <v>16366</v>
      </c>
      <c r="J293" s="252">
        <v>-3.0000000000000001E-3</v>
      </c>
      <c r="K293" s="250">
        <v>8604</v>
      </c>
      <c r="L293" s="250">
        <v>4059</v>
      </c>
      <c r="M293" s="250">
        <v>14829</v>
      </c>
      <c r="N293" s="250">
        <v>979</v>
      </c>
      <c r="O293" s="250">
        <v>541</v>
      </c>
      <c r="P293" s="250">
        <v>1537</v>
      </c>
      <c r="Q293" s="253">
        <v>117911</v>
      </c>
      <c r="R293" s="254">
        <v>8.3028717041015625</v>
      </c>
      <c r="S293" s="254">
        <v>4.5882062911987305</v>
      </c>
      <c r="T293" s="255">
        <v>13.035255432128906</v>
      </c>
    </row>
    <row r="294" spans="2:23">
      <c r="B294" s="249" t="s">
        <v>513</v>
      </c>
      <c r="C294" s="250" t="s">
        <v>122</v>
      </c>
      <c r="D294" s="250" t="s">
        <v>201</v>
      </c>
      <c r="E294" s="251">
        <v>12</v>
      </c>
      <c r="F294" s="251" t="s">
        <v>281</v>
      </c>
      <c r="G294" s="250">
        <v>9583</v>
      </c>
      <c r="H294" s="250">
        <v>4600</v>
      </c>
      <c r="I294" s="250">
        <v>16366</v>
      </c>
      <c r="J294" s="252">
        <v>-3.0000000000000001E-3</v>
      </c>
      <c r="K294" s="250">
        <v>8572</v>
      </c>
      <c r="L294" s="250">
        <v>4036</v>
      </c>
      <c r="M294" s="250">
        <v>14777</v>
      </c>
      <c r="N294" s="250">
        <v>1011</v>
      </c>
      <c r="O294" s="250">
        <v>564</v>
      </c>
      <c r="P294" s="250">
        <v>1589</v>
      </c>
      <c r="Q294" s="253">
        <v>90500</v>
      </c>
      <c r="R294" s="254">
        <v>11.171271324157715</v>
      </c>
      <c r="S294" s="254">
        <v>6.2320442199707031</v>
      </c>
      <c r="T294" s="255">
        <v>17.558010101318359</v>
      </c>
    </row>
    <row r="295" spans="2:23">
      <c r="B295" s="249" t="s">
        <v>513</v>
      </c>
      <c r="C295" s="250" t="s">
        <v>122</v>
      </c>
      <c r="D295" s="250" t="s">
        <v>201</v>
      </c>
      <c r="E295" s="251">
        <v>13</v>
      </c>
      <c r="F295" s="251" t="s">
        <v>281</v>
      </c>
      <c r="G295" s="250">
        <v>9583</v>
      </c>
      <c r="H295" s="250">
        <v>4600</v>
      </c>
      <c r="I295" s="250">
        <v>16366</v>
      </c>
      <c r="J295" s="252">
        <v>-3.0000000000000001E-3</v>
      </c>
      <c r="K295" s="250">
        <v>8554</v>
      </c>
      <c r="L295" s="250">
        <v>4025</v>
      </c>
      <c r="M295" s="250">
        <v>14747</v>
      </c>
      <c r="N295" s="250">
        <v>1029</v>
      </c>
      <c r="O295" s="250">
        <v>575</v>
      </c>
      <c r="P295" s="250">
        <v>1619</v>
      </c>
      <c r="Q295" s="253">
        <v>90500</v>
      </c>
      <c r="R295" s="254">
        <v>11.370165824890137</v>
      </c>
      <c r="S295" s="254">
        <v>6.3535909652709961</v>
      </c>
      <c r="T295" s="255">
        <v>17.889503479003906</v>
      </c>
    </row>
    <row r="296" spans="2:23">
      <c r="B296" s="249" t="s">
        <v>513</v>
      </c>
      <c r="C296" s="250" t="s">
        <v>122</v>
      </c>
      <c r="D296" s="250" t="s">
        <v>201</v>
      </c>
      <c r="E296" s="251">
        <v>14</v>
      </c>
      <c r="F296" s="251" t="s">
        <v>281</v>
      </c>
      <c r="G296" s="250">
        <v>9583</v>
      </c>
      <c r="H296" s="250">
        <v>4600</v>
      </c>
      <c r="I296" s="250">
        <v>16366</v>
      </c>
      <c r="J296" s="252">
        <v>-3.0000000000000001E-3</v>
      </c>
      <c r="K296" s="250">
        <v>8506</v>
      </c>
      <c r="L296" s="250">
        <v>4014</v>
      </c>
      <c r="M296" s="250">
        <v>14691</v>
      </c>
      <c r="N296" s="250">
        <v>1077</v>
      </c>
      <c r="O296" s="250">
        <v>586</v>
      </c>
      <c r="P296" s="250">
        <v>1675</v>
      </c>
      <c r="Q296" s="253">
        <v>90500</v>
      </c>
      <c r="R296" s="254">
        <v>11.900552749633789</v>
      </c>
      <c r="S296" s="254">
        <v>6.4751381874084473</v>
      </c>
      <c r="T296" s="255">
        <v>18.50828742980957</v>
      </c>
    </row>
    <row r="297" spans="2:23">
      <c r="B297" s="256" t="s">
        <v>513</v>
      </c>
      <c r="C297" s="257" t="s">
        <v>122</v>
      </c>
      <c r="D297" s="257" t="s">
        <v>201</v>
      </c>
      <c r="E297" s="258">
        <v>15</v>
      </c>
      <c r="F297" s="258" t="s">
        <v>281</v>
      </c>
      <c r="G297" s="257">
        <v>9583</v>
      </c>
      <c r="H297" s="257">
        <v>4600</v>
      </c>
      <c r="I297" s="257">
        <v>16366</v>
      </c>
      <c r="J297" s="259">
        <v>-3.0000000000000001E-3</v>
      </c>
      <c r="K297" s="257">
        <v>8491</v>
      </c>
      <c r="L297" s="257">
        <v>4004</v>
      </c>
      <c r="M297" s="257">
        <v>14652</v>
      </c>
      <c r="N297" s="257">
        <v>1092</v>
      </c>
      <c r="O297" s="257">
        <v>596</v>
      </c>
      <c r="P297" s="257">
        <v>1714</v>
      </c>
      <c r="Q297" s="260">
        <v>90500</v>
      </c>
      <c r="R297" s="261">
        <v>12.066298484802246</v>
      </c>
      <c r="S297" s="261">
        <v>6.5856351852416992</v>
      </c>
      <c r="T297" s="262">
        <v>18.939226150512695</v>
      </c>
    </row>
    <row r="298" spans="2:23">
      <c r="B298" s="249" t="s">
        <v>514</v>
      </c>
      <c r="C298" s="250" t="s">
        <v>242</v>
      </c>
      <c r="D298" s="250" t="s">
        <v>502</v>
      </c>
      <c r="E298" s="251">
        <v>1</v>
      </c>
      <c r="F298" s="251" t="s">
        <v>281</v>
      </c>
      <c r="G298" s="250">
        <v>1691</v>
      </c>
      <c r="H298" s="250">
        <v>554</v>
      </c>
      <c r="I298" s="250">
        <v>3231</v>
      </c>
      <c r="J298" s="252">
        <v>-6.6000000000000003E-2</v>
      </c>
      <c r="K298" s="250">
        <v>1511</v>
      </c>
      <c r="L298" s="250">
        <v>462</v>
      </c>
      <c r="M298" s="250">
        <v>2943</v>
      </c>
      <c r="N298" s="250">
        <v>180</v>
      </c>
      <c r="O298" s="250">
        <v>92</v>
      </c>
      <c r="P298" s="250">
        <v>288</v>
      </c>
      <c r="Q298" s="253">
        <v>977845</v>
      </c>
      <c r="R298" s="254">
        <v>0.18407824635505676</v>
      </c>
      <c r="S298" s="254">
        <v>9.4084441661834717E-2</v>
      </c>
      <c r="T298" s="255">
        <v>0.29452520608901978</v>
      </c>
      <c r="U298"/>
      <c r="V298"/>
      <c r="W298"/>
    </row>
    <row r="299" spans="2:23">
      <c r="B299" s="249" t="s">
        <v>514</v>
      </c>
      <c r="C299" s="250" t="s">
        <v>242</v>
      </c>
      <c r="D299" s="250" t="s">
        <v>502</v>
      </c>
      <c r="E299" s="251">
        <v>2</v>
      </c>
      <c r="F299" s="251" t="s">
        <v>281</v>
      </c>
      <c r="G299" s="250">
        <v>1691</v>
      </c>
      <c r="H299" s="250">
        <v>554</v>
      </c>
      <c r="I299" s="250">
        <v>3231</v>
      </c>
      <c r="J299" s="252">
        <v>-6.6000000000000003E-2</v>
      </c>
      <c r="K299" s="250">
        <v>1411</v>
      </c>
      <c r="L299" s="250">
        <v>432</v>
      </c>
      <c r="M299" s="250">
        <v>2750</v>
      </c>
      <c r="N299" s="250">
        <v>280</v>
      </c>
      <c r="O299" s="250">
        <v>122</v>
      </c>
      <c r="P299" s="250">
        <v>481</v>
      </c>
      <c r="Q299" s="253">
        <v>1239352</v>
      </c>
      <c r="R299" s="254">
        <v>0.22592450678348541</v>
      </c>
      <c r="S299" s="254">
        <v>9.8438538610935211E-2</v>
      </c>
      <c r="T299" s="255">
        <v>0.38810604810714722</v>
      </c>
      <c r="U299"/>
      <c r="V299"/>
      <c r="W299"/>
    </row>
    <row r="300" spans="2:23">
      <c r="B300" s="249" t="s">
        <v>514</v>
      </c>
      <c r="C300" s="250" t="s">
        <v>242</v>
      </c>
      <c r="D300" s="250" t="s">
        <v>502</v>
      </c>
      <c r="E300" s="251">
        <v>3</v>
      </c>
      <c r="F300" s="251" t="s">
        <v>281</v>
      </c>
      <c r="G300" s="250">
        <v>1691</v>
      </c>
      <c r="H300" s="250">
        <v>554</v>
      </c>
      <c r="I300" s="250">
        <v>3231</v>
      </c>
      <c r="J300" s="252">
        <v>-6.6000000000000003E-2</v>
      </c>
      <c r="K300" s="250">
        <v>1314</v>
      </c>
      <c r="L300" s="250">
        <v>408</v>
      </c>
      <c r="M300" s="250">
        <v>2564</v>
      </c>
      <c r="N300" s="250">
        <v>377</v>
      </c>
      <c r="O300" s="250">
        <v>146</v>
      </c>
      <c r="P300" s="250">
        <v>667</v>
      </c>
      <c r="Q300" s="253">
        <v>837959</v>
      </c>
      <c r="R300" s="254">
        <v>0.44990268349647522</v>
      </c>
      <c r="S300" s="254">
        <v>0.17423287034034729</v>
      </c>
      <c r="T300" s="255">
        <v>0.79598164558410645</v>
      </c>
      <c r="U300"/>
      <c r="V300"/>
      <c r="W300"/>
    </row>
    <row r="301" spans="2:23">
      <c r="B301" s="249" t="s">
        <v>514</v>
      </c>
      <c r="C301" s="250" t="s">
        <v>242</v>
      </c>
      <c r="D301" s="250" t="s">
        <v>502</v>
      </c>
      <c r="E301" s="251">
        <v>4</v>
      </c>
      <c r="F301" s="251" t="s">
        <v>281</v>
      </c>
      <c r="G301" s="250">
        <v>1691</v>
      </c>
      <c r="H301" s="250">
        <v>554</v>
      </c>
      <c r="I301" s="250">
        <v>3231</v>
      </c>
      <c r="J301" s="252">
        <v>-6.6000000000000003E-2</v>
      </c>
      <c r="K301" s="250">
        <v>1230</v>
      </c>
      <c r="L301" s="250">
        <v>383</v>
      </c>
      <c r="M301" s="250">
        <v>2395</v>
      </c>
      <c r="N301" s="250">
        <v>461</v>
      </c>
      <c r="O301" s="250">
        <v>171</v>
      </c>
      <c r="P301" s="250">
        <v>836</v>
      </c>
      <c r="Q301" s="253">
        <v>855330</v>
      </c>
      <c r="R301" s="254">
        <v>0.53897327184677124</v>
      </c>
      <c r="S301" s="254">
        <v>0.1999228447675705</v>
      </c>
      <c r="T301" s="255">
        <v>0.97740060091018677</v>
      </c>
      <c r="U301"/>
      <c r="V301"/>
      <c r="W301"/>
    </row>
    <row r="302" spans="2:23">
      <c r="B302" s="249" t="s">
        <v>514</v>
      </c>
      <c r="C302" s="250" t="s">
        <v>242</v>
      </c>
      <c r="D302" s="250" t="s">
        <v>502</v>
      </c>
      <c r="E302" s="251">
        <v>5</v>
      </c>
      <c r="F302" s="251" t="s">
        <v>281</v>
      </c>
      <c r="G302" s="250">
        <v>1691</v>
      </c>
      <c r="H302" s="250">
        <v>554</v>
      </c>
      <c r="I302" s="250">
        <v>3231</v>
      </c>
      <c r="J302" s="252">
        <v>-6.6000000000000003E-2</v>
      </c>
      <c r="K302" s="250">
        <v>1144</v>
      </c>
      <c r="L302" s="250">
        <v>354</v>
      </c>
      <c r="M302" s="250">
        <v>2233</v>
      </c>
      <c r="N302" s="250">
        <v>547</v>
      </c>
      <c r="O302" s="250">
        <v>200</v>
      </c>
      <c r="P302" s="250">
        <v>998</v>
      </c>
      <c r="Q302" s="253">
        <v>837959</v>
      </c>
      <c r="R302" s="254">
        <v>0.65277653932571411</v>
      </c>
      <c r="S302" s="254">
        <v>0.23867516219615936</v>
      </c>
      <c r="T302" s="255">
        <v>1.1909890174865723</v>
      </c>
      <c r="U302"/>
      <c r="V302"/>
      <c r="W302"/>
    </row>
    <row r="303" spans="2:23">
      <c r="B303" s="249" t="s">
        <v>514</v>
      </c>
      <c r="C303" s="250" t="s">
        <v>242</v>
      </c>
      <c r="D303" s="250" t="s">
        <v>201</v>
      </c>
      <c r="E303" s="251">
        <v>6</v>
      </c>
      <c r="F303" s="251" t="s">
        <v>281</v>
      </c>
      <c r="G303" s="250">
        <v>1691</v>
      </c>
      <c r="H303" s="250">
        <v>554</v>
      </c>
      <c r="I303" s="250">
        <v>3231</v>
      </c>
      <c r="J303" s="252">
        <v>-1.24E-2</v>
      </c>
      <c r="K303" s="250">
        <v>1133</v>
      </c>
      <c r="L303" s="250">
        <v>351</v>
      </c>
      <c r="M303" s="250">
        <v>2204</v>
      </c>
      <c r="N303" s="250">
        <v>558</v>
      </c>
      <c r="O303" s="250">
        <v>203</v>
      </c>
      <c r="P303" s="250">
        <v>1027</v>
      </c>
      <c r="Q303" s="253">
        <v>661371</v>
      </c>
      <c r="R303" s="254">
        <v>0.84370195865631104</v>
      </c>
      <c r="S303" s="254">
        <v>0.30693817138671875</v>
      </c>
      <c r="T303" s="255">
        <v>1.5528349876403809</v>
      </c>
      <c r="U303"/>
      <c r="V303"/>
      <c r="W303"/>
    </row>
    <row r="304" spans="2:23">
      <c r="B304" s="249" t="s">
        <v>514</v>
      </c>
      <c r="C304" s="250" t="s">
        <v>242</v>
      </c>
      <c r="D304" s="250" t="s">
        <v>201</v>
      </c>
      <c r="E304" s="251">
        <v>7</v>
      </c>
      <c r="F304" s="251" t="s">
        <v>281</v>
      </c>
      <c r="G304" s="250">
        <v>1691</v>
      </c>
      <c r="H304" s="250">
        <v>554</v>
      </c>
      <c r="I304" s="250">
        <v>3231</v>
      </c>
      <c r="J304" s="252">
        <v>-1.24E-2</v>
      </c>
      <c r="K304" s="250">
        <v>1121</v>
      </c>
      <c r="L304" s="250">
        <v>344</v>
      </c>
      <c r="M304" s="250">
        <v>2182</v>
      </c>
      <c r="N304" s="250">
        <v>570</v>
      </c>
      <c r="O304" s="250">
        <v>210</v>
      </c>
      <c r="P304" s="250">
        <v>1049</v>
      </c>
      <c r="Q304" s="253">
        <v>504727</v>
      </c>
      <c r="R304" s="254">
        <v>1.1293233633041382</v>
      </c>
      <c r="S304" s="254">
        <v>0.4160664975643158</v>
      </c>
      <c r="T304" s="255">
        <v>2.0783512592315674</v>
      </c>
      <c r="U304"/>
      <c r="V304"/>
      <c r="W304"/>
    </row>
    <row r="305" spans="2:23">
      <c r="B305" s="249" t="s">
        <v>514</v>
      </c>
      <c r="C305" s="250" t="s">
        <v>242</v>
      </c>
      <c r="D305" s="250" t="s">
        <v>201</v>
      </c>
      <c r="E305" s="251">
        <v>8</v>
      </c>
      <c r="F305" s="251" t="s">
        <v>281</v>
      </c>
      <c r="G305" s="250">
        <v>1691</v>
      </c>
      <c r="H305" s="250">
        <v>554</v>
      </c>
      <c r="I305" s="250">
        <v>3231</v>
      </c>
      <c r="J305" s="252">
        <v>-1.24E-2</v>
      </c>
      <c r="K305" s="250">
        <v>1108</v>
      </c>
      <c r="L305" s="250">
        <v>342</v>
      </c>
      <c r="M305" s="250">
        <v>2153</v>
      </c>
      <c r="N305" s="250">
        <v>583</v>
      </c>
      <c r="O305" s="250">
        <v>212</v>
      </c>
      <c r="P305" s="250">
        <v>1078</v>
      </c>
      <c r="Q305" s="253">
        <v>487356</v>
      </c>
      <c r="R305" s="254">
        <v>1.1962507963180542</v>
      </c>
      <c r="S305" s="254">
        <v>0.43500030040740967</v>
      </c>
      <c r="T305" s="255">
        <v>2.21193528175354</v>
      </c>
      <c r="U305"/>
      <c r="V305"/>
      <c r="W305"/>
    </row>
    <row r="306" spans="2:23">
      <c r="B306" s="249" t="s">
        <v>514</v>
      </c>
      <c r="C306" s="250" t="s">
        <v>242</v>
      </c>
      <c r="D306" s="250" t="s">
        <v>201</v>
      </c>
      <c r="E306" s="251">
        <v>9</v>
      </c>
      <c r="F306" s="251" t="s">
        <v>281</v>
      </c>
      <c r="G306" s="250">
        <v>1691</v>
      </c>
      <c r="H306" s="250">
        <v>554</v>
      </c>
      <c r="I306" s="250">
        <v>3231</v>
      </c>
      <c r="J306" s="252">
        <v>-1.24E-2</v>
      </c>
      <c r="K306" s="250">
        <v>1096</v>
      </c>
      <c r="L306" s="250">
        <v>341</v>
      </c>
      <c r="M306" s="250">
        <v>2127</v>
      </c>
      <c r="N306" s="250">
        <v>595</v>
      </c>
      <c r="O306" s="250">
        <v>213</v>
      </c>
      <c r="P306" s="250">
        <v>1104</v>
      </c>
      <c r="Q306" s="253">
        <v>487356</v>
      </c>
      <c r="R306" s="254">
        <v>1.2208734750747681</v>
      </c>
      <c r="S306" s="254">
        <v>0.4370521605014801</v>
      </c>
      <c r="T306" s="255">
        <v>2.265284538269043</v>
      </c>
      <c r="U306"/>
      <c r="V306"/>
      <c r="W306"/>
    </row>
    <row r="307" spans="2:23">
      <c r="B307" s="249" t="s">
        <v>514</v>
      </c>
      <c r="C307" s="250" t="s">
        <v>242</v>
      </c>
      <c r="D307" s="250" t="s">
        <v>201</v>
      </c>
      <c r="E307" s="251">
        <v>10</v>
      </c>
      <c r="F307" s="251" t="s">
        <v>281</v>
      </c>
      <c r="G307" s="250">
        <v>1691</v>
      </c>
      <c r="H307" s="250">
        <v>554</v>
      </c>
      <c r="I307" s="250">
        <v>3231</v>
      </c>
      <c r="J307" s="252">
        <v>-1.24E-2</v>
      </c>
      <c r="K307" s="250">
        <v>1090</v>
      </c>
      <c r="L307" s="250">
        <v>339</v>
      </c>
      <c r="M307" s="250">
        <v>2107</v>
      </c>
      <c r="N307" s="250">
        <v>601</v>
      </c>
      <c r="O307" s="250">
        <v>215</v>
      </c>
      <c r="P307" s="250">
        <v>1124</v>
      </c>
      <c r="Q307" s="253">
        <v>504727</v>
      </c>
      <c r="R307" s="254">
        <v>1.1907427310943604</v>
      </c>
      <c r="S307" s="254">
        <v>0.42597284913063049</v>
      </c>
      <c r="T307" s="255">
        <v>2.2269463539123535</v>
      </c>
      <c r="U307"/>
      <c r="V307"/>
      <c r="W307"/>
    </row>
    <row r="308" spans="2:23">
      <c r="B308" s="249" t="s">
        <v>514</v>
      </c>
      <c r="C308" s="250" t="s">
        <v>242</v>
      </c>
      <c r="D308" s="250" t="s">
        <v>201</v>
      </c>
      <c r="E308" s="251">
        <v>11</v>
      </c>
      <c r="F308" s="251" t="s">
        <v>281</v>
      </c>
      <c r="G308" s="250">
        <v>1691</v>
      </c>
      <c r="H308" s="250">
        <v>554</v>
      </c>
      <c r="I308" s="250">
        <v>3231</v>
      </c>
      <c r="J308" s="252">
        <v>-1.24E-2</v>
      </c>
      <c r="K308" s="250">
        <v>1053</v>
      </c>
      <c r="L308" s="250">
        <v>320</v>
      </c>
      <c r="M308" s="250">
        <v>2057</v>
      </c>
      <c r="N308" s="250">
        <v>638</v>
      </c>
      <c r="O308" s="250">
        <v>234</v>
      </c>
      <c r="P308" s="250">
        <v>1174</v>
      </c>
      <c r="Q308" s="253">
        <v>661371</v>
      </c>
      <c r="R308" s="254">
        <v>0.96466279029846191</v>
      </c>
      <c r="S308" s="254">
        <v>0.35381048917770386</v>
      </c>
      <c r="T308" s="255">
        <v>1.7751004695892334</v>
      </c>
      <c r="U308"/>
      <c r="V308"/>
      <c r="W308"/>
    </row>
    <row r="309" spans="2:23">
      <c r="B309" s="249" t="s">
        <v>514</v>
      </c>
      <c r="C309" s="250" t="s">
        <v>242</v>
      </c>
      <c r="D309" s="250" t="s">
        <v>201</v>
      </c>
      <c r="E309" s="251">
        <v>12</v>
      </c>
      <c r="F309" s="251" t="s">
        <v>281</v>
      </c>
      <c r="G309" s="250">
        <v>1691</v>
      </c>
      <c r="H309" s="250">
        <v>554</v>
      </c>
      <c r="I309" s="250">
        <v>3231</v>
      </c>
      <c r="J309" s="252">
        <v>-1.24E-2</v>
      </c>
      <c r="K309" s="250">
        <v>1040</v>
      </c>
      <c r="L309" s="250">
        <v>317</v>
      </c>
      <c r="M309" s="250">
        <v>2037</v>
      </c>
      <c r="N309" s="250">
        <v>651</v>
      </c>
      <c r="O309" s="250">
        <v>237</v>
      </c>
      <c r="P309" s="250">
        <v>1194</v>
      </c>
      <c r="Q309" s="253">
        <v>487356</v>
      </c>
      <c r="R309" s="254">
        <v>1.3357791900634766</v>
      </c>
      <c r="S309" s="254">
        <v>0.48629751801490784</v>
      </c>
      <c r="T309" s="255">
        <v>2.4499545097351074</v>
      </c>
      <c r="U309"/>
      <c r="V309"/>
      <c r="W309"/>
    </row>
    <row r="310" spans="2:23">
      <c r="B310" s="249" t="s">
        <v>514</v>
      </c>
      <c r="C310" s="250" t="s">
        <v>242</v>
      </c>
      <c r="D310" s="250" t="s">
        <v>201</v>
      </c>
      <c r="E310" s="251">
        <v>13</v>
      </c>
      <c r="F310" s="251" t="s">
        <v>281</v>
      </c>
      <c r="G310" s="250">
        <v>1691</v>
      </c>
      <c r="H310" s="250">
        <v>554</v>
      </c>
      <c r="I310" s="250">
        <v>3231</v>
      </c>
      <c r="J310" s="252">
        <v>-1.24E-2</v>
      </c>
      <c r="K310" s="250">
        <v>1030</v>
      </c>
      <c r="L310" s="250">
        <v>314</v>
      </c>
      <c r="M310" s="250">
        <v>2017</v>
      </c>
      <c r="N310" s="250">
        <v>661</v>
      </c>
      <c r="O310" s="250">
        <v>240</v>
      </c>
      <c r="P310" s="250">
        <v>1214</v>
      </c>
      <c r="Q310" s="253">
        <v>504727</v>
      </c>
      <c r="R310" s="254">
        <v>1.3096188306808472</v>
      </c>
      <c r="S310" s="254">
        <v>0.47550457715988159</v>
      </c>
      <c r="T310" s="255">
        <v>2.4052608013153076</v>
      </c>
      <c r="U310"/>
      <c r="V310"/>
      <c r="W310"/>
    </row>
    <row r="311" spans="2:23">
      <c r="B311" s="249" t="s">
        <v>514</v>
      </c>
      <c r="C311" s="250" t="s">
        <v>242</v>
      </c>
      <c r="D311" s="250" t="s">
        <v>201</v>
      </c>
      <c r="E311" s="251">
        <v>14</v>
      </c>
      <c r="F311" s="251" t="s">
        <v>281</v>
      </c>
      <c r="G311" s="250">
        <v>1691</v>
      </c>
      <c r="H311" s="250">
        <v>554</v>
      </c>
      <c r="I311" s="250">
        <v>3231</v>
      </c>
      <c r="J311" s="252">
        <v>-1.24E-2</v>
      </c>
      <c r="K311" s="250">
        <v>1014</v>
      </c>
      <c r="L311" s="250">
        <v>310</v>
      </c>
      <c r="M311" s="250">
        <v>1986</v>
      </c>
      <c r="N311" s="250">
        <v>677</v>
      </c>
      <c r="O311" s="250">
        <v>244</v>
      </c>
      <c r="P311" s="250">
        <v>1245</v>
      </c>
      <c r="Q311" s="253">
        <v>487356</v>
      </c>
      <c r="R311" s="254">
        <v>1.3891283273696899</v>
      </c>
      <c r="S311" s="254">
        <v>0.50066065788269043</v>
      </c>
      <c r="T311" s="255">
        <v>2.554600715637207</v>
      </c>
      <c r="U311"/>
      <c r="V311"/>
      <c r="W311"/>
    </row>
    <row r="312" spans="2:23">
      <c r="B312" s="256" t="s">
        <v>514</v>
      </c>
      <c r="C312" s="257" t="s">
        <v>242</v>
      </c>
      <c r="D312" s="257" t="s">
        <v>201</v>
      </c>
      <c r="E312" s="258">
        <v>15</v>
      </c>
      <c r="F312" s="258" t="s">
        <v>281</v>
      </c>
      <c r="G312" s="257">
        <v>1691</v>
      </c>
      <c r="H312" s="257">
        <v>554</v>
      </c>
      <c r="I312" s="257">
        <v>3231</v>
      </c>
      <c r="J312" s="259">
        <v>-1.24E-2</v>
      </c>
      <c r="K312" s="257">
        <v>1005</v>
      </c>
      <c r="L312" s="257">
        <v>308</v>
      </c>
      <c r="M312" s="257">
        <v>1965</v>
      </c>
      <c r="N312" s="257">
        <v>686</v>
      </c>
      <c r="O312" s="257">
        <v>246</v>
      </c>
      <c r="P312" s="257">
        <v>1266</v>
      </c>
      <c r="Q312" s="260">
        <v>487356</v>
      </c>
      <c r="R312" s="261">
        <v>1.4075952768325806</v>
      </c>
      <c r="S312" s="261">
        <v>0.50476449728012085</v>
      </c>
      <c r="T312" s="262">
        <v>2.5976903438568115</v>
      </c>
      <c r="U312"/>
      <c r="V312"/>
      <c r="W312"/>
    </row>
    <row r="313" spans="2:23">
      <c r="B313" s="249" t="s">
        <v>514</v>
      </c>
      <c r="C313" s="250" t="s">
        <v>282</v>
      </c>
      <c r="D313" s="250" t="s">
        <v>502</v>
      </c>
      <c r="E313" s="251">
        <v>1</v>
      </c>
      <c r="F313" s="251" t="s">
        <v>281</v>
      </c>
      <c r="G313" s="250">
        <v>1691</v>
      </c>
      <c r="H313" s="250">
        <v>554</v>
      </c>
      <c r="I313" s="250">
        <v>3231</v>
      </c>
      <c r="J313" s="252">
        <v>-3.6400000000000002E-2</v>
      </c>
      <c r="K313" s="250">
        <v>1549</v>
      </c>
      <c r="L313" s="250">
        <v>472</v>
      </c>
      <c r="M313" s="250">
        <v>3029</v>
      </c>
      <c r="N313" s="250">
        <v>142</v>
      </c>
      <c r="O313" s="250">
        <v>82</v>
      </c>
      <c r="P313" s="250">
        <v>202</v>
      </c>
      <c r="Q313" s="253">
        <v>420165</v>
      </c>
      <c r="R313" s="254">
        <v>0.33796247839927673</v>
      </c>
      <c r="S313" s="254">
        <v>0.19516143202781677</v>
      </c>
      <c r="T313" s="255">
        <v>0.48076349496841431</v>
      </c>
    </row>
    <row r="314" spans="2:23">
      <c r="B314" s="249" t="s">
        <v>514</v>
      </c>
      <c r="C314" s="250" t="s">
        <v>282</v>
      </c>
      <c r="D314" s="250" t="s">
        <v>502</v>
      </c>
      <c r="E314" s="251">
        <v>2</v>
      </c>
      <c r="F314" s="251" t="s">
        <v>281</v>
      </c>
      <c r="G314" s="250">
        <v>1691</v>
      </c>
      <c r="H314" s="250">
        <v>554</v>
      </c>
      <c r="I314" s="250">
        <v>3231</v>
      </c>
      <c r="J314" s="252">
        <v>-3.6400000000000002E-2</v>
      </c>
      <c r="K314" s="250">
        <v>1499</v>
      </c>
      <c r="L314" s="250">
        <v>461</v>
      </c>
      <c r="M314" s="250">
        <v>2922</v>
      </c>
      <c r="N314" s="250">
        <v>192</v>
      </c>
      <c r="O314" s="250">
        <v>93</v>
      </c>
      <c r="P314" s="250">
        <v>309</v>
      </c>
      <c r="Q314" s="253">
        <v>188719</v>
      </c>
      <c r="R314" s="254">
        <v>1.0173856019973755</v>
      </c>
      <c r="S314" s="254">
        <v>0.49279618263244629</v>
      </c>
      <c r="T314" s="255">
        <v>1.6373549699783325</v>
      </c>
    </row>
    <row r="315" spans="2:23">
      <c r="B315" s="249" t="s">
        <v>514</v>
      </c>
      <c r="C315" s="250" t="s">
        <v>282</v>
      </c>
      <c r="D315" s="250" t="s">
        <v>502</v>
      </c>
      <c r="E315" s="251">
        <v>3</v>
      </c>
      <c r="F315" s="251" t="s">
        <v>281</v>
      </c>
      <c r="G315" s="250">
        <v>1691</v>
      </c>
      <c r="H315" s="250">
        <v>554</v>
      </c>
      <c r="I315" s="250">
        <v>3231</v>
      </c>
      <c r="J315" s="252">
        <v>-3.6400000000000002E-2</v>
      </c>
      <c r="K315" s="250">
        <v>1449</v>
      </c>
      <c r="L315" s="250">
        <v>445</v>
      </c>
      <c r="M315" s="250">
        <v>2817</v>
      </c>
      <c r="N315" s="250">
        <v>242</v>
      </c>
      <c r="O315" s="250">
        <v>109</v>
      </c>
      <c r="P315" s="250">
        <v>414</v>
      </c>
      <c r="Q315" s="253">
        <v>155920</v>
      </c>
      <c r="R315" s="254">
        <v>1.5520778894424438</v>
      </c>
      <c r="S315" s="254">
        <v>0.69907647371292114</v>
      </c>
      <c r="T315" s="255">
        <v>2.6552078723907471</v>
      </c>
    </row>
    <row r="316" spans="2:23">
      <c r="B316" s="249" t="s">
        <v>514</v>
      </c>
      <c r="C316" s="250" t="s">
        <v>282</v>
      </c>
      <c r="D316" s="250" t="s">
        <v>502</v>
      </c>
      <c r="E316" s="251">
        <v>4</v>
      </c>
      <c r="F316" s="251" t="s">
        <v>281</v>
      </c>
      <c r="G316" s="250">
        <v>1691</v>
      </c>
      <c r="H316" s="250">
        <v>554</v>
      </c>
      <c r="I316" s="250">
        <v>3231</v>
      </c>
      <c r="J316" s="252">
        <v>-3.6400000000000002E-2</v>
      </c>
      <c r="K316" s="250">
        <v>1398</v>
      </c>
      <c r="L316" s="250">
        <v>431</v>
      </c>
      <c r="M316" s="250">
        <v>2720</v>
      </c>
      <c r="N316" s="250">
        <v>293</v>
      </c>
      <c r="O316" s="250">
        <v>123</v>
      </c>
      <c r="P316" s="250">
        <v>511</v>
      </c>
      <c r="Q316" s="253">
        <v>155920</v>
      </c>
      <c r="R316" s="254">
        <v>1.8791687488555908</v>
      </c>
      <c r="S316" s="254">
        <v>0.78886610269546509</v>
      </c>
      <c r="T316" s="255">
        <v>3.2773218154907227</v>
      </c>
    </row>
    <row r="317" spans="2:23">
      <c r="B317" s="249" t="s">
        <v>514</v>
      </c>
      <c r="C317" s="250" t="s">
        <v>282</v>
      </c>
      <c r="D317" s="250" t="s">
        <v>502</v>
      </c>
      <c r="E317" s="251">
        <v>5</v>
      </c>
      <c r="F317" s="251" t="s">
        <v>281</v>
      </c>
      <c r="G317" s="250">
        <v>1691</v>
      </c>
      <c r="H317" s="250">
        <v>554</v>
      </c>
      <c r="I317" s="250">
        <v>3231</v>
      </c>
      <c r="J317" s="252">
        <v>-3.6400000000000002E-2</v>
      </c>
      <c r="K317" s="250">
        <v>1340</v>
      </c>
      <c r="L317" s="250">
        <v>417</v>
      </c>
      <c r="M317" s="250">
        <v>2617</v>
      </c>
      <c r="N317" s="250">
        <v>351</v>
      </c>
      <c r="O317" s="250">
        <v>137</v>
      </c>
      <c r="P317" s="250">
        <v>614</v>
      </c>
      <c r="Q317" s="253">
        <v>155920</v>
      </c>
      <c r="R317" s="254">
        <v>2.2511544227600098</v>
      </c>
      <c r="S317" s="254">
        <v>0.87865567207336426</v>
      </c>
      <c r="T317" s="255">
        <v>3.9379167556762695</v>
      </c>
    </row>
    <row r="318" spans="2:23">
      <c r="B318" s="249" t="s">
        <v>514</v>
      </c>
      <c r="C318" s="250" t="s">
        <v>282</v>
      </c>
      <c r="D318" s="250" t="s">
        <v>201</v>
      </c>
      <c r="E318" s="251">
        <v>6</v>
      </c>
      <c r="F318" s="251" t="s">
        <v>281</v>
      </c>
      <c r="G318" s="250">
        <v>1691</v>
      </c>
      <c r="H318" s="250">
        <v>554</v>
      </c>
      <c r="I318" s="250">
        <v>3231</v>
      </c>
      <c r="J318" s="252">
        <v>-9.1000000000000004E-3</v>
      </c>
      <c r="K318" s="250">
        <v>1332</v>
      </c>
      <c r="L318" s="250">
        <v>413</v>
      </c>
      <c r="M318" s="250">
        <v>2593</v>
      </c>
      <c r="N318" s="250">
        <v>359</v>
      </c>
      <c r="O318" s="250">
        <v>141</v>
      </c>
      <c r="P318" s="250">
        <v>638</v>
      </c>
      <c r="Q318" s="253">
        <v>188016</v>
      </c>
      <c r="R318" s="254">
        <v>1.9094120264053345</v>
      </c>
      <c r="S318" s="254">
        <v>0.74993616342544556</v>
      </c>
      <c r="T318" s="255">
        <v>3.3933281898498535</v>
      </c>
    </row>
    <row r="319" spans="2:23">
      <c r="B319" s="249" t="s">
        <v>514</v>
      </c>
      <c r="C319" s="250" t="s">
        <v>282</v>
      </c>
      <c r="D319" s="250" t="s">
        <v>201</v>
      </c>
      <c r="E319" s="251">
        <v>7</v>
      </c>
      <c r="F319" s="251" t="s">
        <v>281</v>
      </c>
      <c r="G319" s="250">
        <v>1691</v>
      </c>
      <c r="H319" s="250">
        <v>554</v>
      </c>
      <c r="I319" s="250">
        <v>3231</v>
      </c>
      <c r="J319" s="252">
        <v>-9.1000000000000004E-3</v>
      </c>
      <c r="K319" s="250">
        <v>1318</v>
      </c>
      <c r="L319" s="250">
        <v>409</v>
      </c>
      <c r="M319" s="250">
        <v>2570</v>
      </c>
      <c r="N319" s="250">
        <v>373</v>
      </c>
      <c r="O319" s="250">
        <v>145</v>
      </c>
      <c r="P319" s="250">
        <v>661</v>
      </c>
      <c r="Q319" s="253">
        <v>143207</v>
      </c>
      <c r="R319" s="254">
        <v>2.6046211719512939</v>
      </c>
      <c r="S319" s="254">
        <v>1.0125203132629395</v>
      </c>
      <c r="T319" s="255">
        <v>4.6156959533691406</v>
      </c>
    </row>
    <row r="320" spans="2:23">
      <c r="B320" s="249" t="s">
        <v>514</v>
      </c>
      <c r="C320" s="250" t="s">
        <v>282</v>
      </c>
      <c r="D320" s="250" t="s">
        <v>201</v>
      </c>
      <c r="E320" s="251">
        <v>8</v>
      </c>
      <c r="F320" s="251" t="s">
        <v>281</v>
      </c>
      <c r="G320" s="250">
        <v>1691</v>
      </c>
      <c r="H320" s="250">
        <v>554</v>
      </c>
      <c r="I320" s="250">
        <v>3231</v>
      </c>
      <c r="J320" s="252">
        <v>-9.1000000000000004E-3</v>
      </c>
      <c r="K320" s="250">
        <v>1311</v>
      </c>
      <c r="L320" s="250">
        <v>406</v>
      </c>
      <c r="M320" s="250">
        <v>2548</v>
      </c>
      <c r="N320" s="250">
        <v>380</v>
      </c>
      <c r="O320" s="250">
        <v>148</v>
      </c>
      <c r="P320" s="250">
        <v>683</v>
      </c>
      <c r="Q320" s="253">
        <v>143207</v>
      </c>
      <c r="R320" s="254">
        <v>2.6535015106201172</v>
      </c>
      <c r="S320" s="254">
        <v>1.0334689617156982</v>
      </c>
      <c r="T320" s="255">
        <v>4.769320011138916</v>
      </c>
    </row>
    <row r="321" spans="2:20">
      <c r="B321" s="249" t="s">
        <v>514</v>
      </c>
      <c r="C321" s="250" t="s">
        <v>282</v>
      </c>
      <c r="D321" s="250" t="s">
        <v>201</v>
      </c>
      <c r="E321" s="251">
        <v>9</v>
      </c>
      <c r="F321" s="251" t="s">
        <v>281</v>
      </c>
      <c r="G321" s="250">
        <v>1691</v>
      </c>
      <c r="H321" s="250">
        <v>554</v>
      </c>
      <c r="I321" s="250">
        <v>3231</v>
      </c>
      <c r="J321" s="252">
        <v>-9.1000000000000004E-3</v>
      </c>
      <c r="K321" s="250">
        <v>1297</v>
      </c>
      <c r="L321" s="250">
        <v>406</v>
      </c>
      <c r="M321" s="250">
        <v>2531</v>
      </c>
      <c r="N321" s="250">
        <v>394</v>
      </c>
      <c r="O321" s="250">
        <v>148</v>
      </c>
      <c r="P321" s="250">
        <v>700</v>
      </c>
      <c r="Q321" s="253">
        <v>143207</v>
      </c>
      <c r="R321" s="254">
        <v>2.7512621879577637</v>
      </c>
      <c r="S321" s="254">
        <v>1.0334689617156982</v>
      </c>
      <c r="T321" s="255">
        <v>4.8880290985107422</v>
      </c>
    </row>
    <row r="322" spans="2:20">
      <c r="B322" s="249" t="s">
        <v>514</v>
      </c>
      <c r="C322" s="250" t="s">
        <v>282</v>
      </c>
      <c r="D322" s="250" t="s">
        <v>201</v>
      </c>
      <c r="E322" s="251">
        <v>10</v>
      </c>
      <c r="F322" s="251" t="s">
        <v>281</v>
      </c>
      <c r="G322" s="250">
        <v>1691</v>
      </c>
      <c r="H322" s="250">
        <v>554</v>
      </c>
      <c r="I322" s="250">
        <v>3231</v>
      </c>
      <c r="J322" s="252">
        <v>-9.1000000000000004E-3</v>
      </c>
      <c r="K322" s="250">
        <v>1279</v>
      </c>
      <c r="L322" s="250">
        <v>397</v>
      </c>
      <c r="M322" s="250">
        <v>2496</v>
      </c>
      <c r="N322" s="250">
        <v>412</v>
      </c>
      <c r="O322" s="250">
        <v>157</v>
      </c>
      <c r="P322" s="250">
        <v>735</v>
      </c>
      <c r="Q322" s="253">
        <v>143207</v>
      </c>
      <c r="R322" s="254">
        <v>2.8769543170928955</v>
      </c>
      <c r="S322" s="254">
        <v>1.0963151454925537</v>
      </c>
      <c r="T322" s="255">
        <v>5.1324305534362793</v>
      </c>
    </row>
    <row r="323" spans="2:20">
      <c r="B323" s="249" t="s">
        <v>514</v>
      </c>
      <c r="C323" s="250" t="s">
        <v>282</v>
      </c>
      <c r="D323" s="250" t="s">
        <v>201</v>
      </c>
      <c r="E323" s="251">
        <v>11</v>
      </c>
      <c r="F323" s="251" t="s">
        <v>281</v>
      </c>
      <c r="G323" s="250">
        <v>1691</v>
      </c>
      <c r="H323" s="250">
        <v>554</v>
      </c>
      <c r="I323" s="250">
        <v>3231</v>
      </c>
      <c r="J323" s="252">
        <v>-9.1000000000000004E-3</v>
      </c>
      <c r="K323" s="250">
        <v>1270</v>
      </c>
      <c r="L323" s="250">
        <v>394</v>
      </c>
      <c r="M323" s="250">
        <v>2480</v>
      </c>
      <c r="N323" s="250">
        <v>421</v>
      </c>
      <c r="O323" s="250">
        <v>160</v>
      </c>
      <c r="P323" s="250">
        <v>751</v>
      </c>
      <c r="Q323" s="253">
        <v>188016</v>
      </c>
      <c r="R323" s="254">
        <v>2.2391712665557861</v>
      </c>
      <c r="S323" s="254">
        <v>0.85099142789840698</v>
      </c>
      <c r="T323" s="255">
        <v>3.9943408966064453</v>
      </c>
    </row>
    <row r="324" spans="2:20">
      <c r="B324" s="249" t="s">
        <v>514</v>
      </c>
      <c r="C324" s="250" t="s">
        <v>282</v>
      </c>
      <c r="D324" s="250" t="s">
        <v>201</v>
      </c>
      <c r="E324" s="251">
        <v>12</v>
      </c>
      <c r="F324" s="251" t="s">
        <v>281</v>
      </c>
      <c r="G324" s="250">
        <v>1691</v>
      </c>
      <c r="H324" s="250">
        <v>554</v>
      </c>
      <c r="I324" s="250">
        <v>3231</v>
      </c>
      <c r="J324" s="252">
        <v>-9.1000000000000004E-3</v>
      </c>
      <c r="K324" s="250">
        <v>1260</v>
      </c>
      <c r="L324" s="250">
        <v>393</v>
      </c>
      <c r="M324" s="250">
        <v>2454</v>
      </c>
      <c r="N324" s="250">
        <v>431</v>
      </c>
      <c r="O324" s="250">
        <v>161</v>
      </c>
      <c r="P324" s="250">
        <v>777</v>
      </c>
      <c r="Q324" s="253">
        <v>143207</v>
      </c>
      <c r="R324" s="254">
        <v>3.009629487991333</v>
      </c>
      <c r="S324" s="254">
        <v>1.1242467164993286</v>
      </c>
      <c r="T324" s="255">
        <v>5.4257125854492188</v>
      </c>
    </row>
    <row r="325" spans="2:20">
      <c r="B325" s="249" t="s">
        <v>514</v>
      </c>
      <c r="C325" s="250" t="s">
        <v>282</v>
      </c>
      <c r="D325" s="250" t="s">
        <v>201</v>
      </c>
      <c r="E325" s="251">
        <v>13</v>
      </c>
      <c r="F325" s="251" t="s">
        <v>281</v>
      </c>
      <c r="G325" s="250">
        <v>1691</v>
      </c>
      <c r="H325" s="250">
        <v>554</v>
      </c>
      <c r="I325" s="250">
        <v>3231</v>
      </c>
      <c r="J325" s="252">
        <v>-9.1000000000000004E-3</v>
      </c>
      <c r="K325" s="250">
        <v>1245</v>
      </c>
      <c r="L325" s="250">
        <v>385</v>
      </c>
      <c r="M325" s="250">
        <v>2427</v>
      </c>
      <c r="N325" s="250">
        <v>446</v>
      </c>
      <c r="O325" s="250">
        <v>169</v>
      </c>
      <c r="P325" s="250">
        <v>804</v>
      </c>
      <c r="Q325" s="253">
        <v>143207</v>
      </c>
      <c r="R325" s="254">
        <v>3.1143729686737061</v>
      </c>
      <c r="S325" s="254">
        <v>1.1801098585128784</v>
      </c>
      <c r="T325" s="255">
        <v>5.6142511367797852</v>
      </c>
    </row>
    <row r="326" spans="2:20">
      <c r="B326" s="249" t="s">
        <v>514</v>
      </c>
      <c r="C326" s="250" t="s">
        <v>282</v>
      </c>
      <c r="D326" s="250" t="s">
        <v>201</v>
      </c>
      <c r="E326" s="251">
        <v>14</v>
      </c>
      <c r="F326" s="251" t="s">
        <v>281</v>
      </c>
      <c r="G326" s="250">
        <v>1691</v>
      </c>
      <c r="H326" s="250">
        <v>554</v>
      </c>
      <c r="I326" s="250">
        <v>3231</v>
      </c>
      <c r="J326" s="252">
        <v>-9.1000000000000004E-3</v>
      </c>
      <c r="K326" s="250">
        <v>1232</v>
      </c>
      <c r="L326" s="250">
        <v>384</v>
      </c>
      <c r="M326" s="250">
        <v>2409</v>
      </c>
      <c r="N326" s="250">
        <v>459</v>
      </c>
      <c r="O326" s="250">
        <v>170</v>
      </c>
      <c r="P326" s="250">
        <v>822</v>
      </c>
      <c r="Q326" s="253">
        <v>143207</v>
      </c>
      <c r="R326" s="254">
        <v>3.2051506042480469</v>
      </c>
      <c r="S326" s="254">
        <v>1.1870929002761841</v>
      </c>
      <c r="T326" s="255">
        <v>5.7399425506591797</v>
      </c>
    </row>
    <row r="327" spans="2:20">
      <c r="B327" s="256" t="s">
        <v>514</v>
      </c>
      <c r="C327" s="257" t="s">
        <v>282</v>
      </c>
      <c r="D327" s="257" t="s">
        <v>201</v>
      </c>
      <c r="E327" s="258">
        <v>15</v>
      </c>
      <c r="F327" s="258" t="s">
        <v>281</v>
      </c>
      <c r="G327" s="257">
        <v>1691</v>
      </c>
      <c r="H327" s="257">
        <v>554</v>
      </c>
      <c r="I327" s="257">
        <v>3231</v>
      </c>
      <c r="J327" s="259">
        <v>-9.1000000000000004E-3</v>
      </c>
      <c r="K327" s="257">
        <v>1228</v>
      </c>
      <c r="L327" s="257">
        <v>382</v>
      </c>
      <c r="M327" s="257">
        <v>2390</v>
      </c>
      <c r="N327" s="257">
        <v>463</v>
      </c>
      <c r="O327" s="257">
        <v>172</v>
      </c>
      <c r="P327" s="257">
        <v>841</v>
      </c>
      <c r="Q327" s="260">
        <v>143207</v>
      </c>
      <c r="R327" s="261">
        <v>3.2330820560455322</v>
      </c>
      <c r="S327" s="261">
        <v>1.2010586261749268</v>
      </c>
      <c r="T327" s="262">
        <v>5.8726177215576172</v>
      </c>
    </row>
    <row r="328" spans="2:20">
      <c r="B328" s="249" t="s">
        <v>514</v>
      </c>
      <c r="C328" s="250" t="s">
        <v>77</v>
      </c>
      <c r="D328" s="250" t="s">
        <v>502</v>
      </c>
      <c r="E328" s="251">
        <v>1</v>
      </c>
      <c r="F328" s="251" t="s">
        <v>281</v>
      </c>
      <c r="G328" s="250">
        <v>1691</v>
      </c>
      <c r="H328" s="250">
        <v>554</v>
      </c>
      <c r="I328" s="250">
        <v>3231</v>
      </c>
      <c r="J328" s="252">
        <v>-1.0800000000000001E-2</v>
      </c>
      <c r="K328" s="250">
        <v>1579</v>
      </c>
      <c r="L328" s="250">
        <v>478</v>
      </c>
      <c r="M328" s="250">
        <v>3096</v>
      </c>
      <c r="N328" s="250">
        <v>112</v>
      </c>
      <c r="O328" s="250">
        <v>76</v>
      </c>
      <c r="P328" s="250">
        <v>135</v>
      </c>
      <c r="Q328" s="253">
        <v>291952</v>
      </c>
      <c r="R328" s="254">
        <v>0.38362473249435425</v>
      </c>
      <c r="S328" s="254">
        <v>0.26031675934791565</v>
      </c>
      <c r="T328" s="255">
        <v>0.4624047577381134</v>
      </c>
    </row>
    <row r="329" spans="2:20">
      <c r="B329" s="249" t="s">
        <v>514</v>
      </c>
      <c r="C329" s="250" t="s">
        <v>77</v>
      </c>
      <c r="D329" s="250" t="s">
        <v>502</v>
      </c>
      <c r="E329" s="251">
        <v>2</v>
      </c>
      <c r="F329" s="251" t="s">
        <v>281</v>
      </c>
      <c r="G329" s="250">
        <v>1691</v>
      </c>
      <c r="H329" s="250">
        <v>554</v>
      </c>
      <c r="I329" s="250">
        <v>3231</v>
      </c>
      <c r="J329" s="252">
        <v>-1.0800000000000001E-2</v>
      </c>
      <c r="K329" s="250">
        <v>1570</v>
      </c>
      <c r="L329" s="250">
        <v>476</v>
      </c>
      <c r="M329" s="250">
        <v>3066</v>
      </c>
      <c r="N329" s="250">
        <v>121</v>
      </c>
      <c r="O329" s="250">
        <v>78</v>
      </c>
      <c r="P329" s="250">
        <v>165</v>
      </c>
      <c r="Q329" s="253">
        <v>503800</v>
      </c>
      <c r="R329" s="254">
        <v>0.24017468094825745</v>
      </c>
      <c r="S329" s="254">
        <v>0.15482334792613983</v>
      </c>
      <c r="T329" s="255">
        <v>0.32751089334487915</v>
      </c>
    </row>
    <row r="330" spans="2:20">
      <c r="B330" s="249" t="s">
        <v>514</v>
      </c>
      <c r="C330" s="250" t="s">
        <v>77</v>
      </c>
      <c r="D330" s="250" t="s">
        <v>502</v>
      </c>
      <c r="E330" s="251">
        <v>3</v>
      </c>
      <c r="F330" s="251" t="s">
        <v>281</v>
      </c>
      <c r="G330" s="250">
        <v>1691</v>
      </c>
      <c r="H330" s="250">
        <v>554</v>
      </c>
      <c r="I330" s="250">
        <v>3231</v>
      </c>
      <c r="J330" s="252">
        <v>-1.0800000000000001E-2</v>
      </c>
      <c r="K330" s="250">
        <v>1557</v>
      </c>
      <c r="L330" s="250">
        <v>473</v>
      </c>
      <c r="M330" s="250">
        <v>3044</v>
      </c>
      <c r="N330" s="250">
        <v>134</v>
      </c>
      <c r="O330" s="250">
        <v>81</v>
      </c>
      <c r="P330" s="250">
        <v>187</v>
      </c>
      <c r="Q330" s="253">
        <v>336131</v>
      </c>
      <c r="R330" s="254">
        <v>0.39865407347679138</v>
      </c>
      <c r="S330" s="254">
        <v>0.24097748100757599</v>
      </c>
      <c r="T330" s="255">
        <v>0.55633074045181274</v>
      </c>
    </row>
    <row r="331" spans="2:20">
      <c r="B331" s="249" t="s">
        <v>514</v>
      </c>
      <c r="C331" s="250" t="s">
        <v>77</v>
      </c>
      <c r="D331" s="250" t="s">
        <v>502</v>
      </c>
      <c r="E331" s="251">
        <v>4</v>
      </c>
      <c r="F331" s="251" t="s">
        <v>281</v>
      </c>
      <c r="G331" s="250">
        <v>1691</v>
      </c>
      <c r="H331" s="250">
        <v>554</v>
      </c>
      <c r="I331" s="250">
        <v>3231</v>
      </c>
      <c r="J331" s="252">
        <v>-1.0800000000000001E-2</v>
      </c>
      <c r="K331" s="250">
        <v>1538</v>
      </c>
      <c r="L331" s="250">
        <v>470</v>
      </c>
      <c r="M331" s="250">
        <v>3011</v>
      </c>
      <c r="N331" s="250">
        <v>153</v>
      </c>
      <c r="O331" s="250">
        <v>84</v>
      </c>
      <c r="P331" s="250">
        <v>220</v>
      </c>
      <c r="Q331" s="253">
        <v>353502</v>
      </c>
      <c r="R331" s="254">
        <v>0.43281227350234985</v>
      </c>
      <c r="S331" s="254">
        <v>0.23762241005897522</v>
      </c>
      <c r="T331" s="255">
        <v>0.62234443426132202</v>
      </c>
    </row>
    <row r="332" spans="2:20">
      <c r="B332" s="249" t="s">
        <v>514</v>
      </c>
      <c r="C332" s="250" t="s">
        <v>77</v>
      </c>
      <c r="D332" s="250" t="s">
        <v>502</v>
      </c>
      <c r="E332" s="251">
        <v>5</v>
      </c>
      <c r="F332" s="251" t="s">
        <v>281</v>
      </c>
      <c r="G332" s="250">
        <v>1691</v>
      </c>
      <c r="H332" s="250">
        <v>554</v>
      </c>
      <c r="I332" s="250">
        <v>3231</v>
      </c>
      <c r="J332" s="252">
        <v>-1.0800000000000001E-2</v>
      </c>
      <c r="K332" s="250">
        <v>1529</v>
      </c>
      <c r="L332" s="250">
        <v>467</v>
      </c>
      <c r="M332" s="250">
        <v>2983</v>
      </c>
      <c r="N332" s="250">
        <v>162</v>
      </c>
      <c r="O332" s="250">
        <v>87</v>
      </c>
      <c r="P332" s="250">
        <v>248</v>
      </c>
      <c r="Q332" s="253">
        <v>336131</v>
      </c>
      <c r="R332" s="254">
        <v>0.48195496201515198</v>
      </c>
      <c r="S332" s="254">
        <v>0.25882765650749207</v>
      </c>
      <c r="T332" s="255">
        <v>0.73780757188796997</v>
      </c>
    </row>
    <row r="333" spans="2:20">
      <c r="B333" s="249" t="s">
        <v>514</v>
      </c>
      <c r="C333" s="250" t="s">
        <v>77</v>
      </c>
      <c r="D333" s="250" t="s">
        <v>201</v>
      </c>
      <c r="E333" s="251">
        <v>6</v>
      </c>
      <c r="F333" s="251" t="s">
        <v>281</v>
      </c>
      <c r="G333" s="250">
        <v>1691</v>
      </c>
      <c r="H333" s="250">
        <v>554</v>
      </c>
      <c r="I333" s="250">
        <v>3231</v>
      </c>
      <c r="J333" s="252">
        <v>-8.0000000000000004E-4</v>
      </c>
      <c r="K333" s="250">
        <v>1529</v>
      </c>
      <c r="L333" s="250">
        <v>467</v>
      </c>
      <c r="M333" s="250">
        <v>2982</v>
      </c>
      <c r="N333" s="250">
        <v>162</v>
      </c>
      <c r="O333" s="250">
        <v>87</v>
      </c>
      <c r="P333" s="250">
        <v>249</v>
      </c>
      <c r="Q333" s="253">
        <v>231478</v>
      </c>
      <c r="R333" s="254">
        <v>0.69985049962997437</v>
      </c>
      <c r="S333" s="254">
        <v>0.37584564089775085</v>
      </c>
      <c r="T333" s="255">
        <v>1.0756962299346924</v>
      </c>
    </row>
    <row r="334" spans="2:20">
      <c r="B334" s="249" t="s">
        <v>514</v>
      </c>
      <c r="C334" s="250" t="s">
        <v>77</v>
      </c>
      <c r="D334" s="250" t="s">
        <v>201</v>
      </c>
      <c r="E334" s="251">
        <v>7</v>
      </c>
      <c r="F334" s="251" t="s">
        <v>281</v>
      </c>
      <c r="G334" s="250">
        <v>1691</v>
      </c>
      <c r="H334" s="250">
        <v>554</v>
      </c>
      <c r="I334" s="250">
        <v>3231</v>
      </c>
      <c r="J334" s="252">
        <v>-8.0000000000000004E-4</v>
      </c>
      <c r="K334" s="250">
        <v>1526</v>
      </c>
      <c r="L334" s="250">
        <v>467</v>
      </c>
      <c r="M334" s="250">
        <v>2982</v>
      </c>
      <c r="N334" s="250">
        <v>165</v>
      </c>
      <c r="O334" s="250">
        <v>87</v>
      </c>
      <c r="P334" s="250">
        <v>249</v>
      </c>
      <c r="Q334" s="253">
        <v>177294</v>
      </c>
      <c r="R334" s="254">
        <v>0.93065756559371948</v>
      </c>
      <c r="S334" s="254">
        <v>0.49071037769317627</v>
      </c>
      <c r="T334" s="255">
        <v>1.4044468402862549</v>
      </c>
    </row>
    <row r="335" spans="2:20">
      <c r="B335" s="249" t="s">
        <v>514</v>
      </c>
      <c r="C335" s="250" t="s">
        <v>77</v>
      </c>
      <c r="D335" s="250" t="s">
        <v>201</v>
      </c>
      <c r="E335" s="251">
        <v>8</v>
      </c>
      <c r="F335" s="251" t="s">
        <v>281</v>
      </c>
      <c r="G335" s="250">
        <v>1691</v>
      </c>
      <c r="H335" s="250">
        <v>554</v>
      </c>
      <c r="I335" s="250">
        <v>3231</v>
      </c>
      <c r="J335" s="252">
        <v>-8.0000000000000004E-4</v>
      </c>
      <c r="K335" s="250">
        <v>1525</v>
      </c>
      <c r="L335" s="250">
        <v>467</v>
      </c>
      <c r="M335" s="250">
        <v>2978</v>
      </c>
      <c r="N335" s="250">
        <v>166</v>
      </c>
      <c r="O335" s="250">
        <v>87</v>
      </c>
      <c r="P335" s="250">
        <v>253</v>
      </c>
      <c r="Q335" s="253">
        <v>159923</v>
      </c>
      <c r="R335" s="254">
        <v>1.0379995107650757</v>
      </c>
      <c r="S335" s="254">
        <v>0.54401183128356934</v>
      </c>
      <c r="T335" s="255">
        <v>1.582011342048645</v>
      </c>
    </row>
    <row r="336" spans="2:20">
      <c r="B336" s="249" t="s">
        <v>514</v>
      </c>
      <c r="C336" s="250" t="s">
        <v>77</v>
      </c>
      <c r="D336" s="250" t="s">
        <v>201</v>
      </c>
      <c r="E336" s="251">
        <v>9</v>
      </c>
      <c r="F336" s="251" t="s">
        <v>281</v>
      </c>
      <c r="G336" s="250">
        <v>1691</v>
      </c>
      <c r="H336" s="250">
        <v>554</v>
      </c>
      <c r="I336" s="250">
        <v>3231</v>
      </c>
      <c r="J336" s="252">
        <v>-8.0000000000000004E-4</v>
      </c>
      <c r="K336" s="250">
        <v>1523</v>
      </c>
      <c r="L336" s="250">
        <v>467</v>
      </c>
      <c r="M336" s="250">
        <v>2973</v>
      </c>
      <c r="N336" s="250">
        <v>168</v>
      </c>
      <c r="O336" s="250">
        <v>87</v>
      </c>
      <c r="P336" s="250">
        <v>258</v>
      </c>
      <c r="Q336" s="253">
        <v>159923</v>
      </c>
      <c r="R336" s="254">
        <v>1.050505518913269</v>
      </c>
      <c r="S336" s="254">
        <v>0.54401183128356934</v>
      </c>
      <c r="T336" s="255">
        <v>1.613276481628418</v>
      </c>
    </row>
    <row r="337" spans="2:20">
      <c r="B337" s="249" t="s">
        <v>514</v>
      </c>
      <c r="C337" s="250" t="s">
        <v>77</v>
      </c>
      <c r="D337" s="250" t="s">
        <v>201</v>
      </c>
      <c r="E337" s="251">
        <v>10</v>
      </c>
      <c r="F337" s="251" t="s">
        <v>281</v>
      </c>
      <c r="G337" s="250">
        <v>1691</v>
      </c>
      <c r="H337" s="250">
        <v>554</v>
      </c>
      <c r="I337" s="250">
        <v>3231</v>
      </c>
      <c r="J337" s="252">
        <v>-8.0000000000000004E-4</v>
      </c>
      <c r="K337" s="250">
        <v>1523</v>
      </c>
      <c r="L337" s="250">
        <v>467</v>
      </c>
      <c r="M337" s="250">
        <v>2970</v>
      </c>
      <c r="N337" s="250">
        <v>168</v>
      </c>
      <c r="O337" s="250">
        <v>87</v>
      </c>
      <c r="P337" s="250">
        <v>261</v>
      </c>
      <c r="Q337" s="253">
        <v>177294</v>
      </c>
      <c r="R337" s="254">
        <v>0.9475785493850708</v>
      </c>
      <c r="S337" s="254">
        <v>0.49071037769317627</v>
      </c>
      <c r="T337" s="255">
        <v>1.4721310138702393</v>
      </c>
    </row>
    <row r="338" spans="2:20">
      <c r="B338" s="249" t="s">
        <v>514</v>
      </c>
      <c r="C338" s="250" t="s">
        <v>77</v>
      </c>
      <c r="D338" s="250" t="s">
        <v>201</v>
      </c>
      <c r="E338" s="251">
        <v>11</v>
      </c>
      <c r="F338" s="251" t="s">
        <v>281</v>
      </c>
      <c r="G338" s="250">
        <v>1691</v>
      </c>
      <c r="H338" s="250">
        <v>554</v>
      </c>
      <c r="I338" s="250">
        <v>3231</v>
      </c>
      <c r="J338" s="252">
        <v>-8.0000000000000004E-4</v>
      </c>
      <c r="K338" s="250">
        <v>1523</v>
      </c>
      <c r="L338" s="250">
        <v>467</v>
      </c>
      <c r="M338" s="250">
        <v>2968</v>
      </c>
      <c r="N338" s="250">
        <v>168</v>
      </c>
      <c r="O338" s="250">
        <v>87</v>
      </c>
      <c r="P338" s="250">
        <v>263</v>
      </c>
      <c r="Q338" s="253">
        <v>231478</v>
      </c>
      <c r="R338" s="254">
        <v>0.72577089071273804</v>
      </c>
      <c r="S338" s="254">
        <v>0.37584564089775085</v>
      </c>
      <c r="T338" s="255">
        <v>1.1361770629882813</v>
      </c>
    </row>
    <row r="339" spans="2:20">
      <c r="B339" s="249" t="s">
        <v>514</v>
      </c>
      <c r="C339" s="250" t="s">
        <v>77</v>
      </c>
      <c r="D339" s="250" t="s">
        <v>201</v>
      </c>
      <c r="E339" s="251">
        <v>12</v>
      </c>
      <c r="F339" s="251" t="s">
        <v>281</v>
      </c>
      <c r="G339" s="250">
        <v>1691</v>
      </c>
      <c r="H339" s="250">
        <v>554</v>
      </c>
      <c r="I339" s="250">
        <v>3231</v>
      </c>
      <c r="J339" s="252">
        <v>-8.0000000000000004E-4</v>
      </c>
      <c r="K339" s="250">
        <v>1523</v>
      </c>
      <c r="L339" s="250">
        <v>467</v>
      </c>
      <c r="M339" s="250">
        <v>2967</v>
      </c>
      <c r="N339" s="250">
        <v>168</v>
      </c>
      <c r="O339" s="250">
        <v>87</v>
      </c>
      <c r="P339" s="250">
        <v>264</v>
      </c>
      <c r="Q339" s="253">
        <v>159923</v>
      </c>
      <c r="R339" s="254">
        <v>1.050505518913269</v>
      </c>
      <c r="S339" s="254">
        <v>0.54401183128356934</v>
      </c>
      <c r="T339" s="255">
        <v>1.6507943868637085</v>
      </c>
    </row>
    <row r="340" spans="2:20">
      <c r="B340" s="249" t="s">
        <v>514</v>
      </c>
      <c r="C340" s="250" t="s">
        <v>77</v>
      </c>
      <c r="D340" s="250" t="s">
        <v>201</v>
      </c>
      <c r="E340" s="251">
        <v>13</v>
      </c>
      <c r="F340" s="251" t="s">
        <v>281</v>
      </c>
      <c r="G340" s="250">
        <v>1691</v>
      </c>
      <c r="H340" s="250">
        <v>554</v>
      </c>
      <c r="I340" s="250">
        <v>3231</v>
      </c>
      <c r="J340" s="252">
        <v>-8.0000000000000004E-4</v>
      </c>
      <c r="K340" s="250">
        <v>1522</v>
      </c>
      <c r="L340" s="250">
        <v>466</v>
      </c>
      <c r="M340" s="250">
        <v>2963</v>
      </c>
      <c r="N340" s="250">
        <v>169</v>
      </c>
      <c r="O340" s="250">
        <v>88</v>
      </c>
      <c r="P340" s="250">
        <v>268</v>
      </c>
      <c r="Q340" s="253">
        <v>177294</v>
      </c>
      <c r="R340" s="254">
        <v>0.95321893692016602</v>
      </c>
      <c r="S340" s="254">
        <v>0.49635070562362671</v>
      </c>
      <c r="T340" s="255">
        <v>1.5116134881973267</v>
      </c>
    </row>
    <row r="341" spans="2:20">
      <c r="B341" s="249" t="s">
        <v>514</v>
      </c>
      <c r="C341" s="250" t="s">
        <v>77</v>
      </c>
      <c r="D341" s="250" t="s">
        <v>201</v>
      </c>
      <c r="E341" s="251">
        <v>14</v>
      </c>
      <c r="F341" s="251" t="s">
        <v>281</v>
      </c>
      <c r="G341" s="250">
        <v>1691</v>
      </c>
      <c r="H341" s="250">
        <v>554</v>
      </c>
      <c r="I341" s="250">
        <v>3231</v>
      </c>
      <c r="J341" s="252">
        <v>-8.0000000000000004E-4</v>
      </c>
      <c r="K341" s="250">
        <v>1521</v>
      </c>
      <c r="L341" s="250">
        <v>466</v>
      </c>
      <c r="M341" s="250">
        <v>2963</v>
      </c>
      <c r="N341" s="250">
        <v>170</v>
      </c>
      <c r="O341" s="250">
        <v>88</v>
      </c>
      <c r="P341" s="250">
        <v>268</v>
      </c>
      <c r="Q341" s="253">
        <v>159923</v>
      </c>
      <c r="R341" s="254">
        <v>1.063011646270752</v>
      </c>
      <c r="S341" s="254">
        <v>0.55026483535766602</v>
      </c>
      <c r="T341" s="255">
        <v>1.6758065223693848</v>
      </c>
    </row>
    <row r="342" spans="2:20">
      <c r="B342" s="256" t="s">
        <v>514</v>
      </c>
      <c r="C342" s="257" t="s">
        <v>77</v>
      </c>
      <c r="D342" s="257" t="s">
        <v>201</v>
      </c>
      <c r="E342" s="258">
        <v>15</v>
      </c>
      <c r="F342" s="258" t="s">
        <v>281</v>
      </c>
      <c r="G342" s="257">
        <v>1691</v>
      </c>
      <c r="H342" s="257">
        <v>554</v>
      </c>
      <c r="I342" s="257">
        <v>3231</v>
      </c>
      <c r="J342" s="259">
        <v>-8.0000000000000004E-4</v>
      </c>
      <c r="K342" s="257">
        <v>1521</v>
      </c>
      <c r="L342" s="257">
        <v>466</v>
      </c>
      <c r="M342" s="257">
        <v>2963</v>
      </c>
      <c r="N342" s="257">
        <v>170</v>
      </c>
      <c r="O342" s="257">
        <v>88</v>
      </c>
      <c r="P342" s="257">
        <v>268</v>
      </c>
      <c r="Q342" s="260">
        <v>159923</v>
      </c>
      <c r="R342" s="261">
        <v>1.063011646270752</v>
      </c>
      <c r="S342" s="261">
        <v>0.55026483535766602</v>
      </c>
      <c r="T342" s="262">
        <v>1.6758065223693848</v>
      </c>
    </row>
    <row r="343" spans="2:20">
      <c r="B343" s="249" t="s">
        <v>514</v>
      </c>
      <c r="C343" s="250" t="s">
        <v>121</v>
      </c>
      <c r="D343" s="250" t="s">
        <v>502</v>
      </c>
      <c r="E343" s="251">
        <v>1</v>
      </c>
      <c r="F343" s="251" t="s">
        <v>281</v>
      </c>
      <c r="G343" s="250">
        <v>1691</v>
      </c>
      <c r="H343" s="250">
        <v>554</v>
      </c>
      <c r="I343" s="250">
        <v>3231</v>
      </c>
      <c r="J343" s="252">
        <v>-0.02</v>
      </c>
      <c r="K343" s="250">
        <v>1572</v>
      </c>
      <c r="L343" s="250">
        <v>478</v>
      </c>
      <c r="M343" s="250">
        <v>3073</v>
      </c>
      <c r="N343" s="250">
        <v>119</v>
      </c>
      <c r="O343" s="250">
        <v>76</v>
      </c>
      <c r="P343" s="250">
        <v>158</v>
      </c>
      <c r="Q343" s="253">
        <v>133969</v>
      </c>
      <c r="R343" s="254">
        <v>0.88826519250869751</v>
      </c>
      <c r="S343" s="254">
        <v>0.56729543209075928</v>
      </c>
      <c r="T343" s="255">
        <v>1.1793773174285889</v>
      </c>
    </row>
    <row r="344" spans="2:20">
      <c r="B344" s="249" t="s">
        <v>514</v>
      </c>
      <c r="C344" s="250" t="s">
        <v>121</v>
      </c>
      <c r="D344" s="250" t="s">
        <v>502</v>
      </c>
      <c r="E344" s="251">
        <v>2</v>
      </c>
      <c r="F344" s="251" t="s">
        <v>281</v>
      </c>
      <c r="G344" s="250">
        <v>1691</v>
      </c>
      <c r="H344" s="250">
        <v>554</v>
      </c>
      <c r="I344" s="250">
        <v>3231</v>
      </c>
      <c r="J344" s="252">
        <v>-0.02</v>
      </c>
      <c r="K344" s="250">
        <v>1542</v>
      </c>
      <c r="L344" s="250">
        <v>471</v>
      </c>
      <c r="M344" s="250">
        <v>3022</v>
      </c>
      <c r="N344" s="250">
        <v>149</v>
      </c>
      <c r="O344" s="250">
        <v>83</v>
      </c>
      <c r="P344" s="250">
        <v>209</v>
      </c>
      <c r="Q344" s="253">
        <v>273304</v>
      </c>
      <c r="R344" s="254">
        <v>0.54518043994903564</v>
      </c>
      <c r="S344" s="254">
        <v>0.30369114875793457</v>
      </c>
      <c r="T344" s="255">
        <v>0.76471626758575439</v>
      </c>
    </row>
    <row r="345" spans="2:20">
      <c r="B345" s="249" t="s">
        <v>514</v>
      </c>
      <c r="C345" s="250" t="s">
        <v>121</v>
      </c>
      <c r="D345" s="250" t="s">
        <v>502</v>
      </c>
      <c r="E345" s="251">
        <v>3</v>
      </c>
      <c r="F345" s="251" t="s">
        <v>281</v>
      </c>
      <c r="G345" s="250">
        <v>1691</v>
      </c>
      <c r="H345" s="250">
        <v>554</v>
      </c>
      <c r="I345" s="250">
        <v>3231</v>
      </c>
      <c r="J345" s="252">
        <v>-0.02</v>
      </c>
      <c r="K345" s="250">
        <v>1523</v>
      </c>
      <c r="L345" s="250">
        <v>467</v>
      </c>
      <c r="M345" s="250">
        <v>2966</v>
      </c>
      <c r="N345" s="250">
        <v>168</v>
      </c>
      <c r="O345" s="250">
        <v>87</v>
      </c>
      <c r="P345" s="250">
        <v>265</v>
      </c>
      <c r="Q345" s="253">
        <v>170998</v>
      </c>
      <c r="R345" s="254">
        <v>0.9824676513671875</v>
      </c>
      <c r="S345" s="254">
        <v>0.50877785682678223</v>
      </c>
      <c r="T345" s="255">
        <v>1.5497257709503174</v>
      </c>
    </row>
    <row r="346" spans="2:20">
      <c r="B346" s="249" t="s">
        <v>514</v>
      </c>
      <c r="C346" s="250" t="s">
        <v>121</v>
      </c>
      <c r="D346" s="250" t="s">
        <v>502</v>
      </c>
      <c r="E346" s="251">
        <v>4</v>
      </c>
      <c r="F346" s="251" t="s">
        <v>281</v>
      </c>
      <c r="G346" s="250">
        <v>1691</v>
      </c>
      <c r="H346" s="250">
        <v>554</v>
      </c>
      <c r="I346" s="250">
        <v>3231</v>
      </c>
      <c r="J346" s="252">
        <v>-0.02</v>
      </c>
      <c r="K346" s="250">
        <v>1488</v>
      </c>
      <c r="L346" s="250">
        <v>459</v>
      </c>
      <c r="M346" s="250">
        <v>2904</v>
      </c>
      <c r="N346" s="250">
        <v>203</v>
      </c>
      <c r="O346" s="250">
        <v>95</v>
      </c>
      <c r="P346" s="250">
        <v>327</v>
      </c>
      <c r="Q346" s="253">
        <v>170998</v>
      </c>
      <c r="R346" s="254">
        <v>1.1871483325958252</v>
      </c>
      <c r="S346" s="254">
        <v>0.55556201934814453</v>
      </c>
      <c r="T346" s="255">
        <v>1.91230309009552</v>
      </c>
    </row>
    <row r="347" spans="2:20">
      <c r="B347" s="249" t="s">
        <v>514</v>
      </c>
      <c r="C347" s="250" t="s">
        <v>121</v>
      </c>
      <c r="D347" s="250" t="s">
        <v>502</v>
      </c>
      <c r="E347" s="251">
        <v>5</v>
      </c>
      <c r="F347" s="251" t="s">
        <v>281</v>
      </c>
      <c r="G347" s="250">
        <v>1691</v>
      </c>
      <c r="H347" s="250">
        <v>554</v>
      </c>
      <c r="I347" s="250">
        <v>3231</v>
      </c>
      <c r="J347" s="252">
        <v>-0.02</v>
      </c>
      <c r="K347" s="250">
        <v>1462</v>
      </c>
      <c r="L347" s="250">
        <v>452</v>
      </c>
      <c r="M347" s="250">
        <v>2845</v>
      </c>
      <c r="N347" s="250">
        <v>229</v>
      </c>
      <c r="O347" s="250">
        <v>102</v>
      </c>
      <c r="P347" s="250">
        <v>386</v>
      </c>
      <c r="Q347" s="253">
        <v>170998</v>
      </c>
      <c r="R347" s="254">
        <v>1.3391969203948975</v>
      </c>
      <c r="S347" s="254">
        <v>0.59649819135665894</v>
      </c>
      <c r="T347" s="255">
        <v>2.2573363780975342</v>
      </c>
    </row>
    <row r="348" spans="2:20">
      <c r="B348" s="249" t="s">
        <v>514</v>
      </c>
      <c r="C348" s="250" t="s">
        <v>121</v>
      </c>
      <c r="D348" s="250" t="s">
        <v>201</v>
      </c>
      <c r="E348" s="251">
        <v>6</v>
      </c>
      <c r="F348" s="251" t="s">
        <v>281</v>
      </c>
      <c r="G348" s="250">
        <v>1691</v>
      </c>
      <c r="H348" s="250">
        <v>554</v>
      </c>
      <c r="I348" s="250">
        <v>3231</v>
      </c>
      <c r="J348" s="252">
        <v>-2E-3</v>
      </c>
      <c r="K348" s="250">
        <v>1458</v>
      </c>
      <c r="L348" s="250">
        <v>452</v>
      </c>
      <c r="M348" s="250">
        <v>2838</v>
      </c>
      <c r="N348" s="250">
        <v>233</v>
      </c>
      <c r="O348" s="250">
        <v>102</v>
      </c>
      <c r="P348" s="250">
        <v>393</v>
      </c>
      <c r="Q348" s="253">
        <v>123966</v>
      </c>
      <c r="R348" s="254">
        <v>1.8795475959777832</v>
      </c>
      <c r="S348" s="254">
        <v>0.82280623912811279</v>
      </c>
      <c r="T348" s="255">
        <v>3.1702241897583008</v>
      </c>
    </row>
    <row r="349" spans="2:20">
      <c r="B349" s="249" t="s">
        <v>514</v>
      </c>
      <c r="C349" s="250" t="s">
        <v>121</v>
      </c>
      <c r="D349" s="250" t="s">
        <v>201</v>
      </c>
      <c r="E349" s="251">
        <v>7</v>
      </c>
      <c r="F349" s="251" t="s">
        <v>281</v>
      </c>
      <c r="G349" s="250">
        <v>1691</v>
      </c>
      <c r="H349" s="250">
        <v>554</v>
      </c>
      <c r="I349" s="250">
        <v>3231</v>
      </c>
      <c r="J349" s="252">
        <v>-2E-3</v>
      </c>
      <c r="K349" s="250">
        <v>1456</v>
      </c>
      <c r="L349" s="250">
        <v>452</v>
      </c>
      <c r="M349" s="250">
        <v>2836</v>
      </c>
      <c r="N349" s="250">
        <v>235</v>
      </c>
      <c r="O349" s="250">
        <v>102</v>
      </c>
      <c r="P349" s="250">
        <v>395</v>
      </c>
      <c r="Q349" s="253">
        <v>93727</v>
      </c>
      <c r="R349" s="254">
        <v>2.5072817802429199</v>
      </c>
      <c r="S349" s="254">
        <v>1.0882669687271118</v>
      </c>
      <c r="T349" s="255">
        <v>4.2143673896789551</v>
      </c>
    </row>
    <row r="350" spans="2:20">
      <c r="B350" s="249" t="s">
        <v>514</v>
      </c>
      <c r="C350" s="250" t="s">
        <v>121</v>
      </c>
      <c r="D350" s="250" t="s">
        <v>201</v>
      </c>
      <c r="E350" s="251">
        <v>8</v>
      </c>
      <c r="F350" s="251" t="s">
        <v>281</v>
      </c>
      <c r="G350" s="250">
        <v>1691</v>
      </c>
      <c r="H350" s="250">
        <v>554</v>
      </c>
      <c r="I350" s="250">
        <v>3231</v>
      </c>
      <c r="J350" s="252">
        <v>-2E-3</v>
      </c>
      <c r="K350" s="250">
        <v>1452</v>
      </c>
      <c r="L350" s="250">
        <v>447</v>
      </c>
      <c r="M350" s="250">
        <v>2829</v>
      </c>
      <c r="N350" s="250">
        <v>239</v>
      </c>
      <c r="O350" s="250">
        <v>107</v>
      </c>
      <c r="P350" s="250">
        <v>402</v>
      </c>
      <c r="Q350" s="253">
        <v>93727</v>
      </c>
      <c r="R350" s="254">
        <v>2.5499589443206787</v>
      </c>
      <c r="S350" s="254">
        <v>1.1416134834289551</v>
      </c>
      <c r="T350" s="255">
        <v>4.2890524864196777</v>
      </c>
    </row>
    <row r="351" spans="2:20">
      <c r="B351" s="249" t="s">
        <v>514</v>
      </c>
      <c r="C351" s="250" t="s">
        <v>121</v>
      </c>
      <c r="D351" s="250" t="s">
        <v>201</v>
      </c>
      <c r="E351" s="251">
        <v>9</v>
      </c>
      <c r="F351" s="251" t="s">
        <v>281</v>
      </c>
      <c r="G351" s="250">
        <v>1691</v>
      </c>
      <c r="H351" s="250">
        <v>554</v>
      </c>
      <c r="I351" s="250">
        <v>3231</v>
      </c>
      <c r="J351" s="252">
        <v>-2E-3</v>
      </c>
      <c r="K351" s="250">
        <v>1451</v>
      </c>
      <c r="L351" s="250">
        <v>446</v>
      </c>
      <c r="M351" s="250">
        <v>2822</v>
      </c>
      <c r="N351" s="250">
        <v>240</v>
      </c>
      <c r="O351" s="250">
        <v>108</v>
      </c>
      <c r="P351" s="250">
        <v>409</v>
      </c>
      <c r="Q351" s="253">
        <v>93727</v>
      </c>
      <c r="R351" s="254">
        <v>2.5606281757354736</v>
      </c>
      <c r="S351" s="254">
        <v>1.15228271484375</v>
      </c>
      <c r="T351" s="255">
        <v>4.3637371063232422</v>
      </c>
    </row>
    <row r="352" spans="2:20">
      <c r="B352" s="249" t="s">
        <v>514</v>
      </c>
      <c r="C352" s="250" t="s">
        <v>121</v>
      </c>
      <c r="D352" s="250" t="s">
        <v>201</v>
      </c>
      <c r="E352" s="251">
        <v>10</v>
      </c>
      <c r="F352" s="251" t="s">
        <v>281</v>
      </c>
      <c r="G352" s="250">
        <v>1691</v>
      </c>
      <c r="H352" s="250">
        <v>554</v>
      </c>
      <c r="I352" s="250">
        <v>3231</v>
      </c>
      <c r="J352" s="252">
        <v>-2E-3</v>
      </c>
      <c r="K352" s="250">
        <v>1450</v>
      </c>
      <c r="L352" s="250">
        <v>445</v>
      </c>
      <c r="M352" s="250">
        <v>2818</v>
      </c>
      <c r="N352" s="250">
        <v>241</v>
      </c>
      <c r="O352" s="250">
        <v>109</v>
      </c>
      <c r="P352" s="250">
        <v>413</v>
      </c>
      <c r="Q352" s="253">
        <v>93727</v>
      </c>
      <c r="R352" s="254">
        <v>2.5712976455688477</v>
      </c>
      <c r="S352" s="254">
        <v>1.1629519462585449</v>
      </c>
      <c r="T352" s="255">
        <v>4.4064145088195801</v>
      </c>
    </row>
    <row r="353" spans="2:20">
      <c r="B353" s="249" t="s">
        <v>514</v>
      </c>
      <c r="C353" s="250" t="s">
        <v>121</v>
      </c>
      <c r="D353" s="250" t="s">
        <v>201</v>
      </c>
      <c r="E353" s="251">
        <v>11</v>
      </c>
      <c r="F353" s="251" t="s">
        <v>281</v>
      </c>
      <c r="G353" s="250">
        <v>1691</v>
      </c>
      <c r="H353" s="250">
        <v>554</v>
      </c>
      <c r="I353" s="250">
        <v>3231</v>
      </c>
      <c r="J353" s="252">
        <v>-2E-3</v>
      </c>
      <c r="K353" s="250">
        <v>1449</v>
      </c>
      <c r="L353" s="250">
        <v>444</v>
      </c>
      <c r="M353" s="250">
        <v>2815</v>
      </c>
      <c r="N353" s="250">
        <v>242</v>
      </c>
      <c r="O353" s="250">
        <v>110</v>
      </c>
      <c r="P353" s="250">
        <v>416</v>
      </c>
      <c r="Q353" s="253">
        <v>123966</v>
      </c>
      <c r="R353" s="254">
        <v>1.9521481990814209</v>
      </c>
      <c r="S353" s="254">
        <v>0.88734006881713867</v>
      </c>
      <c r="T353" s="255">
        <v>3.3557586669921875</v>
      </c>
    </row>
    <row r="354" spans="2:20">
      <c r="B354" s="249" t="s">
        <v>514</v>
      </c>
      <c r="C354" s="250" t="s">
        <v>121</v>
      </c>
      <c r="D354" s="250" t="s">
        <v>201</v>
      </c>
      <c r="E354" s="251">
        <v>12</v>
      </c>
      <c r="F354" s="251" t="s">
        <v>281</v>
      </c>
      <c r="G354" s="250">
        <v>1691</v>
      </c>
      <c r="H354" s="250">
        <v>554</v>
      </c>
      <c r="I354" s="250">
        <v>3231</v>
      </c>
      <c r="J354" s="252">
        <v>-2E-3</v>
      </c>
      <c r="K354" s="250">
        <v>1444</v>
      </c>
      <c r="L354" s="250">
        <v>444</v>
      </c>
      <c r="M354" s="250">
        <v>2809</v>
      </c>
      <c r="N354" s="250">
        <v>247</v>
      </c>
      <c r="O354" s="250">
        <v>110</v>
      </c>
      <c r="P354" s="250">
        <v>422</v>
      </c>
      <c r="Q354" s="253">
        <v>93727</v>
      </c>
      <c r="R354" s="254">
        <v>2.6353132724761963</v>
      </c>
      <c r="S354" s="254">
        <v>1.1736212968826294</v>
      </c>
      <c r="T354" s="255">
        <v>4.5024380683898926</v>
      </c>
    </row>
    <row r="355" spans="2:20">
      <c r="B355" s="249" t="s">
        <v>514</v>
      </c>
      <c r="C355" s="250" t="s">
        <v>121</v>
      </c>
      <c r="D355" s="250" t="s">
        <v>201</v>
      </c>
      <c r="E355" s="251">
        <v>13</v>
      </c>
      <c r="F355" s="251" t="s">
        <v>281</v>
      </c>
      <c r="G355" s="250">
        <v>1691</v>
      </c>
      <c r="H355" s="250">
        <v>554</v>
      </c>
      <c r="I355" s="250">
        <v>3231</v>
      </c>
      <c r="J355" s="252">
        <v>-2E-3</v>
      </c>
      <c r="K355" s="250">
        <v>1442</v>
      </c>
      <c r="L355" s="250">
        <v>444</v>
      </c>
      <c r="M355" s="250">
        <v>2804</v>
      </c>
      <c r="N355" s="250">
        <v>249</v>
      </c>
      <c r="O355" s="250">
        <v>110</v>
      </c>
      <c r="P355" s="250">
        <v>427</v>
      </c>
      <c r="Q355" s="253">
        <v>93727</v>
      </c>
      <c r="R355" s="254">
        <v>2.6566517353057861</v>
      </c>
      <c r="S355" s="254">
        <v>1.1736212968826294</v>
      </c>
      <c r="T355" s="255">
        <v>4.5557842254638672</v>
      </c>
    </row>
    <row r="356" spans="2:20">
      <c r="B356" s="249" t="s">
        <v>514</v>
      </c>
      <c r="C356" s="250" t="s">
        <v>121</v>
      </c>
      <c r="D356" s="250" t="s">
        <v>201</v>
      </c>
      <c r="E356" s="251">
        <v>14</v>
      </c>
      <c r="F356" s="251" t="s">
        <v>281</v>
      </c>
      <c r="G356" s="250">
        <v>1691</v>
      </c>
      <c r="H356" s="250">
        <v>554</v>
      </c>
      <c r="I356" s="250">
        <v>3231</v>
      </c>
      <c r="J356" s="252">
        <v>-2E-3</v>
      </c>
      <c r="K356" s="250">
        <v>1433</v>
      </c>
      <c r="L356" s="250">
        <v>438</v>
      </c>
      <c r="M356" s="250">
        <v>2795</v>
      </c>
      <c r="N356" s="250">
        <v>258</v>
      </c>
      <c r="O356" s="250">
        <v>116</v>
      </c>
      <c r="P356" s="250">
        <v>436</v>
      </c>
      <c r="Q356" s="253">
        <v>93727</v>
      </c>
      <c r="R356" s="254">
        <v>2.7526752948760986</v>
      </c>
      <c r="S356" s="254">
        <v>1.2376370429992676</v>
      </c>
      <c r="T356" s="255">
        <v>4.6518077850341797</v>
      </c>
    </row>
    <row r="357" spans="2:20">
      <c r="B357" s="256" t="s">
        <v>514</v>
      </c>
      <c r="C357" s="257" t="s">
        <v>121</v>
      </c>
      <c r="D357" s="257" t="s">
        <v>201</v>
      </c>
      <c r="E357" s="258">
        <v>15</v>
      </c>
      <c r="F357" s="258" t="s">
        <v>281</v>
      </c>
      <c r="G357" s="257">
        <v>1691</v>
      </c>
      <c r="H357" s="257">
        <v>554</v>
      </c>
      <c r="I357" s="257">
        <v>3231</v>
      </c>
      <c r="J357" s="259">
        <v>-2E-3</v>
      </c>
      <c r="K357" s="257">
        <v>1433</v>
      </c>
      <c r="L357" s="257">
        <v>438</v>
      </c>
      <c r="M357" s="257">
        <v>2789</v>
      </c>
      <c r="N357" s="257">
        <v>258</v>
      </c>
      <c r="O357" s="257">
        <v>116</v>
      </c>
      <c r="P357" s="257">
        <v>442</v>
      </c>
      <c r="Q357" s="260">
        <v>93727</v>
      </c>
      <c r="R357" s="261">
        <v>2.7526752948760986</v>
      </c>
      <c r="S357" s="261">
        <v>1.2376370429992676</v>
      </c>
      <c r="T357" s="262">
        <v>4.7158236503601074</v>
      </c>
    </row>
    <row r="358" spans="2:20">
      <c r="B358" s="249" t="s">
        <v>514</v>
      </c>
      <c r="C358" s="250" t="s">
        <v>122</v>
      </c>
      <c r="D358" s="250" t="s">
        <v>502</v>
      </c>
      <c r="E358" s="251">
        <v>1</v>
      </c>
      <c r="F358" s="251" t="s">
        <v>281</v>
      </c>
      <c r="G358" s="250">
        <v>1691</v>
      </c>
      <c r="H358" s="250">
        <v>554</v>
      </c>
      <c r="I358" s="250">
        <v>3231</v>
      </c>
      <c r="J358" s="252">
        <v>-1.2E-2</v>
      </c>
      <c r="K358" s="250">
        <v>1578</v>
      </c>
      <c r="L358" s="250">
        <v>478</v>
      </c>
      <c r="M358" s="250">
        <v>3094</v>
      </c>
      <c r="N358" s="250">
        <v>113</v>
      </c>
      <c r="O358" s="250">
        <v>76</v>
      </c>
      <c r="P358" s="250">
        <v>137</v>
      </c>
      <c r="Q358" s="253">
        <v>131759</v>
      </c>
      <c r="R358" s="254">
        <v>0.85762643814086914</v>
      </c>
      <c r="S358" s="254">
        <v>0.57681065797805786</v>
      </c>
      <c r="T358" s="255">
        <v>1.0397771596908569</v>
      </c>
    </row>
    <row r="359" spans="2:20">
      <c r="B359" s="249" t="s">
        <v>514</v>
      </c>
      <c r="C359" s="250" t="s">
        <v>122</v>
      </c>
      <c r="D359" s="250" t="s">
        <v>502</v>
      </c>
      <c r="E359" s="251">
        <v>2</v>
      </c>
      <c r="F359" s="251" t="s">
        <v>281</v>
      </c>
      <c r="G359" s="250">
        <v>1691</v>
      </c>
      <c r="H359" s="250">
        <v>554</v>
      </c>
      <c r="I359" s="250">
        <v>3231</v>
      </c>
      <c r="J359" s="252">
        <v>-1.2E-2</v>
      </c>
      <c r="K359" s="250">
        <v>1567</v>
      </c>
      <c r="L359" s="250">
        <v>476</v>
      </c>
      <c r="M359" s="250">
        <v>3061</v>
      </c>
      <c r="N359" s="250">
        <v>124</v>
      </c>
      <c r="O359" s="250">
        <v>78</v>
      </c>
      <c r="P359" s="250">
        <v>170</v>
      </c>
      <c r="Q359" s="253">
        <v>273529</v>
      </c>
      <c r="R359" s="254">
        <v>0.45333400368690491</v>
      </c>
      <c r="S359" s="254">
        <v>0.28516170382499695</v>
      </c>
      <c r="T359" s="255">
        <v>0.62150633335113525</v>
      </c>
    </row>
    <row r="360" spans="2:20">
      <c r="B360" s="249" t="s">
        <v>514</v>
      </c>
      <c r="C360" s="250" t="s">
        <v>122</v>
      </c>
      <c r="D360" s="250" t="s">
        <v>502</v>
      </c>
      <c r="E360" s="251">
        <v>3</v>
      </c>
      <c r="F360" s="251" t="s">
        <v>281</v>
      </c>
      <c r="G360" s="250">
        <v>1691</v>
      </c>
      <c r="H360" s="250">
        <v>554</v>
      </c>
      <c r="I360" s="250">
        <v>3231</v>
      </c>
      <c r="J360" s="252">
        <v>-1.2E-2</v>
      </c>
      <c r="K360" s="250">
        <v>1553</v>
      </c>
      <c r="L360" s="250">
        <v>472</v>
      </c>
      <c r="M360" s="250">
        <v>3034</v>
      </c>
      <c r="N360" s="250">
        <v>138</v>
      </c>
      <c r="O360" s="250">
        <v>82</v>
      </c>
      <c r="P360" s="250">
        <v>197</v>
      </c>
      <c r="Q360" s="253">
        <v>174910</v>
      </c>
      <c r="R360" s="254">
        <v>0.78897720575332642</v>
      </c>
      <c r="S360" s="254">
        <v>0.46881252527236938</v>
      </c>
      <c r="T360" s="255">
        <v>1.1262935400009155</v>
      </c>
    </row>
    <row r="361" spans="2:20">
      <c r="B361" s="249" t="s">
        <v>514</v>
      </c>
      <c r="C361" s="250" t="s">
        <v>122</v>
      </c>
      <c r="D361" s="250" t="s">
        <v>502</v>
      </c>
      <c r="E361" s="251">
        <v>4</v>
      </c>
      <c r="F361" s="251" t="s">
        <v>281</v>
      </c>
      <c r="G361" s="250">
        <v>1691</v>
      </c>
      <c r="H361" s="250">
        <v>554</v>
      </c>
      <c r="I361" s="250">
        <v>3231</v>
      </c>
      <c r="J361" s="252">
        <v>-1.2E-2</v>
      </c>
      <c r="K361" s="250">
        <v>1533</v>
      </c>
      <c r="L361" s="250">
        <v>469</v>
      </c>
      <c r="M361" s="250">
        <v>2996</v>
      </c>
      <c r="N361" s="250">
        <v>158</v>
      </c>
      <c r="O361" s="250">
        <v>85</v>
      </c>
      <c r="P361" s="250">
        <v>235</v>
      </c>
      <c r="Q361" s="253">
        <v>174910</v>
      </c>
      <c r="R361" s="254">
        <v>0.90332174301147461</v>
      </c>
      <c r="S361" s="254">
        <v>0.48596420884132385</v>
      </c>
      <c r="T361" s="255">
        <v>1.343548059463501</v>
      </c>
    </row>
    <row r="362" spans="2:20">
      <c r="B362" s="249" t="s">
        <v>514</v>
      </c>
      <c r="C362" s="250" t="s">
        <v>122</v>
      </c>
      <c r="D362" s="250" t="s">
        <v>502</v>
      </c>
      <c r="E362" s="251">
        <v>5</v>
      </c>
      <c r="F362" s="251" t="s">
        <v>281</v>
      </c>
      <c r="G362" s="250">
        <v>1691</v>
      </c>
      <c r="H362" s="250">
        <v>554</v>
      </c>
      <c r="I362" s="250">
        <v>3231</v>
      </c>
      <c r="J362" s="252">
        <v>-1.2E-2</v>
      </c>
      <c r="K362" s="250">
        <v>1523</v>
      </c>
      <c r="L362" s="250">
        <v>467</v>
      </c>
      <c r="M362" s="250">
        <v>2966</v>
      </c>
      <c r="N362" s="250">
        <v>168</v>
      </c>
      <c r="O362" s="250">
        <v>87</v>
      </c>
      <c r="P362" s="250">
        <v>265</v>
      </c>
      <c r="Q362" s="253">
        <v>174910</v>
      </c>
      <c r="R362" s="254">
        <v>0.96049398183822632</v>
      </c>
      <c r="S362" s="254">
        <v>0.49739867448806763</v>
      </c>
      <c r="T362" s="255">
        <v>1.5150648355484009</v>
      </c>
    </row>
    <row r="363" spans="2:20">
      <c r="B363" s="249" t="s">
        <v>514</v>
      </c>
      <c r="C363" s="250" t="s">
        <v>122</v>
      </c>
      <c r="D363" s="250" t="s">
        <v>201</v>
      </c>
      <c r="E363" s="251">
        <v>6</v>
      </c>
      <c r="F363" s="251" t="s">
        <v>281</v>
      </c>
      <c r="G363" s="250">
        <v>1691</v>
      </c>
      <c r="H363" s="250">
        <v>554</v>
      </c>
      <c r="I363" s="250">
        <v>3231</v>
      </c>
      <c r="J363" s="252">
        <v>-3.0000000000000001E-3</v>
      </c>
      <c r="K363" s="250">
        <v>1518</v>
      </c>
      <c r="L363" s="250">
        <v>464</v>
      </c>
      <c r="M363" s="250">
        <v>2960</v>
      </c>
      <c r="N363" s="250">
        <v>173</v>
      </c>
      <c r="O363" s="250">
        <v>90</v>
      </c>
      <c r="P363" s="250">
        <v>271</v>
      </c>
      <c r="Q363" s="253">
        <v>117911</v>
      </c>
      <c r="R363" s="254">
        <v>1.4672082662582397</v>
      </c>
      <c r="S363" s="254">
        <v>0.76328760385513306</v>
      </c>
      <c r="T363" s="255">
        <v>2.2983436584472656</v>
      </c>
    </row>
    <row r="364" spans="2:20">
      <c r="B364" s="249" t="s">
        <v>514</v>
      </c>
      <c r="C364" s="250" t="s">
        <v>122</v>
      </c>
      <c r="D364" s="250" t="s">
        <v>201</v>
      </c>
      <c r="E364" s="251">
        <v>7</v>
      </c>
      <c r="F364" s="251" t="s">
        <v>281</v>
      </c>
      <c r="G364" s="250">
        <v>1691</v>
      </c>
      <c r="H364" s="250">
        <v>554</v>
      </c>
      <c r="I364" s="250">
        <v>3231</v>
      </c>
      <c r="J364" s="252">
        <v>-3.0000000000000001E-3</v>
      </c>
      <c r="K364" s="250">
        <v>1514</v>
      </c>
      <c r="L364" s="250">
        <v>462</v>
      </c>
      <c r="M364" s="250">
        <v>2947</v>
      </c>
      <c r="N364" s="250">
        <v>177</v>
      </c>
      <c r="O364" s="250">
        <v>92</v>
      </c>
      <c r="P364" s="250">
        <v>284</v>
      </c>
      <c r="Q364" s="253">
        <v>90500</v>
      </c>
      <c r="R364" s="254">
        <v>1.9558011293411255</v>
      </c>
      <c r="S364" s="254">
        <v>1.0165746212005615</v>
      </c>
      <c r="T364" s="255">
        <v>3.1381213665008545</v>
      </c>
    </row>
    <row r="365" spans="2:20">
      <c r="B365" s="249" t="s">
        <v>514</v>
      </c>
      <c r="C365" s="250" t="s">
        <v>122</v>
      </c>
      <c r="D365" s="250" t="s">
        <v>201</v>
      </c>
      <c r="E365" s="251">
        <v>8</v>
      </c>
      <c r="F365" s="251" t="s">
        <v>281</v>
      </c>
      <c r="G365" s="250">
        <v>1691</v>
      </c>
      <c r="H365" s="250">
        <v>554</v>
      </c>
      <c r="I365" s="250">
        <v>3231</v>
      </c>
      <c r="J365" s="252">
        <v>-3.0000000000000001E-3</v>
      </c>
      <c r="K365" s="250">
        <v>1507</v>
      </c>
      <c r="L365" s="250">
        <v>462</v>
      </c>
      <c r="M365" s="250">
        <v>2938</v>
      </c>
      <c r="N365" s="250">
        <v>184</v>
      </c>
      <c r="O365" s="250">
        <v>92</v>
      </c>
      <c r="P365" s="250">
        <v>293</v>
      </c>
      <c r="Q365" s="253">
        <v>90500</v>
      </c>
      <c r="R365" s="254">
        <v>2.033149242401123</v>
      </c>
      <c r="S365" s="254">
        <v>1.0165746212005615</v>
      </c>
      <c r="T365" s="255">
        <v>3.2375690937042236</v>
      </c>
    </row>
    <row r="366" spans="2:20">
      <c r="B366" s="249" t="s">
        <v>514</v>
      </c>
      <c r="C366" s="250" t="s">
        <v>122</v>
      </c>
      <c r="D366" s="250" t="s">
        <v>201</v>
      </c>
      <c r="E366" s="251">
        <v>9</v>
      </c>
      <c r="F366" s="251" t="s">
        <v>281</v>
      </c>
      <c r="G366" s="250">
        <v>1691</v>
      </c>
      <c r="H366" s="250">
        <v>554</v>
      </c>
      <c r="I366" s="250">
        <v>3231</v>
      </c>
      <c r="J366" s="252">
        <v>-3.0000000000000001E-3</v>
      </c>
      <c r="K366" s="250">
        <v>1505</v>
      </c>
      <c r="L366" s="250">
        <v>461</v>
      </c>
      <c r="M366" s="250">
        <v>2932</v>
      </c>
      <c r="N366" s="250">
        <v>186</v>
      </c>
      <c r="O366" s="250">
        <v>93</v>
      </c>
      <c r="P366" s="250">
        <v>299</v>
      </c>
      <c r="Q366" s="253">
        <v>90500</v>
      </c>
      <c r="R366" s="254">
        <v>2.0552487373352051</v>
      </c>
      <c r="S366" s="254">
        <v>1.0276243686676025</v>
      </c>
      <c r="T366" s="255">
        <v>3.3038673400878906</v>
      </c>
    </row>
    <row r="367" spans="2:20">
      <c r="B367" s="249" t="s">
        <v>514</v>
      </c>
      <c r="C367" s="250" t="s">
        <v>122</v>
      </c>
      <c r="D367" s="250" t="s">
        <v>201</v>
      </c>
      <c r="E367" s="251">
        <v>10</v>
      </c>
      <c r="F367" s="251" t="s">
        <v>281</v>
      </c>
      <c r="G367" s="250">
        <v>1691</v>
      </c>
      <c r="H367" s="250">
        <v>554</v>
      </c>
      <c r="I367" s="250">
        <v>3231</v>
      </c>
      <c r="J367" s="252">
        <v>-3.0000000000000001E-3</v>
      </c>
      <c r="K367" s="250">
        <v>1498</v>
      </c>
      <c r="L367" s="250">
        <v>461</v>
      </c>
      <c r="M367" s="250">
        <v>2921</v>
      </c>
      <c r="N367" s="250">
        <v>193</v>
      </c>
      <c r="O367" s="250">
        <v>93</v>
      </c>
      <c r="P367" s="250">
        <v>310</v>
      </c>
      <c r="Q367" s="253">
        <v>90500</v>
      </c>
      <c r="R367" s="254">
        <v>2.1325967311859131</v>
      </c>
      <c r="S367" s="254">
        <v>1.0276243686676025</v>
      </c>
      <c r="T367" s="255">
        <v>3.4254143238067627</v>
      </c>
    </row>
    <row r="368" spans="2:20">
      <c r="B368" s="249" t="s">
        <v>514</v>
      </c>
      <c r="C368" s="250" t="s">
        <v>122</v>
      </c>
      <c r="D368" s="250" t="s">
        <v>201</v>
      </c>
      <c r="E368" s="251">
        <v>11</v>
      </c>
      <c r="F368" s="251" t="s">
        <v>281</v>
      </c>
      <c r="G368" s="250">
        <v>1691</v>
      </c>
      <c r="H368" s="250">
        <v>554</v>
      </c>
      <c r="I368" s="250">
        <v>3231</v>
      </c>
      <c r="J368" s="252">
        <v>-3.0000000000000001E-3</v>
      </c>
      <c r="K368" s="250">
        <v>1495</v>
      </c>
      <c r="L368" s="250">
        <v>459</v>
      </c>
      <c r="M368" s="250">
        <v>2916</v>
      </c>
      <c r="N368" s="250">
        <v>196</v>
      </c>
      <c r="O368" s="250">
        <v>95</v>
      </c>
      <c r="P368" s="250">
        <v>315</v>
      </c>
      <c r="Q368" s="253">
        <v>117911</v>
      </c>
      <c r="R368" s="254">
        <v>1.6622707843780518</v>
      </c>
      <c r="S368" s="254">
        <v>0.80569243431091309</v>
      </c>
      <c r="T368" s="255">
        <v>2.671506404876709</v>
      </c>
    </row>
    <row r="369" spans="2:23">
      <c r="B369" s="249" t="s">
        <v>514</v>
      </c>
      <c r="C369" s="250" t="s">
        <v>122</v>
      </c>
      <c r="D369" s="250" t="s">
        <v>201</v>
      </c>
      <c r="E369" s="251">
        <v>12</v>
      </c>
      <c r="F369" s="251" t="s">
        <v>281</v>
      </c>
      <c r="G369" s="250">
        <v>1691</v>
      </c>
      <c r="H369" s="250">
        <v>554</v>
      </c>
      <c r="I369" s="250">
        <v>3231</v>
      </c>
      <c r="J369" s="252">
        <v>-3.0000000000000001E-3</v>
      </c>
      <c r="K369" s="250">
        <v>1488</v>
      </c>
      <c r="L369" s="250">
        <v>459</v>
      </c>
      <c r="M369" s="250">
        <v>2903</v>
      </c>
      <c r="N369" s="250">
        <v>203</v>
      </c>
      <c r="O369" s="250">
        <v>95</v>
      </c>
      <c r="P369" s="250">
        <v>328</v>
      </c>
      <c r="Q369" s="253">
        <v>90500</v>
      </c>
      <c r="R369" s="254">
        <v>2.2430939674377441</v>
      </c>
      <c r="S369" s="254">
        <v>1.049723744392395</v>
      </c>
      <c r="T369" s="255">
        <v>3.6243093013763428</v>
      </c>
    </row>
    <row r="370" spans="2:23">
      <c r="B370" s="249" t="s">
        <v>514</v>
      </c>
      <c r="C370" s="250" t="s">
        <v>122</v>
      </c>
      <c r="D370" s="250" t="s">
        <v>201</v>
      </c>
      <c r="E370" s="251">
        <v>13</v>
      </c>
      <c r="F370" s="251" t="s">
        <v>281</v>
      </c>
      <c r="G370" s="250">
        <v>1691</v>
      </c>
      <c r="H370" s="250">
        <v>554</v>
      </c>
      <c r="I370" s="250">
        <v>3231</v>
      </c>
      <c r="J370" s="252">
        <v>-3.0000000000000001E-3</v>
      </c>
      <c r="K370" s="250">
        <v>1487</v>
      </c>
      <c r="L370" s="250">
        <v>459</v>
      </c>
      <c r="M370" s="250">
        <v>2898</v>
      </c>
      <c r="N370" s="250">
        <v>204</v>
      </c>
      <c r="O370" s="250">
        <v>95</v>
      </c>
      <c r="P370" s="250">
        <v>333</v>
      </c>
      <c r="Q370" s="253">
        <v>90500</v>
      </c>
      <c r="R370" s="254">
        <v>2.2541434764862061</v>
      </c>
      <c r="S370" s="254">
        <v>1.049723744392395</v>
      </c>
      <c r="T370" s="255">
        <v>3.6795580387115479</v>
      </c>
    </row>
    <row r="371" spans="2:23">
      <c r="B371" s="249" t="s">
        <v>514</v>
      </c>
      <c r="C371" s="250" t="s">
        <v>122</v>
      </c>
      <c r="D371" s="250" t="s">
        <v>201</v>
      </c>
      <c r="E371" s="251">
        <v>14</v>
      </c>
      <c r="F371" s="251" t="s">
        <v>281</v>
      </c>
      <c r="G371" s="250">
        <v>1691</v>
      </c>
      <c r="H371" s="250">
        <v>554</v>
      </c>
      <c r="I371" s="250">
        <v>3231</v>
      </c>
      <c r="J371" s="252">
        <v>-3.0000000000000001E-3</v>
      </c>
      <c r="K371" s="250">
        <v>1478</v>
      </c>
      <c r="L371" s="250">
        <v>457</v>
      </c>
      <c r="M371" s="250">
        <v>2883</v>
      </c>
      <c r="N371" s="250">
        <v>213</v>
      </c>
      <c r="O371" s="250">
        <v>97</v>
      </c>
      <c r="P371" s="250">
        <v>348</v>
      </c>
      <c r="Q371" s="253">
        <v>90500</v>
      </c>
      <c r="R371" s="254">
        <v>2.3535912036895752</v>
      </c>
      <c r="S371" s="254">
        <v>1.0718231201171875</v>
      </c>
      <c r="T371" s="255">
        <v>3.8453037738800049</v>
      </c>
    </row>
    <row r="372" spans="2:23">
      <c r="B372" s="249" t="s">
        <v>514</v>
      </c>
      <c r="C372" s="250" t="s">
        <v>122</v>
      </c>
      <c r="D372" s="250" t="s">
        <v>201</v>
      </c>
      <c r="E372" s="251">
        <v>15</v>
      </c>
      <c r="F372" s="251" t="s">
        <v>281</v>
      </c>
      <c r="G372" s="250">
        <v>1691</v>
      </c>
      <c r="H372" s="250">
        <v>554</v>
      </c>
      <c r="I372" s="250">
        <v>3231</v>
      </c>
      <c r="J372" s="252">
        <v>-3.0000000000000001E-3</v>
      </c>
      <c r="K372" s="250">
        <v>1476</v>
      </c>
      <c r="L372" s="250">
        <v>456</v>
      </c>
      <c r="M372" s="250">
        <v>2878</v>
      </c>
      <c r="N372" s="250">
        <v>215</v>
      </c>
      <c r="O372" s="250">
        <v>98</v>
      </c>
      <c r="P372" s="250">
        <v>353</v>
      </c>
      <c r="Q372" s="253">
        <v>90500</v>
      </c>
      <c r="R372" s="254">
        <v>2.3756904602050781</v>
      </c>
      <c r="S372" s="254">
        <v>1.0828729867935181</v>
      </c>
      <c r="T372" s="255">
        <v>3.90055251121521</v>
      </c>
    </row>
    <row r="373" spans="2:23">
      <c r="B373" s="240"/>
      <c r="C373" s="240"/>
      <c r="D373" s="240"/>
      <c r="E373" s="241"/>
      <c r="F373" s="241"/>
      <c r="G373" s="240"/>
      <c r="H373" s="240"/>
      <c r="I373" s="240"/>
      <c r="J373" s="240"/>
      <c r="K373" s="240"/>
      <c r="L373" s="240"/>
      <c r="M373" s="242"/>
      <c r="N373" s="240"/>
      <c r="O373" s="240"/>
      <c r="P373" s="240"/>
      <c r="Q373" s="240"/>
      <c r="R373" s="240"/>
      <c r="S373" s="240"/>
      <c r="T373" s="243"/>
      <c r="U373" s="244"/>
      <c r="V373" s="244"/>
      <c r="W373" s="244"/>
    </row>
    <row r="374" spans="2:23">
      <c r="B374" s="240"/>
      <c r="C374" s="240"/>
      <c r="D374" s="240"/>
      <c r="E374" s="241"/>
      <c r="F374" s="241"/>
      <c r="G374" s="240"/>
      <c r="H374" s="240"/>
      <c r="I374" s="240"/>
      <c r="J374" s="240"/>
      <c r="K374" s="240"/>
      <c r="L374" s="240"/>
      <c r="M374" s="242"/>
      <c r="N374" s="240"/>
      <c r="O374" s="240"/>
      <c r="P374" s="240"/>
      <c r="Q374" s="240"/>
      <c r="R374" s="240"/>
      <c r="S374" s="240"/>
      <c r="T374" s="243"/>
      <c r="U374" s="244"/>
      <c r="V374" s="244"/>
      <c r="W374" s="244"/>
    </row>
    <row r="375" spans="2:23" ht="19.5">
      <c r="B375" s="273" t="s">
        <v>583</v>
      </c>
      <c r="C375" s="240"/>
      <c r="D375" s="240"/>
      <c r="E375" s="241"/>
      <c r="F375" s="241"/>
      <c r="G375" s="240"/>
      <c r="H375" s="240"/>
      <c r="I375" s="240"/>
      <c r="J375" s="240"/>
      <c r="K375" s="240"/>
      <c r="L375" s="240"/>
      <c r="M375" s="242"/>
      <c r="N375" s="240"/>
      <c r="O375" s="240"/>
      <c r="P375" s="240"/>
      <c r="Q375" s="240"/>
      <c r="R375" s="240"/>
      <c r="S375" s="240"/>
      <c r="T375" s="243"/>
      <c r="U375" s="244"/>
      <c r="V375" s="244"/>
      <c r="W375" s="244"/>
    </row>
    <row r="376" spans="2:23">
      <c r="B376" s="240"/>
      <c r="C376" s="240"/>
      <c r="D376" s="240"/>
      <c r="E376" s="241"/>
      <c r="F376" s="241"/>
      <c r="G376" s="240"/>
      <c r="H376" s="240"/>
      <c r="I376" s="240"/>
      <c r="J376" s="240"/>
      <c r="K376" s="240"/>
      <c r="L376" s="240"/>
      <c r="M376" s="242"/>
      <c r="N376" s="240"/>
      <c r="O376" s="240"/>
      <c r="P376" s="240"/>
      <c r="Q376" s="240"/>
      <c r="R376" s="240"/>
      <c r="S376" s="240"/>
      <c r="T376" s="243"/>
      <c r="U376" s="244"/>
      <c r="V376" s="244"/>
      <c r="W376" s="244"/>
    </row>
    <row r="377" spans="2:23">
      <c r="B377" s="240"/>
      <c r="C377" s="240"/>
      <c r="D377" s="240"/>
      <c r="E377" s="241"/>
      <c r="F377" s="241"/>
      <c r="G377" s="240"/>
      <c r="H377" s="240"/>
      <c r="I377" s="240"/>
      <c r="J377" s="240"/>
      <c r="K377" s="240"/>
      <c r="L377" s="240"/>
      <c r="M377" s="242"/>
      <c r="N377" s="240"/>
      <c r="O377" s="240"/>
      <c r="P377" s="240"/>
      <c r="Q377" s="240"/>
      <c r="R377" s="240"/>
      <c r="S377" s="240"/>
      <c r="T377" s="243"/>
      <c r="U377" s="244"/>
      <c r="V377" s="244"/>
      <c r="W377" s="244"/>
    </row>
    <row r="378" spans="2:23">
      <c r="B378" s="240"/>
      <c r="C378" s="240"/>
      <c r="D378" s="240"/>
      <c r="E378" s="241"/>
      <c r="F378" s="241"/>
      <c r="G378" s="240"/>
      <c r="H378" s="240"/>
      <c r="I378" s="240"/>
      <c r="J378" s="240"/>
      <c r="K378" s="240"/>
      <c r="L378" s="240"/>
      <c r="M378" s="242"/>
      <c r="N378" s="240"/>
      <c r="O378" s="240"/>
      <c r="P378" s="240"/>
      <c r="Q378" s="240"/>
      <c r="R378" s="240"/>
      <c r="S378" s="240"/>
      <c r="T378" s="243"/>
      <c r="U378" s="244"/>
      <c r="V378" s="244"/>
      <c r="W378" s="244"/>
    </row>
    <row r="379" spans="2:23">
      <c r="B379" s="240"/>
      <c r="C379" s="240"/>
      <c r="D379" s="240"/>
      <c r="E379" s="241"/>
      <c r="F379" s="241"/>
      <c r="G379" s="240"/>
      <c r="H379" s="240"/>
      <c r="I379" s="240"/>
      <c r="J379" s="240"/>
      <c r="K379" s="240"/>
      <c r="L379" s="240"/>
      <c r="M379" s="242"/>
      <c r="N379" s="240"/>
      <c r="O379" s="240"/>
      <c r="P379" s="240"/>
      <c r="Q379" s="240"/>
      <c r="R379" s="240"/>
      <c r="S379" s="240"/>
      <c r="T379" s="243"/>
      <c r="U379" s="244"/>
      <c r="V379" s="244"/>
      <c r="W379" s="244"/>
    </row>
    <row r="380" spans="2:23">
      <c r="B380" s="240"/>
      <c r="C380" s="240"/>
      <c r="D380" s="240"/>
      <c r="E380" s="241"/>
      <c r="F380" s="241"/>
      <c r="G380" s="240"/>
      <c r="H380" s="240"/>
      <c r="I380" s="240"/>
      <c r="J380" s="240"/>
      <c r="K380" s="240"/>
      <c r="L380" s="240"/>
      <c r="M380" s="242"/>
      <c r="N380" s="240"/>
      <c r="O380" s="240"/>
      <c r="P380" s="240"/>
      <c r="Q380" s="240"/>
      <c r="R380" s="240"/>
      <c r="S380" s="240"/>
      <c r="T380" s="243"/>
      <c r="U380" s="244"/>
      <c r="V380" s="244"/>
      <c r="W380" s="244"/>
    </row>
    <row r="381" spans="2:23">
      <c r="B381" s="240"/>
      <c r="C381" s="240"/>
      <c r="D381" s="240"/>
      <c r="E381" s="241"/>
      <c r="F381" s="241"/>
      <c r="G381" s="240"/>
      <c r="H381" s="240"/>
      <c r="I381" s="240"/>
      <c r="J381" s="240"/>
      <c r="K381" s="240"/>
      <c r="L381" s="240"/>
      <c r="M381" s="242"/>
      <c r="N381" s="240"/>
      <c r="O381" s="240"/>
      <c r="P381" s="240"/>
      <c r="Q381" s="240"/>
      <c r="R381" s="240"/>
      <c r="S381" s="240"/>
      <c r="T381" s="243"/>
      <c r="U381" s="244"/>
      <c r="V381" s="244"/>
      <c r="W381" s="244"/>
    </row>
    <row r="382" spans="2:23">
      <c r="B382" s="240"/>
      <c r="C382" s="240"/>
      <c r="D382" s="240"/>
      <c r="E382" s="241"/>
      <c r="F382" s="241"/>
      <c r="G382" s="240"/>
      <c r="H382" s="240"/>
      <c r="I382" s="240"/>
      <c r="J382" s="240"/>
      <c r="K382" s="240"/>
      <c r="L382" s="240"/>
      <c r="M382" s="242"/>
      <c r="N382" s="240"/>
      <c r="O382" s="240"/>
      <c r="P382" s="240"/>
      <c r="Q382" s="240"/>
      <c r="R382" s="240"/>
      <c r="S382" s="240"/>
      <c r="T382" s="243"/>
      <c r="U382" s="244"/>
      <c r="V382" s="244"/>
      <c r="W382" s="244"/>
    </row>
    <row r="383" spans="2:23" ht="84.95" customHeight="1">
      <c r="B383" s="266" t="s">
        <v>499</v>
      </c>
      <c r="C383" s="266" t="s">
        <v>120</v>
      </c>
      <c r="D383" s="266" t="s">
        <v>500</v>
      </c>
      <c r="E383" s="266" t="s">
        <v>198</v>
      </c>
      <c r="F383" s="267" t="s">
        <v>592</v>
      </c>
      <c r="G383" s="267" t="s">
        <v>585</v>
      </c>
      <c r="H383" s="267" t="s">
        <v>576</v>
      </c>
      <c r="I383" s="267" t="s">
        <v>577</v>
      </c>
      <c r="J383" s="268" t="s">
        <v>506</v>
      </c>
      <c r="K383" s="267" t="s">
        <v>578</v>
      </c>
      <c r="L383" s="267" t="s">
        <v>579</v>
      </c>
      <c r="M383" s="267" t="s">
        <v>580</v>
      </c>
      <c r="N383" s="267" t="s">
        <v>566</v>
      </c>
      <c r="O383" s="267" t="s">
        <v>567</v>
      </c>
      <c r="P383" s="267" t="s">
        <v>568</v>
      </c>
      <c r="Q383" s="269" t="s">
        <v>364</v>
      </c>
      <c r="R383" s="270" t="s">
        <v>569</v>
      </c>
      <c r="S383" s="270" t="s">
        <v>570</v>
      </c>
      <c r="T383" s="270" t="s">
        <v>571</v>
      </c>
    </row>
    <row r="384" spans="2:23">
      <c r="B384" s="240" t="s">
        <v>501</v>
      </c>
      <c r="C384" s="240" t="s">
        <v>242</v>
      </c>
      <c r="D384" s="240" t="s">
        <v>502</v>
      </c>
      <c r="E384" s="272" t="s">
        <v>522</v>
      </c>
      <c r="F384" s="241" t="s">
        <v>281</v>
      </c>
      <c r="G384" s="240">
        <v>56370</v>
      </c>
      <c r="H384" s="240">
        <v>25770</v>
      </c>
      <c r="I384" s="240">
        <v>97985</v>
      </c>
      <c r="J384" s="271">
        <v>-0.33</v>
      </c>
      <c r="K384" s="2">
        <v>44673</v>
      </c>
      <c r="L384" s="240">
        <v>19978</v>
      </c>
      <c r="M384" s="240">
        <v>78513</v>
      </c>
      <c r="N384" s="240">
        <v>11697</v>
      </c>
      <c r="O384" s="240">
        <v>5792</v>
      </c>
      <c r="P384" s="240">
        <v>19472</v>
      </c>
      <c r="Q384" s="243">
        <v>4748445</v>
      </c>
      <c r="R384" s="244">
        <v>2.4633326530456543</v>
      </c>
      <c r="S384" s="244">
        <v>1.219767689704895</v>
      </c>
      <c r="T384" s="244">
        <v>4.1007108688354492</v>
      </c>
    </row>
    <row r="385" spans="2:20">
      <c r="B385" s="240" t="s">
        <v>501</v>
      </c>
      <c r="C385" s="240" t="s">
        <v>242</v>
      </c>
      <c r="D385" s="240" t="s">
        <v>201</v>
      </c>
      <c r="E385" s="240" t="s">
        <v>524</v>
      </c>
      <c r="F385" s="241" t="s">
        <v>281</v>
      </c>
      <c r="G385" s="240">
        <v>112740</v>
      </c>
      <c r="H385" s="240">
        <v>51540</v>
      </c>
      <c r="I385" s="240">
        <v>195970</v>
      </c>
      <c r="J385" s="271">
        <v>-0.12399999999999997</v>
      </c>
      <c r="K385" s="2">
        <v>72262</v>
      </c>
      <c r="L385" s="240">
        <v>32338</v>
      </c>
      <c r="M385" s="240">
        <v>127057</v>
      </c>
      <c r="N385" s="240">
        <v>40478</v>
      </c>
      <c r="O385" s="240">
        <v>19202</v>
      </c>
      <c r="P385" s="240">
        <v>68913</v>
      </c>
      <c r="Q385" s="243">
        <v>5273703</v>
      </c>
      <c r="R385" s="244">
        <v>7.6754417419433594</v>
      </c>
      <c r="S385" s="244">
        <v>3.6410849094390869</v>
      </c>
      <c r="T385" s="244">
        <v>13.067288398742676</v>
      </c>
    </row>
    <row r="386" spans="2:20">
      <c r="B386" s="240" t="s">
        <v>501</v>
      </c>
      <c r="C386" s="240" t="s">
        <v>242</v>
      </c>
      <c r="D386" s="240" t="s">
        <v>520</v>
      </c>
      <c r="E386" s="240" t="s">
        <v>523</v>
      </c>
      <c r="F386" s="241" t="s">
        <v>281</v>
      </c>
      <c r="G386" s="240">
        <v>169110</v>
      </c>
      <c r="H386" s="240">
        <v>77310</v>
      </c>
      <c r="I386" s="240">
        <v>293955</v>
      </c>
      <c r="J386" s="271">
        <v>-0.45400000000000024</v>
      </c>
      <c r="K386" s="2">
        <v>116935</v>
      </c>
      <c r="L386" s="240">
        <v>52316</v>
      </c>
      <c r="M386" s="240">
        <v>205570</v>
      </c>
      <c r="N386" s="240">
        <v>52175</v>
      </c>
      <c r="O386" s="240">
        <v>24994</v>
      </c>
      <c r="P386" s="240">
        <v>88385</v>
      </c>
      <c r="Q386" s="243">
        <v>10022148</v>
      </c>
      <c r="R386" s="244">
        <v>5.2059698104858398</v>
      </c>
      <c r="S386" s="244">
        <v>2.4938764572143555</v>
      </c>
      <c r="T386" s="244">
        <v>8.8189678192138672</v>
      </c>
    </row>
    <row r="387" spans="2:20">
      <c r="B387" s="240" t="s">
        <v>501</v>
      </c>
      <c r="C387" s="240" t="s">
        <v>282</v>
      </c>
      <c r="D387" s="240" t="s">
        <v>502</v>
      </c>
      <c r="E387" s="272" t="s">
        <v>522</v>
      </c>
      <c r="F387" s="241" t="s">
        <v>281</v>
      </c>
      <c r="G387" s="240">
        <v>56370</v>
      </c>
      <c r="H387" s="240">
        <v>25770</v>
      </c>
      <c r="I387" s="240">
        <v>97985</v>
      </c>
      <c r="J387" s="271">
        <v>-0.182</v>
      </c>
      <c r="K387" s="2">
        <v>48887</v>
      </c>
      <c r="L387" s="240">
        <v>21852</v>
      </c>
      <c r="M387" s="240">
        <v>85938</v>
      </c>
      <c r="N387" s="240">
        <v>7483</v>
      </c>
      <c r="O387" s="240">
        <v>3918</v>
      </c>
      <c r="P387" s="240">
        <v>12047</v>
      </c>
      <c r="Q387" s="243">
        <v>1076644</v>
      </c>
      <c r="R387" s="244">
        <v>6.9503011703491211</v>
      </c>
      <c r="S387" s="244">
        <v>3.6390860080718994</v>
      </c>
      <c r="T387" s="244">
        <v>11.189399719238281</v>
      </c>
    </row>
    <row r="388" spans="2:20">
      <c r="B388" s="240" t="s">
        <v>501</v>
      </c>
      <c r="C388" s="240" t="s">
        <v>282</v>
      </c>
      <c r="D388" s="240" t="s">
        <v>201</v>
      </c>
      <c r="E388" s="240" t="s">
        <v>524</v>
      </c>
      <c r="F388" s="241" t="s">
        <v>281</v>
      </c>
      <c r="G388" s="240">
        <v>112740</v>
      </c>
      <c r="H388" s="240">
        <v>51540</v>
      </c>
      <c r="I388" s="240">
        <v>195970</v>
      </c>
      <c r="J388" s="271">
        <v>-9.0999999999999984E-2</v>
      </c>
      <c r="K388" s="2">
        <v>86321</v>
      </c>
      <c r="L388" s="240">
        <v>38642</v>
      </c>
      <c r="M388" s="240">
        <v>151641</v>
      </c>
      <c r="N388" s="240">
        <v>26419</v>
      </c>
      <c r="O388" s="240">
        <v>12898</v>
      </c>
      <c r="P388" s="240">
        <v>44329</v>
      </c>
      <c r="Q388" s="243">
        <v>1521688</v>
      </c>
      <c r="R388" s="244">
        <v>17.361640930175781</v>
      </c>
      <c r="S388" s="244">
        <v>8.4761133193969727</v>
      </c>
      <c r="T388" s="244">
        <v>29.131464004516602</v>
      </c>
    </row>
    <row r="389" spans="2:20">
      <c r="B389" s="240" t="s">
        <v>501</v>
      </c>
      <c r="C389" s="240" t="s">
        <v>282</v>
      </c>
      <c r="D389" s="240" t="s">
        <v>520</v>
      </c>
      <c r="E389" s="240" t="s">
        <v>523</v>
      </c>
      <c r="F389" s="241" t="s">
        <v>281</v>
      </c>
      <c r="G389" s="240">
        <v>169110</v>
      </c>
      <c r="H389" s="240">
        <v>77310</v>
      </c>
      <c r="I389" s="240">
        <v>293955</v>
      </c>
      <c r="J389" s="271">
        <v>-0.27299999999999996</v>
      </c>
      <c r="K389" s="2">
        <v>135208</v>
      </c>
      <c r="L389" s="240">
        <v>60494</v>
      </c>
      <c r="M389" s="240">
        <v>237579</v>
      </c>
      <c r="N389" s="240">
        <v>33902</v>
      </c>
      <c r="O389" s="240">
        <v>16816</v>
      </c>
      <c r="P389" s="240">
        <v>56376</v>
      </c>
      <c r="Q389" s="243">
        <v>2598332</v>
      </c>
      <c r="R389" s="244">
        <v>13.047601699829102</v>
      </c>
      <c r="S389" s="244">
        <v>6.4718441963195801</v>
      </c>
      <c r="T389" s="244">
        <v>21.696996688842773</v>
      </c>
    </row>
    <row r="390" spans="2:20">
      <c r="B390" s="240" t="s">
        <v>501</v>
      </c>
      <c r="C390" s="240" t="s">
        <v>77</v>
      </c>
      <c r="D390" s="240" t="s">
        <v>502</v>
      </c>
      <c r="E390" s="272" t="s">
        <v>522</v>
      </c>
      <c r="F390" s="241" t="s">
        <v>281</v>
      </c>
      <c r="G390" s="240">
        <v>56370</v>
      </c>
      <c r="H390" s="240">
        <v>25770</v>
      </c>
      <c r="I390" s="240">
        <v>97985</v>
      </c>
      <c r="J390" s="271">
        <v>-5.4000000000000006E-2</v>
      </c>
      <c r="K390" s="2">
        <v>52632</v>
      </c>
      <c r="L390" s="240">
        <v>23483</v>
      </c>
      <c r="M390" s="240">
        <v>92662</v>
      </c>
      <c r="N390" s="240">
        <v>3738</v>
      </c>
      <c r="O390" s="240">
        <v>2287</v>
      </c>
      <c r="P390" s="240">
        <v>5323</v>
      </c>
      <c r="Q390" s="243">
        <v>1821516</v>
      </c>
      <c r="R390" s="244">
        <v>2.0521368980407715</v>
      </c>
      <c r="S390" s="244">
        <v>1.2555475234985352</v>
      </c>
      <c r="T390" s="244">
        <v>2.9222910404205322</v>
      </c>
    </row>
    <row r="391" spans="2:20">
      <c r="B391" s="240" t="s">
        <v>501</v>
      </c>
      <c r="C391" s="240" t="s">
        <v>77</v>
      </c>
      <c r="D391" s="240" t="s">
        <v>201</v>
      </c>
      <c r="E391" s="240" t="s">
        <v>524</v>
      </c>
      <c r="F391" s="241" t="s">
        <v>281</v>
      </c>
      <c r="G391" s="240">
        <v>112740</v>
      </c>
      <c r="H391" s="240">
        <v>51540</v>
      </c>
      <c r="I391" s="240">
        <v>195970</v>
      </c>
      <c r="J391" s="271">
        <v>-8.0000000000000019E-3</v>
      </c>
      <c r="K391" s="2">
        <v>102821</v>
      </c>
      <c r="L391" s="240">
        <v>45938</v>
      </c>
      <c r="M391" s="240">
        <v>180908</v>
      </c>
      <c r="N391" s="240">
        <v>9919</v>
      </c>
      <c r="O391" s="240">
        <v>5602</v>
      </c>
      <c r="P391" s="240">
        <v>15062</v>
      </c>
      <c r="Q391" s="243">
        <v>1794453</v>
      </c>
      <c r="R391" s="244">
        <v>5.5275897979736328</v>
      </c>
      <c r="S391" s="244">
        <v>3.121842622756958</v>
      </c>
      <c r="T391" s="244">
        <v>8.3936443328857422</v>
      </c>
    </row>
    <row r="392" spans="2:20">
      <c r="B392" s="240" t="s">
        <v>501</v>
      </c>
      <c r="C392" s="240" t="s">
        <v>77</v>
      </c>
      <c r="D392" s="240" t="s">
        <v>520</v>
      </c>
      <c r="E392" s="240" t="s">
        <v>523</v>
      </c>
      <c r="F392" s="241" t="s">
        <v>281</v>
      </c>
      <c r="G392" s="240">
        <v>169110</v>
      </c>
      <c r="H392" s="240">
        <v>77310</v>
      </c>
      <c r="I392" s="240">
        <v>293955</v>
      </c>
      <c r="J392" s="271">
        <v>-6.2000000000000027E-2</v>
      </c>
      <c r="K392" s="2">
        <v>155453</v>
      </c>
      <c r="L392" s="240">
        <v>69421</v>
      </c>
      <c r="M392" s="240">
        <v>273570</v>
      </c>
      <c r="N392" s="240">
        <v>13657</v>
      </c>
      <c r="O392" s="240">
        <v>7889</v>
      </c>
      <c r="P392" s="240">
        <v>20385</v>
      </c>
      <c r="Q392" s="243">
        <v>3615969</v>
      </c>
      <c r="R392" s="244">
        <v>3.7768576145172119</v>
      </c>
      <c r="S392" s="244">
        <v>2.1817111968994141</v>
      </c>
      <c r="T392" s="244">
        <v>5.6374931335449219</v>
      </c>
    </row>
    <row r="393" spans="2:20">
      <c r="B393" s="240" t="s">
        <v>501</v>
      </c>
      <c r="C393" s="240" t="s">
        <v>121</v>
      </c>
      <c r="D393" s="240" t="s">
        <v>502</v>
      </c>
      <c r="E393" s="272" t="s">
        <v>522</v>
      </c>
      <c r="F393" s="241" t="s">
        <v>281</v>
      </c>
      <c r="G393" s="240">
        <v>56370</v>
      </c>
      <c r="H393" s="240">
        <v>25770</v>
      </c>
      <c r="I393" s="240">
        <v>97985</v>
      </c>
      <c r="J393" s="271">
        <v>-0.1</v>
      </c>
      <c r="K393" s="2">
        <v>51312</v>
      </c>
      <c r="L393" s="240">
        <v>22915</v>
      </c>
      <c r="M393" s="240">
        <v>90277</v>
      </c>
      <c r="N393" s="240">
        <v>5058</v>
      </c>
      <c r="O393" s="240">
        <v>2855</v>
      </c>
      <c r="P393" s="240">
        <v>7708</v>
      </c>
      <c r="Q393" s="243">
        <v>920267</v>
      </c>
      <c r="R393" s="244">
        <v>5.4962310791015625</v>
      </c>
      <c r="S393" s="244">
        <v>3.1023604869842529</v>
      </c>
      <c r="T393" s="244">
        <v>8.3758296966552734</v>
      </c>
    </row>
    <row r="394" spans="2:20">
      <c r="B394" s="240" t="s">
        <v>501</v>
      </c>
      <c r="C394" s="240" t="s">
        <v>121</v>
      </c>
      <c r="D394" s="240" t="s">
        <v>201</v>
      </c>
      <c r="E394" s="240" t="s">
        <v>524</v>
      </c>
      <c r="F394" s="241" t="s">
        <v>281</v>
      </c>
      <c r="G394" s="240">
        <v>112740</v>
      </c>
      <c r="H394" s="240">
        <v>51540</v>
      </c>
      <c r="I394" s="240">
        <v>195970</v>
      </c>
      <c r="J394" s="271">
        <v>-2.0000000000000004E-2</v>
      </c>
      <c r="K394" s="2">
        <v>97739</v>
      </c>
      <c r="L394" s="240">
        <v>43655</v>
      </c>
      <c r="M394" s="240">
        <v>171648</v>
      </c>
      <c r="N394" s="240">
        <v>15001</v>
      </c>
      <c r="O394" s="240">
        <v>7885</v>
      </c>
      <c r="P394" s="240">
        <v>24322</v>
      </c>
      <c r="Q394" s="243">
        <v>997748</v>
      </c>
      <c r="R394" s="244">
        <v>15.034858703613281</v>
      </c>
      <c r="S394" s="244">
        <v>7.9027972221374512</v>
      </c>
      <c r="T394" s="244">
        <v>24.376895904541016</v>
      </c>
    </row>
    <row r="395" spans="2:20">
      <c r="B395" s="240" t="s">
        <v>501</v>
      </c>
      <c r="C395" s="240" t="s">
        <v>121</v>
      </c>
      <c r="D395" s="240" t="s">
        <v>520</v>
      </c>
      <c r="E395" s="240" t="s">
        <v>523</v>
      </c>
      <c r="F395" s="241" t="s">
        <v>281</v>
      </c>
      <c r="G395" s="240">
        <v>169110</v>
      </c>
      <c r="H395" s="240">
        <v>77310</v>
      </c>
      <c r="I395" s="240">
        <v>293955</v>
      </c>
      <c r="J395" s="271">
        <v>-0.12000000000000002</v>
      </c>
      <c r="K395" s="2">
        <v>149051</v>
      </c>
      <c r="L395" s="240">
        <v>66570</v>
      </c>
      <c r="M395" s="240">
        <v>261925</v>
      </c>
      <c r="N395" s="240">
        <v>20059</v>
      </c>
      <c r="O395" s="240">
        <v>10740</v>
      </c>
      <c r="P395" s="240">
        <v>32030</v>
      </c>
      <c r="Q395" s="243">
        <v>1918015</v>
      </c>
      <c r="R395" s="244">
        <v>10.458208084106445</v>
      </c>
      <c r="S395" s="244">
        <v>5.5995392799377441</v>
      </c>
      <c r="T395" s="244">
        <v>16.699556350708008</v>
      </c>
    </row>
    <row r="396" spans="2:20">
      <c r="B396" s="240" t="s">
        <v>501</v>
      </c>
      <c r="C396" s="240" t="s">
        <v>122</v>
      </c>
      <c r="D396" s="240" t="s">
        <v>502</v>
      </c>
      <c r="E396" s="272" t="s">
        <v>522</v>
      </c>
      <c r="F396" s="241" t="s">
        <v>281</v>
      </c>
      <c r="G396" s="240">
        <v>56370</v>
      </c>
      <c r="H396" s="240">
        <v>25770</v>
      </c>
      <c r="I396" s="240">
        <v>97985</v>
      </c>
      <c r="J396" s="271">
        <v>-0.06</v>
      </c>
      <c r="K396" s="2">
        <v>52466</v>
      </c>
      <c r="L396" s="240">
        <v>23421</v>
      </c>
      <c r="M396" s="240">
        <v>92367</v>
      </c>
      <c r="N396" s="240">
        <v>3904</v>
      </c>
      <c r="O396" s="240">
        <v>2349</v>
      </c>
      <c r="P396" s="240">
        <v>5618</v>
      </c>
      <c r="Q396" s="243">
        <v>930018</v>
      </c>
      <c r="R396" s="244">
        <v>4.1977682113647461</v>
      </c>
      <c r="S396" s="244">
        <v>2.5257575511932373</v>
      </c>
      <c r="T396" s="244">
        <v>6.040743350982666</v>
      </c>
    </row>
    <row r="397" spans="2:20">
      <c r="B397" s="240" t="s">
        <v>501</v>
      </c>
      <c r="C397" s="240" t="s">
        <v>122</v>
      </c>
      <c r="D397" s="240" t="s">
        <v>201</v>
      </c>
      <c r="E397" s="240" t="s">
        <v>524</v>
      </c>
      <c r="F397" s="241" t="s">
        <v>281</v>
      </c>
      <c r="G397" s="240">
        <v>112740</v>
      </c>
      <c r="H397" s="240">
        <v>51540</v>
      </c>
      <c r="I397" s="240">
        <v>195970</v>
      </c>
      <c r="J397" s="271">
        <v>-2.9999999999999995E-2</v>
      </c>
      <c r="K397" s="2">
        <v>101060</v>
      </c>
      <c r="L397" s="240">
        <v>45172</v>
      </c>
      <c r="M397" s="240">
        <v>177698</v>
      </c>
      <c r="N397" s="240">
        <v>11680</v>
      </c>
      <c r="O397" s="240">
        <v>6368</v>
      </c>
      <c r="P397" s="240">
        <v>18272</v>
      </c>
      <c r="Q397" s="243">
        <v>959822</v>
      </c>
      <c r="R397" s="244">
        <v>12.168923377990723</v>
      </c>
      <c r="S397" s="244">
        <v>6.6345634460449219</v>
      </c>
      <c r="T397" s="244">
        <v>19.036863327026367</v>
      </c>
    </row>
    <row r="398" spans="2:20">
      <c r="B398" s="240" t="s">
        <v>501</v>
      </c>
      <c r="C398" s="240" t="s">
        <v>122</v>
      </c>
      <c r="D398" s="240" t="s">
        <v>520</v>
      </c>
      <c r="E398" s="240" t="s">
        <v>523</v>
      </c>
      <c r="F398" s="241" t="s">
        <v>281</v>
      </c>
      <c r="G398" s="240">
        <v>169110</v>
      </c>
      <c r="H398" s="240">
        <v>77310</v>
      </c>
      <c r="I398" s="240">
        <v>293955</v>
      </c>
      <c r="J398" s="271">
        <v>-9.0000000000000024E-2</v>
      </c>
      <c r="K398" s="2">
        <v>153526</v>
      </c>
      <c r="L398" s="240">
        <v>68593</v>
      </c>
      <c r="M398" s="240">
        <v>270065</v>
      </c>
      <c r="N398" s="240">
        <v>15584</v>
      </c>
      <c r="O398" s="240">
        <v>8717</v>
      </c>
      <c r="P398" s="240">
        <v>23890</v>
      </c>
      <c r="Q398" s="243">
        <v>1889840</v>
      </c>
      <c r="R398" s="244">
        <v>8.2462005615234375</v>
      </c>
      <c r="S398" s="244">
        <v>4.6125597953796387</v>
      </c>
      <c r="T398" s="244">
        <v>12.641282081604004</v>
      </c>
    </row>
    <row r="399" spans="2:20">
      <c r="B399" s="240" t="s">
        <v>513</v>
      </c>
      <c r="C399" s="240" t="s">
        <v>242</v>
      </c>
      <c r="D399" s="240" t="s">
        <v>502</v>
      </c>
      <c r="E399" s="272" t="s">
        <v>522</v>
      </c>
      <c r="F399" s="241" t="s">
        <v>281</v>
      </c>
      <c r="G399" s="240">
        <v>47915</v>
      </c>
      <c r="H399" s="240">
        <v>23000</v>
      </c>
      <c r="I399" s="240">
        <v>81830</v>
      </c>
      <c r="J399" s="271">
        <v>-0.33</v>
      </c>
      <c r="K399" s="2">
        <v>38063</v>
      </c>
      <c r="L399" s="240">
        <v>17939</v>
      </c>
      <c r="M399" s="240">
        <v>65628</v>
      </c>
      <c r="N399" s="240">
        <v>9852</v>
      </c>
      <c r="O399" s="240">
        <v>5061</v>
      </c>
      <c r="P399" s="240">
        <v>16202</v>
      </c>
      <c r="Q399" s="243">
        <v>4748445</v>
      </c>
      <c r="R399" s="244">
        <v>2.074784517288208</v>
      </c>
      <c r="S399" s="244">
        <v>1.0658226013183594</v>
      </c>
      <c r="T399" s="244">
        <v>3.4120643138885498</v>
      </c>
    </row>
    <row r="400" spans="2:20">
      <c r="B400" s="240" t="s">
        <v>513</v>
      </c>
      <c r="C400" s="240" t="s">
        <v>242</v>
      </c>
      <c r="D400" s="240" t="s">
        <v>201</v>
      </c>
      <c r="E400" s="240" t="s">
        <v>524</v>
      </c>
      <c r="F400" s="241" t="s">
        <v>281</v>
      </c>
      <c r="G400" s="240">
        <v>95830</v>
      </c>
      <c r="H400" s="240">
        <v>46000</v>
      </c>
      <c r="I400" s="240">
        <v>163660</v>
      </c>
      <c r="J400" s="271">
        <v>-0.12399999999999997</v>
      </c>
      <c r="K400" s="2">
        <v>61572</v>
      </c>
      <c r="L400" s="240">
        <v>29052</v>
      </c>
      <c r="M400" s="240">
        <v>106222</v>
      </c>
      <c r="N400" s="240">
        <v>34258</v>
      </c>
      <c r="O400" s="240">
        <v>16948</v>
      </c>
      <c r="P400" s="240">
        <v>57438</v>
      </c>
      <c r="Q400" s="243">
        <v>5273703</v>
      </c>
      <c r="R400" s="244">
        <v>6.496004581451416</v>
      </c>
      <c r="S400" s="244">
        <v>3.2136812210083008</v>
      </c>
      <c r="T400" s="244">
        <v>10.891398429870605</v>
      </c>
    </row>
    <row r="401" spans="2:20">
      <c r="B401" s="240" t="s">
        <v>513</v>
      </c>
      <c r="C401" s="240" t="s">
        <v>242</v>
      </c>
      <c r="D401" s="240" t="s">
        <v>520</v>
      </c>
      <c r="E401" s="240" t="s">
        <v>523</v>
      </c>
      <c r="F401" s="241" t="s">
        <v>281</v>
      </c>
      <c r="G401" s="240">
        <v>143745</v>
      </c>
      <c r="H401" s="240">
        <v>69000</v>
      </c>
      <c r="I401" s="240">
        <v>245490</v>
      </c>
      <c r="J401" s="271">
        <v>-0.45400000000000024</v>
      </c>
      <c r="K401" s="2">
        <v>99635</v>
      </c>
      <c r="L401" s="240">
        <v>46991</v>
      </c>
      <c r="M401" s="240">
        <v>171850</v>
      </c>
      <c r="N401" s="240">
        <v>44110</v>
      </c>
      <c r="O401" s="240">
        <v>22009</v>
      </c>
      <c r="P401" s="240">
        <v>73640</v>
      </c>
      <c r="Q401" s="243">
        <v>10022148</v>
      </c>
      <c r="R401" s="244">
        <v>4.401252269744873</v>
      </c>
      <c r="S401" s="244">
        <v>2.1960361003875732</v>
      </c>
      <c r="T401" s="244">
        <v>7.3477263450622559</v>
      </c>
    </row>
    <row r="402" spans="2:20">
      <c r="B402" s="240" t="s">
        <v>513</v>
      </c>
      <c r="C402" s="240" t="s">
        <v>282</v>
      </c>
      <c r="D402" s="240" t="s">
        <v>502</v>
      </c>
      <c r="E402" s="272" t="s">
        <v>522</v>
      </c>
      <c r="F402" s="241" t="s">
        <v>281</v>
      </c>
      <c r="G402" s="240">
        <v>47915</v>
      </c>
      <c r="H402" s="240">
        <v>23000</v>
      </c>
      <c r="I402" s="240">
        <v>81830</v>
      </c>
      <c r="J402" s="271">
        <v>-0.182</v>
      </c>
      <c r="K402" s="2">
        <v>41652</v>
      </c>
      <c r="L402" s="240">
        <v>19626</v>
      </c>
      <c r="M402" s="240">
        <v>71833</v>
      </c>
      <c r="N402" s="240">
        <v>6263</v>
      </c>
      <c r="O402" s="240">
        <v>3374</v>
      </c>
      <c r="P402" s="240">
        <v>9997</v>
      </c>
      <c r="Q402" s="243">
        <v>1076644</v>
      </c>
      <c r="R402" s="244">
        <v>5.8171501159667969</v>
      </c>
      <c r="S402" s="244">
        <v>3.1338121891021729</v>
      </c>
      <c r="T402" s="244">
        <v>9.285334587097168</v>
      </c>
    </row>
    <row r="403" spans="2:20">
      <c r="B403" s="240" t="s">
        <v>513</v>
      </c>
      <c r="C403" s="240" t="s">
        <v>282</v>
      </c>
      <c r="D403" s="240" t="s">
        <v>201</v>
      </c>
      <c r="E403" s="240" t="s">
        <v>524</v>
      </c>
      <c r="F403" s="241" t="s">
        <v>281</v>
      </c>
      <c r="G403" s="240">
        <v>95830</v>
      </c>
      <c r="H403" s="240">
        <v>46000</v>
      </c>
      <c r="I403" s="240">
        <v>163660</v>
      </c>
      <c r="J403" s="271">
        <v>-9.0999999999999984E-2</v>
      </c>
      <c r="K403" s="2">
        <v>73549</v>
      </c>
      <c r="L403" s="240">
        <v>34673</v>
      </c>
      <c r="M403" s="240">
        <v>126743</v>
      </c>
      <c r="N403" s="240">
        <v>22281</v>
      </c>
      <c r="O403" s="240">
        <v>11327</v>
      </c>
      <c r="P403" s="240">
        <v>36917</v>
      </c>
      <c r="Q403" s="243">
        <v>1521688</v>
      </c>
      <c r="R403" s="244">
        <v>14.642292022705078</v>
      </c>
      <c r="S403" s="244">
        <v>7.4437074661254883</v>
      </c>
      <c r="T403" s="244">
        <v>24.260557174682617</v>
      </c>
    </row>
    <row r="404" spans="2:20">
      <c r="B404" s="240" t="s">
        <v>513</v>
      </c>
      <c r="C404" s="240" t="s">
        <v>282</v>
      </c>
      <c r="D404" s="240" t="s">
        <v>520</v>
      </c>
      <c r="E404" s="240" t="s">
        <v>523</v>
      </c>
      <c r="F404" s="241" t="s">
        <v>281</v>
      </c>
      <c r="G404" s="240">
        <v>143745</v>
      </c>
      <c r="H404" s="240">
        <v>69000</v>
      </c>
      <c r="I404" s="240">
        <v>245490</v>
      </c>
      <c r="J404" s="271">
        <v>-0.27299999999999996</v>
      </c>
      <c r="K404" s="2">
        <v>115201</v>
      </c>
      <c r="L404" s="240">
        <v>54299</v>
      </c>
      <c r="M404" s="240">
        <v>198576</v>
      </c>
      <c r="N404" s="240">
        <v>28544</v>
      </c>
      <c r="O404" s="240">
        <v>14701</v>
      </c>
      <c r="P404" s="240">
        <v>46914</v>
      </c>
      <c r="Q404" s="243">
        <v>2598332</v>
      </c>
      <c r="R404" s="244">
        <v>10.985508918762207</v>
      </c>
      <c r="S404" s="244">
        <v>5.657860279083252</v>
      </c>
      <c r="T404" s="244">
        <v>18.055429458618164</v>
      </c>
    </row>
    <row r="405" spans="2:20">
      <c r="B405" s="240" t="s">
        <v>513</v>
      </c>
      <c r="C405" s="240" t="s">
        <v>77</v>
      </c>
      <c r="D405" s="240" t="s">
        <v>502</v>
      </c>
      <c r="E405" s="272" t="s">
        <v>522</v>
      </c>
      <c r="F405" s="241" t="s">
        <v>281</v>
      </c>
      <c r="G405" s="240">
        <v>47915</v>
      </c>
      <c r="H405" s="240">
        <v>23000</v>
      </c>
      <c r="I405" s="240">
        <v>81830</v>
      </c>
      <c r="J405" s="271">
        <v>-5.4000000000000006E-2</v>
      </c>
      <c r="K405" s="2">
        <v>44859</v>
      </c>
      <c r="L405" s="240">
        <v>21119</v>
      </c>
      <c r="M405" s="240">
        <v>77462</v>
      </c>
      <c r="N405" s="240">
        <v>3056</v>
      </c>
      <c r="O405" s="240">
        <v>1881</v>
      </c>
      <c r="P405" s="240">
        <v>4368</v>
      </c>
      <c r="Q405" s="243">
        <v>1821516</v>
      </c>
      <c r="R405" s="244">
        <v>1.6777234077453613</v>
      </c>
      <c r="S405" s="244">
        <v>1.0326563119888306</v>
      </c>
      <c r="T405" s="244">
        <v>2.3980026245117188</v>
      </c>
    </row>
    <row r="406" spans="2:20">
      <c r="B406" s="240" t="s">
        <v>513</v>
      </c>
      <c r="C406" s="240" t="s">
        <v>77</v>
      </c>
      <c r="D406" s="240" t="s">
        <v>201</v>
      </c>
      <c r="E406" s="240" t="s">
        <v>524</v>
      </c>
      <c r="F406" s="241" t="s">
        <v>281</v>
      </c>
      <c r="G406" s="240">
        <v>95830</v>
      </c>
      <c r="H406" s="240">
        <v>46000</v>
      </c>
      <c r="I406" s="240">
        <v>163660</v>
      </c>
      <c r="J406" s="271">
        <v>-8.0000000000000019E-3</v>
      </c>
      <c r="K406" s="2">
        <v>87585</v>
      </c>
      <c r="L406" s="240">
        <v>41271</v>
      </c>
      <c r="M406" s="240">
        <v>151199</v>
      </c>
      <c r="N406" s="240">
        <v>8245</v>
      </c>
      <c r="O406" s="240">
        <v>4729</v>
      </c>
      <c r="P406" s="240">
        <v>12461</v>
      </c>
      <c r="Q406" s="243">
        <v>1794453</v>
      </c>
      <c r="R406" s="244">
        <v>4.5947151184082031</v>
      </c>
      <c r="S406" s="244">
        <v>2.6353435516357422</v>
      </c>
      <c r="T406" s="244">
        <v>6.9441776275634766</v>
      </c>
    </row>
    <row r="407" spans="2:20">
      <c r="B407" s="240" t="s">
        <v>513</v>
      </c>
      <c r="C407" s="240" t="s">
        <v>77</v>
      </c>
      <c r="D407" s="240" t="s">
        <v>520</v>
      </c>
      <c r="E407" s="240" t="s">
        <v>523</v>
      </c>
      <c r="F407" s="241" t="s">
        <v>281</v>
      </c>
      <c r="G407" s="240">
        <v>143745</v>
      </c>
      <c r="H407" s="240">
        <v>69000</v>
      </c>
      <c r="I407" s="240">
        <v>245490</v>
      </c>
      <c r="J407" s="271">
        <v>-6.2000000000000027E-2</v>
      </c>
      <c r="K407" s="2">
        <v>132444</v>
      </c>
      <c r="L407" s="240">
        <v>62390</v>
      </c>
      <c r="M407" s="240">
        <v>228661</v>
      </c>
      <c r="N407" s="240">
        <v>11301</v>
      </c>
      <c r="O407" s="240">
        <v>6610</v>
      </c>
      <c r="P407" s="240">
        <v>16829</v>
      </c>
      <c r="Q407" s="243">
        <v>3615969</v>
      </c>
      <c r="R407" s="244">
        <v>3.1253032684326172</v>
      </c>
      <c r="S407" s="244">
        <v>1.8280024528503418</v>
      </c>
      <c r="T407" s="244">
        <v>4.6540775299072266</v>
      </c>
    </row>
    <row r="408" spans="2:20">
      <c r="B408" s="240" t="s">
        <v>513</v>
      </c>
      <c r="C408" s="240" t="s">
        <v>121</v>
      </c>
      <c r="D408" s="240" t="s">
        <v>502</v>
      </c>
      <c r="E408" s="272" t="s">
        <v>522</v>
      </c>
      <c r="F408" s="241" t="s">
        <v>281</v>
      </c>
      <c r="G408" s="240">
        <v>47915</v>
      </c>
      <c r="H408" s="240">
        <v>23000</v>
      </c>
      <c r="I408" s="240">
        <v>81830</v>
      </c>
      <c r="J408" s="271">
        <v>-0.1</v>
      </c>
      <c r="K408" s="2">
        <v>43725</v>
      </c>
      <c r="L408" s="240">
        <v>20588</v>
      </c>
      <c r="M408" s="240">
        <v>75467</v>
      </c>
      <c r="N408" s="240">
        <v>4190</v>
      </c>
      <c r="O408" s="240">
        <v>2412</v>
      </c>
      <c r="P408" s="240">
        <v>6363</v>
      </c>
      <c r="Q408" s="243">
        <v>920267</v>
      </c>
      <c r="R408" s="244">
        <v>4.5530266761779785</v>
      </c>
      <c r="S408" s="244">
        <v>2.6209785938262939</v>
      </c>
      <c r="T408" s="244">
        <v>6.9142975807189941</v>
      </c>
    </row>
    <row r="409" spans="2:20">
      <c r="B409" s="240" t="s">
        <v>513</v>
      </c>
      <c r="C409" s="240" t="s">
        <v>121</v>
      </c>
      <c r="D409" s="240" t="s">
        <v>201</v>
      </c>
      <c r="E409" s="240" t="s">
        <v>524</v>
      </c>
      <c r="F409" s="241" t="s">
        <v>281</v>
      </c>
      <c r="G409" s="240">
        <v>95830</v>
      </c>
      <c r="H409" s="240">
        <v>46000</v>
      </c>
      <c r="I409" s="240">
        <v>163660</v>
      </c>
      <c r="J409" s="271">
        <v>-2.0000000000000004E-2</v>
      </c>
      <c r="K409" s="2">
        <v>83271</v>
      </c>
      <c r="L409" s="240">
        <v>39205</v>
      </c>
      <c r="M409" s="240">
        <v>143493</v>
      </c>
      <c r="N409" s="240">
        <v>12559</v>
      </c>
      <c r="O409" s="240">
        <v>6795</v>
      </c>
      <c r="P409" s="240">
        <v>20167</v>
      </c>
      <c r="Q409" s="243">
        <v>997748</v>
      </c>
      <c r="R409" s="244">
        <v>12.587347030639648</v>
      </c>
      <c r="S409" s="244">
        <v>6.8103370666503906</v>
      </c>
      <c r="T409" s="244">
        <v>20.212518692016602</v>
      </c>
    </row>
    <row r="410" spans="2:20">
      <c r="B410" s="240" t="s">
        <v>513</v>
      </c>
      <c r="C410" s="240" t="s">
        <v>121</v>
      </c>
      <c r="D410" s="240" t="s">
        <v>520</v>
      </c>
      <c r="E410" s="240" t="s">
        <v>523</v>
      </c>
      <c r="F410" s="241" t="s">
        <v>281</v>
      </c>
      <c r="G410" s="240">
        <v>143745</v>
      </c>
      <c r="H410" s="240">
        <v>69000</v>
      </c>
      <c r="I410" s="240">
        <v>245490</v>
      </c>
      <c r="J410" s="271">
        <v>-0.12000000000000002</v>
      </c>
      <c r="K410" s="2">
        <v>126996</v>
      </c>
      <c r="L410" s="240">
        <v>59793</v>
      </c>
      <c r="M410" s="240">
        <v>218960</v>
      </c>
      <c r="N410" s="240">
        <v>16749</v>
      </c>
      <c r="O410" s="240">
        <v>9207</v>
      </c>
      <c r="P410" s="240">
        <v>26530</v>
      </c>
      <c r="Q410" s="243">
        <v>1918015</v>
      </c>
      <c r="R410" s="244">
        <v>8.7324657440185547</v>
      </c>
      <c r="S410" s="244">
        <v>4.8002753257751465</v>
      </c>
      <c r="T410" s="244">
        <v>13.832008361816406</v>
      </c>
    </row>
    <row r="411" spans="2:20">
      <c r="B411" s="240" t="s">
        <v>513</v>
      </c>
      <c r="C411" s="240" t="s">
        <v>122</v>
      </c>
      <c r="D411" s="240" t="s">
        <v>502</v>
      </c>
      <c r="E411" s="272" t="s">
        <v>522</v>
      </c>
      <c r="F411" s="241" t="s">
        <v>281</v>
      </c>
      <c r="G411" s="240">
        <v>47915</v>
      </c>
      <c r="H411" s="240">
        <v>23000</v>
      </c>
      <c r="I411" s="240">
        <v>81830</v>
      </c>
      <c r="J411" s="271">
        <v>-0.06</v>
      </c>
      <c r="K411" s="2">
        <v>44712</v>
      </c>
      <c r="L411" s="240">
        <v>21059</v>
      </c>
      <c r="M411" s="240">
        <v>77216</v>
      </c>
      <c r="N411" s="240">
        <v>3203</v>
      </c>
      <c r="O411" s="240">
        <v>1941</v>
      </c>
      <c r="P411" s="240">
        <v>4614</v>
      </c>
      <c r="Q411" s="243">
        <v>930018</v>
      </c>
      <c r="R411" s="244">
        <v>3.4440193176269531</v>
      </c>
      <c r="S411" s="244">
        <v>2.0870563983917236</v>
      </c>
      <c r="T411" s="244">
        <v>4.9611945152282715</v>
      </c>
    </row>
    <row r="412" spans="2:20">
      <c r="B412" s="240" t="s">
        <v>513</v>
      </c>
      <c r="C412" s="240" t="s">
        <v>122</v>
      </c>
      <c r="D412" s="240" t="s">
        <v>201</v>
      </c>
      <c r="E412" s="240" t="s">
        <v>524</v>
      </c>
      <c r="F412" s="241" t="s">
        <v>281</v>
      </c>
      <c r="G412" s="240">
        <v>95830</v>
      </c>
      <c r="H412" s="240">
        <v>46000</v>
      </c>
      <c r="I412" s="240">
        <v>163660</v>
      </c>
      <c r="J412" s="271">
        <v>-2.9999999999999995E-2</v>
      </c>
      <c r="K412" s="2">
        <v>86094</v>
      </c>
      <c r="L412" s="240">
        <v>40572</v>
      </c>
      <c r="M412" s="240">
        <v>148522</v>
      </c>
      <c r="N412" s="240">
        <v>9736</v>
      </c>
      <c r="O412" s="240">
        <v>5428</v>
      </c>
      <c r="P412" s="240">
        <v>15138</v>
      </c>
      <c r="Q412" s="243">
        <v>959822</v>
      </c>
      <c r="R412" s="244">
        <v>10.143547058105469</v>
      </c>
      <c r="S412" s="244">
        <v>5.6552152633666992</v>
      </c>
      <c r="T412" s="244">
        <v>15.771674156188965</v>
      </c>
    </row>
    <row r="413" spans="2:20">
      <c r="B413" s="240" t="s">
        <v>513</v>
      </c>
      <c r="C413" s="240" t="s">
        <v>122</v>
      </c>
      <c r="D413" s="240" t="s">
        <v>520</v>
      </c>
      <c r="E413" s="240" t="s">
        <v>523</v>
      </c>
      <c r="F413" s="241" t="s">
        <v>281</v>
      </c>
      <c r="G413" s="240">
        <v>143745</v>
      </c>
      <c r="H413" s="240">
        <v>69000</v>
      </c>
      <c r="I413" s="240">
        <v>245490</v>
      </c>
      <c r="J413" s="271">
        <v>-9.0000000000000024E-2</v>
      </c>
      <c r="K413" s="2">
        <v>130806</v>
      </c>
      <c r="L413" s="240">
        <v>61631</v>
      </c>
      <c r="M413" s="240">
        <v>225738</v>
      </c>
      <c r="N413" s="240">
        <v>12939</v>
      </c>
      <c r="O413" s="240">
        <v>7369</v>
      </c>
      <c r="P413" s="240">
        <v>19752</v>
      </c>
      <c r="Q413" s="243">
        <v>1889840</v>
      </c>
      <c r="R413" s="244">
        <v>6.846611499786377</v>
      </c>
      <c r="S413" s="244">
        <v>3.8992719650268555</v>
      </c>
      <c r="T413" s="244">
        <v>10.451678276062012</v>
      </c>
    </row>
    <row r="414" spans="2:20">
      <c r="B414" s="240" t="s">
        <v>514</v>
      </c>
      <c r="C414" s="240" t="s">
        <v>242</v>
      </c>
      <c r="D414" s="240" t="s">
        <v>502</v>
      </c>
      <c r="E414" s="272" t="s">
        <v>522</v>
      </c>
      <c r="F414" s="241" t="s">
        <v>281</v>
      </c>
      <c r="G414" s="240">
        <v>8455</v>
      </c>
      <c r="H414" s="240">
        <v>2770</v>
      </c>
      <c r="I414" s="240">
        <v>16155</v>
      </c>
      <c r="J414" s="271">
        <v>-0.33</v>
      </c>
      <c r="K414" s="2">
        <v>6610</v>
      </c>
      <c r="L414" s="240">
        <v>2039</v>
      </c>
      <c r="M414" s="240">
        <v>12885</v>
      </c>
      <c r="N414" s="240">
        <v>1845</v>
      </c>
      <c r="O414" s="240">
        <v>731</v>
      </c>
      <c r="P414" s="240">
        <v>3270</v>
      </c>
      <c r="Q414" s="243">
        <v>4748445</v>
      </c>
      <c r="R414" s="244">
        <v>0.38854825496673584</v>
      </c>
      <c r="S414" s="244">
        <v>0.15394513309001923</v>
      </c>
      <c r="T414" s="244">
        <v>0.68864649534225464</v>
      </c>
    </row>
    <row r="415" spans="2:20">
      <c r="B415" s="240" t="s">
        <v>514</v>
      </c>
      <c r="C415" s="240" t="s">
        <v>242</v>
      </c>
      <c r="D415" s="240" t="s">
        <v>201</v>
      </c>
      <c r="E415" s="240" t="s">
        <v>524</v>
      </c>
      <c r="F415" s="241" t="s">
        <v>281</v>
      </c>
      <c r="G415" s="240">
        <v>16910</v>
      </c>
      <c r="H415" s="240">
        <v>5540</v>
      </c>
      <c r="I415" s="240">
        <v>32310</v>
      </c>
      <c r="J415" s="271">
        <v>-0.12399999999999997</v>
      </c>
      <c r="K415" s="2">
        <v>10690</v>
      </c>
      <c r="L415" s="240">
        <v>3286</v>
      </c>
      <c r="M415" s="240">
        <v>20835</v>
      </c>
      <c r="N415" s="240">
        <v>6220</v>
      </c>
      <c r="O415" s="240">
        <v>2254</v>
      </c>
      <c r="P415" s="240">
        <v>11475</v>
      </c>
      <c r="Q415" s="243">
        <v>5273703</v>
      </c>
      <c r="R415" s="244">
        <v>1.1794369220733643</v>
      </c>
      <c r="S415" s="244">
        <v>0.42740365862846375</v>
      </c>
      <c r="T415" s="244">
        <v>2.1758904457092285</v>
      </c>
    </row>
    <row r="416" spans="2:20">
      <c r="B416" s="240" t="s">
        <v>514</v>
      </c>
      <c r="C416" s="240" t="s">
        <v>242</v>
      </c>
      <c r="D416" s="240" t="s">
        <v>520</v>
      </c>
      <c r="E416" s="240" t="s">
        <v>523</v>
      </c>
      <c r="F416" s="241" t="s">
        <v>281</v>
      </c>
      <c r="G416" s="240">
        <v>25365</v>
      </c>
      <c r="H416" s="240">
        <v>8310</v>
      </c>
      <c r="I416" s="240">
        <v>48465</v>
      </c>
      <c r="J416" s="271">
        <v>-0.45400000000000024</v>
      </c>
      <c r="K416" s="2">
        <v>17300</v>
      </c>
      <c r="L416" s="240">
        <v>5325</v>
      </c>
      <c r="M416" s="240">
        <v>33720</v>
      </c>
      <c r="N416" s="240">
        <v>8065</v>
      </c>
      <c r="O416" s="240">
        <v>2985</v>
      </c>
      <c r="P416" s="240">
        <v>14745</v>
      </c>
      <c r="Q416" s="243">
        <v>10022148</v>
      </c>
      <c r="R416" s="244">
        <v>0.80471771955490112</v>
      </c>
      <c r="S416" s="244">
        <v>0.29784035682678223</v>
      </c>
      <c r="T416" s="244">
        <v>1.4712414741516113</v>
      </c>
    </row>
    <row r="417" spans="2:23">
      <c r="B417" s="240" t="s">
        <v>514</v>
      </c>
      <c r="C417" s="240" t="s">
        <v>282</v>
      </c>
      <c r="D417" s="240" t="s">
        <v>502</v>
      </c>
      <c r="E417" s="272" t="s">
        <v>522</v>
      </c>
      <c r="F417" s="241" t="s">
        <v>281</v>
      </c>
      <c r="G417" s="240">
        <v>8455</v>
      </c>
      <c r="H417" s="240">
        <v>2770</v>
      </c>
      <c r="I417" s="240">
        <v>16155</v>
      </c>
      <c r="J417" s="271">
        <v>-0.182</v>
      </c>
      <c r="K417" s="2">
        <v>7235</v>
      </c>
      <c r="L417" s="240">
        <v>2226</v>
      </c>
      <c r="M417" s="240">
        <v>14105</v>
      </c>
      <c r="N417" s="240">
        <v>1220</v>
      </c>
      <c r="O417" s="240">
        <v>544</v>
      </c>
      <c r="P417" s="240">
        <v>2050</v>
      </c>
      <c r="Q417" s="243">
        <v>1076644</v>
      </c>
      <c r="R417" s="244">
        <v>1.1331508159637451</v>
      </c>
      <c r="S417" s="244">
        <v>0.50527381896972656</v>
      </c>
      <c r="T417" s="244">
        <v>1.9040648937225342</v>
      </c>
    </row>
    <row r="418" spans="2:23">
      <c r="B418" s="240" t="s">
        <v>514</v>
      </c>
      <c r="C418" s="240" t="s">
        <v>282</v>
      </c>
      <c r="D418" s="240" t="s">
        <v>201</v>
      </c>
      <c r="E418" s="240" t="s">
        <v>524</v>
      </c>
      <c r="F418" s="241" t="s">
        <v>281</v>
      </c>
      <c r="G418" s="240">
        <v>16910</v>
      </c>
      <c r="H418" s="240">
        <v>5540</v>
      </c>
      <c r="I418" s="240">
        <v>32310</v>
      </c>
      <c r="J418" s="271">
        <v>-9.0999999999999984E-2</v>
      </c>
      <c r="K418" s="2">
        <v>12772</v>
      </c>
      <c r="L418" s="240">
        <v>3969</v>
      </c>
      <c r="M418" s="240">
        <v>24898</v>
      </c>
      <c r="N418" s="240">
        <v>4138</v>
      </c>
      <c r="O418" s="240">
        <v>1571</v>
      </c>
      <c r="P418" s="240">
        <v>7412</v>
      </c>
      <c r="Q418" s="243">
        <v>1521688</v>
      </c>
      <c r="R418" s="244">
        <v>2.7193484306335449</v>
      </c>
      <c r="S418" s="244">
        <v>1.0324060916900635</v>
      </c>
      <c r="T418" s="244">
        <v>4.8709063529968262</v>
      </c>
    </row>
    <row r="419" spans="2:23">
      <c r="B419" s="240" t="s">
        <v>514</v>
      </c>
      <c r="C419" s="240" t="s">
        <v>282</v>
      </c>
      <c r="D419" s="240" t="s">
        <v>520</v>
      </c>
      <c r="E419" s="240" t="s">
        <v>523</v>
      </c>
      <c r="F419" s="241" t="s">
        <v>281</v>
      </c>
      <c r="G419" s="240">
        <v>25365</v>
      </c>
      <c r="H419" s="240">
        <v>8310</v>
      </c>
      <c r="I419" s="240">
        <v>48465</v>
      </c>
      <c r="J419" s="271">
        <v>-0.27299999999999996</v>
      </c>
      <c r="K419" s="2">
        <v>20007</v>
      </c>
      <c r="L419" s="240">
        <v>6195</v>
      </c>
      <c r="M419" s="240">
        <v>39003</v>
      </c>
      <c r="N419" s="240">
        <v>5358</v>
      </c>
      <c r="O419" s="240">
        <v>2115</v>
      </c>
      <c r="P419" s="240">
        <v>9462</v>
      </c>
      <c r="Q419" s="243">
        <v>2598332</v>
      </c>
      <c r="R419" s="244">
        <v>2.0620920658111572</v>
      </c>
      <c r="S419" s="244">
        <v>0.8139837384223938</v>
      </c>
      <c r="T419" s="244">
        <v>3.6415669918060303</v>
      </c>
    </row>
    <row r="420" spans="2:23">
      <c r="B420" s="240" t="s">
        <v>514</v>
      </c>
      <c r="C420" s="240" t="s">
        <v>77</v>
      </c>
      <c r="D420" s="240" t="s">
        <v>502</v>
      </c>
      <c r="E420" s="272" t="s">
        <v>522</v>
      </c>
      <c r="F420" s="241" t="s">
        <v>281</v>
      </c>
      <c r="G420" s="240">
        <v>8455</v>
      </c>
      <c r="H420" s="240">
        <v>2770</v>
      </c>
      <c r="I420" s="240">
        <v>16155</v>
      </c>
      <c r="J420" s="271">
        <v>-5.4000000000000006E-2</v>
      </c>
      <c r="K420" s="2">
        <v>7773</v>
      </c>
      <c r="L420" s="240">
        <v>2364</v>
      </c>
      <c r="M420" s="240">
        <v>15200</v>
      </c>
      <c r="N420" s="240">
        <v>682</v>
      </c>
      <c r="O420" s="240">
        <v>406</v>
      </c>
      <c r="P420" s="240">
        <v>955</v>
      </c>
      <c r="Q420" s="243">
        <v>1821516</v>
      </c>
      <c r="R420" s="244">
        <v>0.37441340088844299</v>
      </c>
      <c r="S420" s="244">
        <v>0.22289125621318817</v>
      </c>
      <c r="T420" s="244">
        <v>0.52428853511810303</v>
      </c>
    </row>
    <row r="421" spans="2:23">
      <c r="B421" s="240" t="s">
        <v>514</v>
      </c>
      <c r="C421" s="240" t="s">
        <v>77</v>
      </c>
      <c r="D421" s="240" t="s">
        <v>201</v>
      </c>
      <c r="E421" s="240" t="s">
        <v>524</v>
      </c>
      <c r="F421" s="241" t="s">
        <v>281</v>
      </c>
      <c r="G421" s="240">
        <v>16910</v>
      </c>
      <c r="H421" s="240">
        <v>5540</v>
      </c>
      <c r="I421" s="240">
        <v>32310</v>
      </c>
      <c r="J421" s="271">
        <v>-8.0000000000000019E-3</v>
      </c>
      <c r="K421" s="2">
        <v>15236</v>
      </c>
      <c r="L421" s="240">
        <v>4667</v>
      </c>
      <c r="M421" s="240">
        <v>29709</v>
      </c>
      <c r="N421" s="240">
        <v>1674</v>
      </c>
      <c r="O421" s="240">
        <v>873</v>
      </c>
      <c r="P421" s="240">
        <v>2601</v>
      </c>
      <c r="Q421" s="243">
        <v>1794453</v>
      </c>
      <c r="R421" s="244">
        <v>0.93287479877471924</v>
      </c>
      <c r="S421" s="244">
        <v>0.48649922013282776</v>
      </c>
      <c r="T421" s="244">
        <v>1.4494668245315552</v>
      </c>
    </row>
    <row r="422" spans="2:23">
      <c r="B422" s="240" t="s">
        <v>514</v>
      </c>
      <c r="C422" s="240" t="s">
        <v>77</v>
      </c>
      <c r="D422" s="240" t="s">
        <v>520</v>
      </c>
      <c r="E422" s="240" t="s">
        <v>523</v>
      </c>
      <c r="F422" s="241" t="s">
        <v>281</v>
      </c>
      <c r="G422" s="240">
        <v>25365</v>
      </c>
      <c r="H422" s="240">
        <v>8310</v>
      </c>
      <c r="I422" s="240">
        <v>48465</v>
      </c>
      <c r="J422" s="271">
        <v>-6.2000000000000027E-2</v>
      </c>
      <c r="K422" s="2">
        <v>23009</v>
      </c>
      <c r="L422" s="240">
        <v>7031</v>
      </c>
      <c r="M422" s="240">
        <v>44909</v>
      </c>
      <c r="N422" s="240">
        <v>2356</v>
      </c>
      <c r="O422" s="240">
        <v>1279</v>
      </c>
      <c r="P422" s="240">
        <v>3556</v>
      </c>
      <c r="Q422" s="243">
        <v>3615969</v>
      </c>
      <c r="R422" s="244">
        <v>0.65155428647994995</v>
      </c>
      <c r="S422" s="244">
        <v>0.35370877385139465</v>
      </c>
      <c r="T422" s="244">
        <v>0.98341548442840576</v>
      </c>
    </row>
    <row r="423" spans="2:23">
      <c r="B423" s="240" t="s">
        <v>514</v>
      </c>
      <c r="C423" s="240" t="s">
        <v>121</v>
      </c>
      <c r="D423" s="240" t="s">
        <v>502</v>
      </c>
      <c r="E423" s="272" t="s">
        <v>522</v>
      </c>
      <c r="F423" s="241" t="s">
        <v>281</v>
      </c>
      <c r="G423" s="240">
        <v>8455</v>
      </c>
      <c r="H423" s="240">
        <v>2770</v>
      </c>
      <c r="I423" s="240">
        <v>16155</v>
      </c>
      <c r="J423" s="271">
        <v>-0.1</v>
      </c>
      <c r="K423" s="2">
        <v>7587</v>
      </c>
      <c r="L423" s="240">
        <v>2327</v>
      </c>
      <c r="M423" s="240">
        <v>14810</v>
      </c>
      <c r="N423" s="240">
        <v>868</v>
      </c>
      <c r="O423" s="240">
        <v>443</v>
      </c>
      <c r="P423" s="240">
        <v>1345</v>
      </c>
      <c r="Q423" s="243">
        <v>920267</v>
      </c>
      <c r="R423" s="244">
        <v>0.94320452213287354</v>
      </c>
      <c r="S423" s="244">
        <v>0.48138204216957092</v>
      </c>
      <c r="T423" s="244">
        <v>1.4615323543548584</v>
      </c>
    </row>
    <row r="424" spans="2:23">
      <c r="B424" s="240" t="s">
        <v>514</v>
      </c>
      <c r="C424" s="240" t="s">
        <v>121</v>
      </c>
      <c r="D424" s="240" t="s">
        <v>201</v>
      </c>
      <c r="E424" s="240" t="s">
        <v>524</v>
      </c>
      <c r="F424" s="241" t="s">
        <v>281</v>
      </c>
      <c r="G424" s="240">
        <v>16910</v>
      </c>
      <c r="H424" s="240">
        <v>5540</v>
      </c>
      <c r="I424" s="240">
        <v>32310</v>
      </c>
      <c r="J424" s="271">
        <v>-2.0000000000000004E-2</v>
      </c>
      <c r="K424" s="2">
        <v>14468</v>
      </c>
      <c r="L424" s="240">
        <v>4450</v>
      </c>
      <c r="M424" s="240">
        <v>28155</v>
      </c>
      <c r="N424" s="240">
        <v>2442</v>
      </c>
      <c r="O424" s="240">
        <v>1090</v>
      </c>
      <c r="P424" s="240">
        <v>4155</v>
      </c>
      <c r="Q424" s="243">
        <v>997748</v>
      </c>
      <c r="R424" s="244">
        <v>2.4475119113922119</v>
      </c>
      <c r="S424" s="244">
        <v>1.0924602746963501</v>
      </c>
      <c r="T424" s="244">
        <v>4.1643781661987305</v>
      </c>
    </row>
    <row r="425" spans="2:23">
      <c r="B425" s="240" t="s">
        <v>514</v>
      </c>
      <c r="C425" s="240" t="s">
        <v>121</v>
      </c>
      <c r="D425" s="240" t="s">
        <v>520</v>
      </c>
      <c r="E425" s="240" t="s">
        <v>523</v>
      </c>
      <c r="F425" s="241" t="s">
        <v>281</v>
      </c>
      <c r="G425" s="240">
        <v>25365</v>
      </c>
      <c r="H425" s="240">
        <v>8310</v>
      </c>
      <c r="I425" s="240">
        <v>48465</v>
      </c>
      <c r="J425" s="271">
        <v>-0.12000000000000002</v>
      </c>
      <c r="K425" s="2">
        <v>22055</v>
      </c>
      <c r="L425" s="240">
        <v>6777</v>
      </c>
      <c r="M425" s="240">
        <v>42965</v>
      </c>
      <c r="N425" s="240">
        <v>3310</v>
      </c>
      <c r="O425" s="240">
        <v>1533</v>
      </c>
      <c r="P425" s="240">
        <v>5500</v>
      </c>
      <c r="Q425" s="243">
        <v>1918015</v>
      </c>
      <c r="R425" s="244">
        <v>1.7257424592971802</v>
      </c>
      <c r="S425" s="244">
        <v>0.79926383495330811</v>
      </c>
      <c r="T425" s="244">
        <v>2.8675479888916016</v>
      </c>
    </row>
    <row r="426" spans="2:23">
      <c r="B426" s="240" t="s">
        <v>514</v>
      </c>
      <c r="C426" s="240" t="s">
        <v>122</v>
      </c>
      <c r="D426" s="240" t="s">
        <v>502</v>
      </c>
      <c r="E426" s="272" t="s">
        <v>522</v>
      </c>
      <c r="F426" s="241" t="s">
        <v>281</v>
      </c>
      <c r="G426" s="240">
        <v>8455</v>
      </c>
      <c r="H426" s="240">
        <v>2770</v>
      </c>
      <c r="I426" s="240">
        <v>16155</v>
      </c>
      <c r="J426" s="271">
        <v>-0.06</v>
      </c>
      <c r="K426" s="2">
        <v>7754</v>
      </c>
      <c r="L426" s="240">
        <v>2362</v>
      </c>
      <c r="M426" s="240">
        <v>15151</v>
      </c>
      <c r="N426" s="240">
        <v>701</v>
      </c>
      <c r="O426" s="240">
        <v>408</v>
      </c>
      <c r="P426" s="240">
        <v>1004</v>
      </c>
      <c r="Q426" s="243">
        <v>930018</v>
      </c>
      <c r="R426" s="244">
        <v>0.75374883413314819</v>
      </c>
      <c r="S426" s="244">
        <v>0.43870118260383606</v>
      </c>
      <c r="T426" s="244">
        <v>1.0795489549636841</v>
      </c>
    </row>
    <row r="427" spans="2:23">
      <c r="B427" s="240" t="s">
        <v>514</v>
      </c>
      <c r="C427" s="240" t="s">
        <v>122</v>
      </c>
      <c r="D427" s="240" t="s">
        <v>201</v>
      </c>
      <c r="E427" s="240" t="s">
        <v>524</v>
      </c>
      <c r="F427" s="241" t="s">
        <v>281</v>
      </c>
      <c r="G427" s="240">
        <v>16910</v>
      </c>
      <c r="H427" s="240">
        <v>5540</v>
      </c>
      <c r="I427" s="240">
        <v>32310</v>
      </c>
      <c r="J427" s="271">
        <v>-2.9999999999999995E-2</v>
      </c>
      <c r="K427" s="2">
        <v>14966</v>
      </c>
      <c r="L427" s="240">
        <v>4600</v>
      </c>
      <c r="M427" s="240">
        <v>29176</v>
      </c>
      <c r="N427" s="240">
        <v>1944</v>
      </c>
      <c r="O427" s="240">
        <v>940</v>
      </c>
      <c r="P427" s="240">
        <v>3134</v>
      </c>
      <c r="Q427" s="243">
        <v>959822</v>
      </c>
      <c r="R427" s="244">
        <v>2.0253756046295166</v>
      </c>
      <c r="S427" s="244">
        <v>0.97934824228286743</v>
      </c>
      <c r="T427" s="244">
        <v>3.2651886940002441</v>
      </c>
    </row>
    <row r="428" spans="2:23">
      <c r="B428" s="240" t="s">
        <v>514</v>
      </c>
      <c r="C428" s="240" t="s">
        <v>122</v>
      </c>
      <c r="D428" s="240" t="s">
        <v>520</v>
      </c>
      <c r="E428" s="240" t="s">
        <v>523</v>
      </c>
      <c r="F428" s="241" t="s">
        <v>281</v>
      </c>
      <c r="G428" s="240">
        <v>25365</v>
      </c>
      <c r="H428" s="240">
        <v>8310</v>
      </c>
      <c r="I428" s="240">
        <v>48465</v>
      </c>
      <c r="J428" s="271">
        <v>-9.0000000000000024E-2</v>
      </c>
      <c r="K428" s="2">
        <v>22720</v>
      </c>
      <c r="L428" s="240">
        <v>6962</v>
      </c>
      <c r="M428" s="240">
        <v>44327</v>
      </c>
      <c r="N428" s="240">
        <v>2645</v>
      </c>
      <c r="O428" s="240">
        <v>1348</v>
      </c>
      <c r="P428" s="240">
        <v>4138</v>
      </c>
      <c r="Q428" s="243">
        <v>1889840</v>
      </c>
      <c r="R428" s="244">
        <v>1.3995894193649292</v>
      </c>
      <c r="S428" s="244">
        <v>0.71328788995742798</v>
      </c>
      <c r="T428" s="244">
        <v>2.189603328704834</v>
      </c>
    </row>
    <row r="429" spans="2:23">
      <c r="B429" s="240"/>
      <c r="C429" s="240"/>
      <c r="D429" s="240"/>
      <c r="E429" s="241"/>
      <c r="F429" s="241"/>
      <c r="G429" s="240"/>
      <c r="H429" s="240"/>
      <c r="I429" s="240"/>
      <c r="J429" s="240"/>
      <c r="K429" s="240"/>
      <c r="L429" s="240"/>
      <c r="M429" s="242"/>
      <c r="N429" s="240"/>
      <c r="O429" s="240"/>
      <c r="P429" s="240"/>
      <c r="Q429" s="240"/>
      <c r="R429" s="240"/>
      <c r="S429" s="240"/>
      <c r="T429" s="243"/>
      <c r="U429" s="244"/>
      <c r="V429" s="244"/>
      <c r="W429" s="244"/>
    </row>
    <row r="430" spans="2:23">
      <c r="B430" s="240"/>
      <c r="C430" s="240"/>
      <c r="D430" s="240"/>
      <c r="E430" s="241"/>
      <c r="F430" s="241"/>
      <c r="G430" s="240"/>
      <c r="H430" s="240"/>
      <c r="I430" s="240"/>
      <c r="J430" s="240"/>
      <c r="K430" s="240"/>
      <c r="L430" s="240"/>
      <c r="M430" s="242"/>
      <c r="N430" s="240"/>
      <c r="O430" s="240"/>
      <c r="P430" s="240"/>
      <c r="Q430" s="240"/>
      <c r="R430" s="240"/>
      <c r="S430" s="240"/>
      <c r="T430" s="243"/>
      <c r="U430" s="244"/>
      <c r="V430" s="244"/>
      <c r="W430" s="244"/>
    </row>
  </sheetData>
  <pageMargins left="0.7" right="0.7" top="0.75" bottom="0.75" header="0.3" footer="0.3"/>
  <pageSetup orientation="portrait" horizontalDpi="0" verticalDpi="0"/>
  <drawing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447"/>
  <sheetViews>
    <sheetView zoomScale="90" zoomScaleNormal="90" workbookViewId="0"/>
  </sheetViews>
  <sheetFormatPr defaultColWidth="8.85546875" defaultRowHeight="15"/>
  <cols>
    <col min="1" max="1" width="8.85546875" style="1"/>
    <col min="2" max="2" width="44.140625" style="1" customWidth="1"/>
    <col min="3" max="3" width="47.85546875" style="1" customWidth="1"/>
    <col min="4" max="4" width="22.7109375" style="1" customWidth="1"/>
    <col min="5" max="5" width="30.7109375" style="1" customWidth="1"/>
    <col min="6" max="6" width="28.140625" style="1" customWidth="1"/>
    <col min="7" max="7" width="27.28515625" style="1" customWidth="1"/>
    <col min="8" max="8" width="25" style="1" customWidth="1"/>
    <col min="9" max="9" width="27.140625" style="1" customWidth="1"/>
    <col min="10" max="10" width="25.28515625" style="1" customWidth="1"/>
    <col min="11" max="12" width="27.28515625" style="1" customWidth="1"/>
    <col min="13" max="13" width="25.28515625" style="1" customWidth="1"/>
    <col min="14" max="14" width="26.42578125" style="1" customWidth="1"/>
    <col min="15" max="15" width="26.7109375" style="1" customWidth="1"/>
    <col min="16" max="16" width="25.85546875" style="1" customWidth="1"/>
    <col min="17" max="17" width="20.42578125" style="1" customWidth="1"/>
    <col min="18" max="18" width="28.28515625" style="1" customWidth="1"/>
    <col min="19" max="19" width="26.7109375" style="1" customWidth="1"/>
    <col min="20" max="20" width="29.140625" style="1" customWidth="1"/>
    <col min="21" max="21" width="45.85546875" style="1" customWidth="1"/>
    <col min="22" max="22" width="57.28515625" style="1" customWidth="1"/>
    <col min="23" max="23" width="57.42578125" style="1" customWidth="1"/>
    <col min="24" max="24" width="16.42578125" style="1" bestFit="1" customWidth="1"/>
    <col min="25" max="25" width="17.42578125" style="1" bestFit="1" customWidth="1"/>
    <col min="26" max="26" width="16.7109375" style="1" bestFit="1" customWidth="1"/>
    <col min="27" max="27" width="18.140625" style="1" bestFit="1" customWidth="1"/>
    <col min="28" max="28" width="17.42578125" style="1" bestFit="1" customWidth="1"/>
    <col min="29" max="29" width="18.140625" style="1" bestFit="1" customWidth="1"/>
    <col min="30" max="30" width="19" style="1" bestFit="1" customWidth="1"/>
    <col min="31" max="31" width="18.28515625" style="1" bestFit="1" customWidth="1"/>
    <col min="32" max="32" width="19.7109375" style="1" bestFit="1" customWidth="1"/>
    <col min="33" max="33" width="40.28515625" style="1" customWidth="1"/>
    <col min="34" max="34" width="6.42578125" style="1" bestFit="1" customWidth="1"/>
    <col min="35" max="35" width="13.42578125" style="1" bestFit="1" customWidth="1"/>
    <col min="36" max="36" width="12.140625" style="1" bestFit="1" customWidth="1"/>
    <col min="37" max="37" width="17.42578125" style="1" bestFit="1" customWidth="1"/>
    <col min="38" max="38" width="15.85546875" style="1" bestFit="1" customWidth="1"/>
    <col min="39" max="39" width="16.42578125" style="1" bestFit="1" customWidth="1"/>
    <col min="40" max="40" width="17.42578125" style="1" bestFit="1" customWidth="1"/>
    <col min="41" max="41" width="16.7109375" style="1" bestFit="1" customWidth="1"/>
    <col min="42" max="42" width="18.140625" style="1" bestFit="1" customWidth="1"/>
    <col min="43" max="43" width="17.42578125" style="1" bestFit="1" customWidth="1"/>
    <col min="44" max="44" width="18.140625" style="1" bestFit="1" customWidth="1"/>
    <col min="45" max="45" width="19" style="1" bestFit="1" customWidth="1"/>
    <col min="46" max="46" width="18.28515625" style="1" bestFit="1" customWidth="1"/>
    <col min="47" max="47" width="19.7109375" style="1" bestFit="1" customWidth="1"/>
    <col min="48" max="16384" width="8.85546875" style="1"/>
  </cols>
  <sheetData>
    <row r="2" spans="2:2" ht="23.25">
      <c r="B2" s="163" t="s">
        <v>609</v>
      </c>
    </row>
    <row r="4" spans="2:2" ht="15.75">
      <c r="B4" s="283"/>
    </row>
    <row r="6" spans="2:2" ht="15.75">
      <c r="B6" s="282"/>
    </row>
    <row r="7" spans="2:2" ht="15.75">
      <c r="B7" s="282"/>
    </row>
    <row r="10" spans="2:2" ht="19.5">
      <c r="B10" s="273" t="s">
        <v>527</v>
      </c>
    </row>
    <row r="30" spans="2:15">
      <c r="B30" s="263" t="s">
        <v>250</v>
      </c>
      <c r="C30" s="263" t="s">
        <v>516</v>
      </c>
      <c r="D30" s="263" t="s">
        <v>526</v>
      </c>
      <c r="E30" s="263" t="s">
        <v>501</v>
      </c>
      <c r="F30" s="263" t="s">
        <v>513</v>
      </c>
      <c r="G30" s="263" t="s">
        <v>514</v>
      </c>
      <c r="J30"/>
      <c r="K30"/>
      <c r="L30"/>
    </row>
    <row r="31" spans="2:15" ht="30">
      <c r="B31" s="293" t="s">
        <v>279</v>
      </c>
      <c r="C31" s="294" t="s">
        <v>559</v>
      </c>
      <c r="D31" s="295">
        <v>1</v>
      </c>
      <c r="E31" s="295" t="s">
        <v>515</v>
      </c>
      <c r="F31" s="295" t="s">
        <v>515</v>
      </c>
      <c r="G31" s="296"/>
      <c r="I31"/>
      <c r="J31"/>
      <c r="K31"/>
      <c r="L31"/>
      <c r="O31"/>
    </row>
    <row r="32" spans="2:15" ht="39" customHeight="1">
      <c r="B32" s="293" t="s">
        <v>270</v>
      </c>
      <c r="C32" s="294" t="s">
        <v>549</v>
      </c>
      <c r="D32" s="295">
        <v>2</v>
      </c>
      <c r="E32" s="295" t="s">
        <v>515</v>
      </c>
      <c r="F32" s="295" t="s">
        <v>515</v>
      </c>
      <c r="G32" s="295" t="s">
        <v>515</v>
      </c>
      <c r="I32"/>
      <c r="J32"/>
      <c r="K32"/>
      <c r="L32"/>
      <c r="O32"/>
    </row>
    <row r="33" spans="2:26">
      <c r="B33" s="293" t="s">
        <v>268</v>
      </c>
      <c r="C33" s="294" t="s">
        <v>547</v>
      </c>
      <c r="D33" s="295">
        <v>3</v>
      </c>
      <c r="E33" s="295" t="s">
        <v>515</v>
      </c>
      <c r="F33" s="295" t="s">
        <v>515</v>
      </c>
      <c r="G33" s="295"/>
      <c r="I33"/>
      <c r="J33"/>
      <c r="K33"/>
      <c r="L33"/>
      <c r="O33"/>
    </row>
    <row r="34" spans="2:26">
      <c r="B34" s="293" t="s">
        <v>271</v>
      </c>
      <c r="C34" s="294" t="s">
        <v>550</v>
      </c>
      <c r="D34" s="295">
        <v>4</v>
      </c>
      <c r="E34" s="295" t="s">
        <v>515</v>
      </c>
      <c r="F34" s="295" t="s">
        <v>515</v>
      </c>
      <c r="G34" s="295"/>
      <c r="I34"/>
      <c r="J34"/>
      <c r="K34"/>
      <c r="L34"/>
      <c r="O34"/>
      <c r="Y34"/>
      <c r="Z34"/>
    </row>
    <row r="35" spans="2:26">
      <c r="B35" s="293" t="s">
        <v>260</v>
      </c>
      <c r="C35" s="294" t="s">
        <v>539</v>
      </c>
      <c r="D35" s="295">
        <v>5</v>
      </c>
      <c r="E35" s="295" t="s">
        <v>515</v>
      </c>
      <c r="F35" s="295" t="s">
        <v>515</v>
      </c>
      <c r="G35" s="295"/>
      <c r="I35" s="279"/>
      <c r="J35"/>
      <c r="K35"/>
      <c r="L35"/>
      <c r="O35"/>
    </row>
    <row r="36" spans="2:26">
      <c r="B36" s="293" t="s">
        <v>266</v>
      </c>
      <c r="C36" s="294" t="s">
        <v>545</v>
      </c>
      <c r="D36" s="295">
        <v>6</v>
      </c>
      <c r="E36" s="295" t="s">
        <v>515</v>
      </c>
      <c r="F36" s="295" t="s">
        <v>515</v>
      </c>
      <c r="G36" s="295"/>
      <c r="I36"/>
      <c r="J36"/>
      <c r="K36"/>
      <c r="L36"/>
      <c r="O36"/>
    </row>
    <row r="37" spans="2:26">
      <c r="B37" s="293" t="s">
        <v>277</v>
      </c>
      <c r="C37" s="294" t="s">
        <v>557</v>
      </c>
      <c r="D37" s="295">
        <v>7</v>
      </c>
      <c r="E37" s="295" t="s">
        <v>515</v>
      </c>
      <c r="F37" s="295" t="s">
        <v>515</v>
      </c>
      <c r="G37" s="295"/>
      <c r="I37"/>
      <c r="J37"/>
      <c r="K37"/>
      <c r="L37"/>
      <c r="O37"/>
    </row>
    <row r="38" spans="2:26">
      <c r="B38" s="293" t="s">
        <v>258</v>
      </c>
      <c r="C38" s="294" t="s">
        <v>537</v>
      </c>
      <c r="D38" s="295">
        <v>8</v>
      </c>
      <c r="E38" s="295" t="s">
        <v>515</v>
      </c>
      <c r="F38" s="295" t="s">
        <v>515</v>
      </c>
      <c r="G38" s="295"/>
      <c r="I38"/>
      <c r="J38"/>
      <c r="K38"/>
      <c r="L38"/>
      <c r="O38"/>
    </row>
    <row r="39" spans="2:26">
      <c r="B39" s="293" t="s">
        <v>269</v>
      </c>
      <c r="C39" s="294" t="s">
        <v>548</v>
      </c>
      <c r="D39" s="295">
        <v>9</v>
      </c>
      <c r="E39" s="295" t="s">
        <v>515</v>
      </c>
      <c r="F39" s="295" t="s">
        <v>515</v>
      </c>
      <c r="G39" s="295"/>
      <c r="I39"/>
      <c r="J39"/>
      <c r="K39"/>
      <c r="L39"/>
      <c r="O39"/>
    </row>
    <row r="40" spans="2:26">
      <c r="B40" s="293" t="s">
        <v>273</v>
      </c>
      <c r="C40" s="294" t="s">
        <v>553</v>
      </c>
      <c r="D40" s="295">
        <v>10</v>
      </c>
      <c r="E40" s="295" t="s">
        <v>515</v>
      </c>
      <c r="F40" s="295" t="s">
        <v>515</v>
      </c>
      <c r="G40" s="295"/>
      <c r="I40"/>
      <c r="J40"/>
      <c r="K40"/>
      <c r="L40"/>
      <c r="O40"/>
    </row>
    <row r="41" spans="2:26">
      <c r="B41" s="293" t="s">
        <v>278</v>
      </c>
      <c r="C41" s="294" t="s">
        <v>558</v>
      </c>
      <c r="D41" s="295">
        <v>11</v>
      </c>
      <c r="E41" s="295" t="s">
        <v>515</v>
      </c>
      <c r="F41" s="295" t="s">
        <v>515</v>
      </c>
      <c r="G41" s="295" t="s">
        <v>515</v>
      </c>
      <c r="I41"/>
      <c r="J41"/>
      <c r="K41"/>
      <c r="L41"/>
      <c r="O41"/>
    </row>
    <row r="42" spans="2:26">
      <c r="B42" s="293" t="s">
        <v>256</v>
      </c>
      <c r="C42" s="294" t="s">
        <v>535</v>
      </c>
      <c r="D42" s="295">
        <v>12</v>
      </c>
      <c r="E42" s="295" t="s">
        <v>515</v>
      </c>
      <c r="F42" s="295" t="s">
        <v>515</v>
      </c>
      <c r="G42" s="295"/>
      <c r="I42"/>
      <c r="J42"/>
      <c r="K42"/>
      <c r="L42"/>
      <c r="O42"/>
    </row>
    <row r="43" spans="2:26">
      <c r="B43" s="293" t="s">
        <v>265</v>
      </c>
      <c r="C43" s="294" t="s">
        <v>544</v>
      </c>
      <c r="D43" s="295">
        <v>13</v>
      </c>
      <c r="E43" s="295" t="s">
        <v>515</v>
      </c>
      <c r="F43" s="295" t="s">
        <v>515</v>
      </c>
      <c r="G43" s="295"/>
      <c r="J43"/>
      <c r="K43"/>
      <c r="L43"/>
      <c r="O43"/>
    </row>
    <row r="44" spans="2:26">
      <c r="B44" s="293" t="s">
        <v>255</v>
      </c>
      <c r="C44" s="294" t="s">
        <v>534</v>
      </c>
      <c r="D44" s="295">
        <v>14</v>
      </c>
      <c r="E44" s="295" t="s">
        <v>515</v>
      </c>
      <c r="F44" s="295" t="s">
        <v>515</v>
      </c>
      <c r="G44" s="295"/>
      <c r="J44"/>
      <c r="K44"/>
      <c r="L44"/>
      <c r="O44"/>
    </row>
    <row r="45" spans="2:26">
      <c r="B45" s="293" t="s">
        <v>267</v>
      </c>
      <c r="C45" s="294" t="s">
        <v>546</v>
      </c>
      <c r="D45" s="295">
        <v>15</v>
      </c>
      <c r="E45" s="295" t="s">
        <v>515</v>
      </c>
      <c r="F45" s="295" t="s">
        <v>515</v>
      </c>
      <c r="G45" s="295"/>
      <c r="J45"/>
      <c r="K45"/>
      <c r="L45"/>
      <c r="O45"/>
    </row>
    <row r="46" spans="2:26">
      <c r="B46" s="293" t="s">
        <v>263</v>
      </c>
      <c r="C46" s="294" t="s">
        <v>542</v>
      </c>
      <c r="D46" s="295">
        <v>16</v>
      </c>
      <c r="E46" s="295" t="s">
        <v>515</v>
      </c>
      <c r="F46" s="295" t="s">
        <v>515</v>
      </c>
      <c r="G46" s="295" t="s">
        <v>515</v>
      </c>
      <c r="J46"/>
      <c r="K46"/>
      <c r="L46"/>
      <c r="O46"/>
    </row>
    <row r="47" spans="2:26">
      <c r="B47" s="293" t="s">
        <v>264</v>
      </c>
      <c r="C47" s="294" t="s">
        <v>543</v>
      </c>
      <c r="D47" s="295">
        <v>17</v>
      </c>
      <c r="E47" s="295" t="s">
        <v>515</v>
      </c>
      <c r="F47" s="295" t="s">
        <v>515</v>
      </c>
      <c r="G47" s="295" t="s">
        <v>515</v>
      </c>
      <c r="L47"/>
      <c r="O47"/>
    </row>
    <row r="48" spans="2:26">
      <c r="B48" s="293" t="s">
        <v>261</v>
      </c>
      <c r="C48" s="294" t="s">
        <v>540</v>
      </c>
      <c r="D48" s="295">
        <v>18</v>
      </c>
      <c r="E48" s="295" t="s">
        <v>515</v>
      </c>
      <c r="F48" s="295" t="s">
        <v>515</v>
      </c>
      <c r="G48" s="295" t="s">
        <v>515</v>
      </c>
      <c r="L48"/>
      <c r="O48"/>
    </row>
    <row r="49" spans="2:15">
      <c r="B49" s="293" t="s">
        <v>262</v>
      </c>
      <c r="C49" s="294" t="s">
        <v>541</v>
      </c>
      <c r="D49" s="295">
        <v>19</v>
      </c>
      <c r="E49" s="295" t="s">
        <v>515</v>
      </c>
      <c r="F49" s="295" t="s">
        <v>515</v>
      </c>
      <c r="G49" s="295"/>
      <c r="L49"/>
      <c r="O49"/>
    </row>
    <row r="50" spans="2:15">
      <c r="B50" s="293" t="s">
        <v>254</v>
      </c>
      <c r="C50" s="294" t="s">
        <v>533</v>
      </c>
      <c r="D50" s="295">
        <v>20</v>
      </c>
      <c r="E50" s="295" t="s">
        <v>515</v>
      </c>
      <c r="F50" s="295" t="s">
        <v>515</v>
      </c>
      <c r="G50" s="295"/>
      <c r="L50"/>
      <c r="O50"/>
    </row>
    <row r="51" spans="2:15">
      <c r="B51" s="295" t="s">
        <v>252</v>
      </c>
      <c r="C51" s="281" t="s">
        <v>531</v>
      </c>
      <c r="D51" s="295">
        <v>21</v>
      </c>
      <c r="E51" s="295" t="s">
        <v>515</v>
      </c>
      <c r="F51" s="295" t="s">
        <v>515</v>
      </c>
      <c r="G51" s="295"/>
      <c r="L51"/>
      <c r="O51"/>
    </row>
    <row r="52" spans="2:15" ht="54" customHeight="1">
      <c r="B52" s="293" t="s">
        <v>528</v>
      </c>
      <c r="C52" s="294" t="s">
        <v>551</v>
      </c>
      <c r="D52" s="295">
        <v>22</v>
      </c>
      <c r="E52" s="295" t="s">
        <v>515</v>
      </c>
      <c r="F52" s="295" t="s">
        <v>515</v>
      </c>
      <c r="G52" s="295"/>
      <c r="J52"/>
      <c r="K52"/>
      <c r="L52"/>
      <c r="O52"/>
    </row>
    <row r="53" spans="2:15">
      <c r="B53" s="293" t="s">
        <v>257</v>
      </c>
      <c r="C53" s="294" t="s">
        <v>536</v>
      </c>
      <c r="D53" s="295">
        <v>23</v>
      </c>
      <c r="E53" s="295" t="s">
        <v>515</v>
      </c>
      <c r="F53" s="295" t="s">
        <v>515</v>
      </c>
      <c r="G53" s="295" t="s">
        <v>515</v>
      </c>
      <c r="J53"/>
      <c r="K53"/>
      <c r="L53"/>
      <c r="O53"/>
    </row>
    <row r="54" spans="2:15">
      <c r="B54" s="293" t="s">
        <v>253</v>
      </c>
      <c r="C54" s="294" t="s">
        <v>532</v>
      </c>
      <c r="D54" s="295">
        <v>24</v>
      </c>
      <c r="E54" s="295" t="s">
        <v>515</v>
      </c>
      <c r="F54" s="295" t="s">
        <v>515</v>
      </c>
      <c r="G54" s="295"/>
      <c r="J54"/>
      <c r="K54"/>
      <c r="L54"/>
      <c r="O54"/>
    </row>
    <row r="55" spans="2:15" ht="39" customHeight="1">
      <c r="B55" s="293" t="s">
        <v>272</v>
      </c>
      <c r="C55" s="294" t="s">
        <v>552</v>
      </c>
      <c r="D55" s="295">
        <v>25</v>
      </c>
      <c r="E55" s="295" t="s">
        <v>515</v>
      </c>
      <c r="F55" s="295" t="s">
        <v>515</v>
      </c>
      <c r="G55" s="295"/>
      <c r="J55"/>
      <c r="K55"/>
      <c r="L55"/>
      <c r="O55"/>
    </row>
    <row r="56" spans="2:15">
      <c r="B56" s="293" t="s">
        <v>274</v>
      </c>
      <c r="C56" s="294" t="s">
        <v>554</v>
      </c>
      <c r="D56" s="295">
        <v>26</v>
      </c>
      <c r="E56" s="295" t="s">
        <v>515</v>
      </c>
      <c r="F56" s="295" t="s">
        <v>515</v>
      </c>
      <c r="G56" s="295"/>
      <c r="J56"/>
      <c r="K56"/>
      <c r="L56"/>
      <c r="O56"/>
    </row>
    <row r="57" spans="2:15">
      <c r="B57" s="293" t="s">
        <v>259</v>
      </c>
      <c r="C57" s="294" t="s">
        <v>538</v>
      </c>
      <c r="D57" s="295">
        <v>27</v>
      </c>
      <c r="E57" s="295" t="s">
        <v>515</v>
      </c>
      <c r="F57" s="295" t="s">
        <v>515</v>
      </c>
      <c r="G57" s="295" t="s">
        <v>515</v>
      </c>
      <c r="J57"/>
      <c r="K57"/>
      <c r="L57"/>
      <c r="O57"/>
    </row>
    <row r="58" spans="2:15">
      <c r="B58" s="293" t="s">
        <v>275</v>
      </c>
      <c r="C58" s="294" t="s">
        <v>555</v>
      </c>
      <c r="D58" s="295">
        <v>28</v>
      </c>
      <c r="E58" s="295" t="s">
        <v>515</v>
      </c>
      <c r="F58" s="295" t="s">
        <v>515</v>
      </c>
      <c r="G58" s="295"/>
      <c r="J58"/>
      <c r="K58"/>
      <c r="L58"/>
      <c r="O58"/>
    </row>
    <row r="59" spans="2:15">
      <c r="B59" s="293" t="s">
        <v>276</v>
      </c>
      <c r="C59" s="294" t="s">
        <v>556</v>
      </c>
      <c r="D59" s="295">
        <v>29</v>
      </c>
      <c r="E59" s="295" t="s">
        <v>515</v>
      </c>
      <c r="F59" s="295" t="s">
        <v>515</v>
      </c>
      <c r="G59" s="295"/>
      <c r="J59"/>
      <c r="K59"/>
      <c r="L59"/>
      <c r="O59"/>
    </row>
    <row r="60" spans="2:15">
      <c r="B60" s="293" t="s">
        <v>529</v>
      </c>
      <c r="C60" s="294" t="s">
        <v>637</v>
      </c>
      <c r="D60" s="295">
        <v>30</v>
      </c>
      <c r="E60" s="295" t="s">
        <v>515</v>
      </c>
      <c r="F60" s="295" t="s">
        <v>515</v>
      </c>
      <c r="G60" s="295"/>
      <c r="J60"/>
      <c r="K60"/>
      <c r="L60"/>
      <c r="O60"/>
    </row>
    <row r="61" spans="2:15">
      <c r="B61" s="293" t="s">
        <v>530</v>
      </c>
      <c r="C61" s="294" t="s">
        <v>638</v>
      </c>
      <c r="D61" s="295">
        <v>31</v>
      </c>
      <c r="E61" s="295" t="s">
        <v>515</v>
      </c>
      <c r="F61" s="295" t="s">
        <v>515</v>
      </c>
      <c r="G61" s="295"/>
      <c r="J61"/>
      <c r="K61"/>
      <c r="L61"/>
      <c r="O61"/>
    </row>
    <row r="62" spans="2:15">
      <c r="B62" s="274"/>
      <c r="C62" s="274"/>
      <c r="D62" s="264"/>
      <c r="E62" s="264"/>
      <c r="F62" s="264"/>
      <c r="G62" s="276"/>
      <c r="H62" s="17"/>
      <c r="J62"/>
      <c r="K62"/>
      <c r="L62"/>
    </row>
    <row r="63" spans="2:15">
      <c r="J63"/>
      <c r="K63"/>
      <c r="L63"/>
      <c r="O63"/>
    </row>
    <row r="64" spans="2:15">
      <c r="J64"/>
      <c r="K64"/>
      <c r="L64"/>
      <c r="O64"/>
    </row>
    <row r="65" spans="10:15">
      <c r="J65"/>
      <c r="K65"/>
      <c r="L65"/>
      <c r="O65"/>
    </row>
    <row r="66" spans="10:15">
      <c r="J66"/>
      <c r="K66"/>
      <c r="L66"/>
      <c r="O66"/>
    </row>
    <row r="67" spans="10:15">
      <c r="J67"/>
      <c r="K67"/>
      <c r="L67"/>
      <c r="O67"/>
    </row>
    <row r="68" spans="10:15">
      <c r="J68"/>
      <c r="K68"/>
      <c r="L68"/>
      <c r="O68"/>
    </row>
    <row r="69" spans="10:15">
      <c r="J69"/>
      <c r="K69"/>
      <c r="L69"/>
      <c r="O69"/>
    </row>
    <row r="70" spans="10:15">
      <c r="J70"/>
      <c r="K70"/>
      <c r="L70"/>
      <c r="O70"/>
    </row>
    <row r="71" spans="10:15">
      <c r="J71"/>
      <c r="K71"/>
      <c r="L71"/>
      <c r="O71"/>
    </row>
    <row r="72" spans="10:15">
      <c r="J72"/>
      <c r="K72"/>
      <c r="L72"/>
      <c r="O72"/>
    </row>
    <row r="73" spans="10:15">
      <c r="J73"/>
      <c r="K73"/>
      <c r="L73"/>
      <c r="O73"/>
    </row>
    <row r="74" spans="10:15">
      <c r="J74"/>
      <c r="K74"/>
      <c r="L74"/>
      <c r="O74"/>
    </row>
    <row r="75" spans="10:15">
      <c r="J75"/>
      <c r="K75"/>
      <c r="L75"/>
      <c r="O75"/>
    </row>
    <row r="76" spans="10:15">
      <c r="J76"/>
      <c r="K76"/>
      <c r="L76"/>
      <c r="O76"/>
    </row>
    <row r="77" spans="10:15">
      <c r="J77"/>
      <c r="K77"/>
      <c r="L77"/>
      <c r="O77"/>
    </row>
    <row r="78" spans="10:15">
      <c r="J78"/>
      <c r="K78"/>
      <c r="L78"/>
      <c r="O78"/>
    </row>
    <row r="79" spans="10:15">
      <c r="J79"/>
      <c r="K79"/>
      <c r="L79"/>
      <c r="O79"/>
    </row>
    <row r="80" spans="10:15">
      <c r="J80"/>
      <c r="K80"/>
      <c r="L80"/>
      <c r="O80"/>
    </row>
    <row r="81" spans="2:15">
      <c r="J81"/>
      <c r="K81"/>
      <c r="L81"/>
      <c r="O81"/>
    </row>
    <row r="82" spans="2:15">
      <c r="J82"/>
      <c r="K82"/>
      <c r="L82"/>
      <c r="O82"/>
    </row>
    <row r="83" spans="2:15">
      <c r="J83"/>
      <c r="K83"/>
      <c r="L83"/>
      <c r="O83"/>
    </row>
    <row r="84" spans="2:15">
      <c r="J84"/>
      <c r="K84"/>
      <c r="L84"/>
      <c r="O84"/>
    </row>
    <row r="85" spans="2:15">
      <c r="J85"/>
      <c r="K85"/>
      <c r="L85"/>
      <c r="O85"/>
    </row>
    <row r="86" spans="2:15">
      <c r="J86"/>
      <c r="K86"/>
      <c r="L86"/>
      <c r="O86"/>
    </row>
    <row r="87" spans="2:15">
      <c r="J87"/>
      <c r="K87"/>
      <c r="L87"/>
      <c r="O87"/>
    </row>
    <row r="88" spans="2:15">
      <c r="J88"/>
      <c r="K88"/>
      <c r="L88"/>
      <c r="O88"/>
    </row>
    <row r="89" spans="2:15">
      <c r="J89"/>
      <c r="K89"/>
      <c r="L89"/>
      <c r="O89"/>
    </row>
    <row r="90" spans="2:15">
      <c r="J90"/>
      <c r="K90"/>
      <c r="L90"/>
      <c r="O90"/>
    </row>
    <row r="91" spans="2:15">
      <c r="J91"/>
      <c r="K91"/>
      <c r="L91"/>
      <c r="O91"/>
    </row>
    <row r="92" spans="2:15">
      <c r="J92"/>
      <c r="K92"/>
      <c r="L92"/>
      <c r="O92"/>
    </row>
    <row r="93" spans="2:15">
      <c r="J93"/>
      <c r="K93"/>
      <c r="L93"/>
      <c r="O93"/>
    </row>
    <row r="94" spans="2:15">
      <c r="B94" s="263" t="s">
        <v>3</v>
      </c>
      <c r="C94" s="263" t="s">
        <v>619</v>
      </c>
      <c r="D94" s="263" t="s">
        <v>623</v>
      </c>
      <c r="E94" s="263" t="s">
        <v>501</v>
      </c>
      <c r="F94" s="263" t="s">
        <v>513</v>
      </c>
      <c r="G94" s="263" t="s">
        <v>514</v>
      </c>
      <c r="J94"/>
      <c r="K94"/>
      <c r="L94"/>
      <c r="O94"/>
    </row>
    <row r="95" spans="2:15" ht="30">
      <c r="B95" s="281" t="s">
        <v>593</v>
      </c>
      <c r="C95" s="295" t="s">
        <v>620</v>
      </c>
      <c r="D95" s="295">
        <v>1</v>
      </c>
      <c r="E95" s="298">
        <v>469561</v>
      </c>
      <c r="F95" s="298">
        <v>469561</v>
      </c>
      <c r="G95" s="298">
        <v>364079</v>
      </c>
      <c r="J95"/>
      <c r="K95"/>
      <c r="L95"/>
      <c r="O95"/>
    </row>
    <row r="96" spans="2:15" ht="30">
      <c r="B96" s="281" t="s">
        <v>593</v>
      </c>
      <c r="C96" s="295" t="s">
        <v>621</v>
      </c>
      <c r="D96" s="295">
        <v>2</v>
      </c>
      <c r="E96" s="298">
        <v>308755</v>
      </c>
      <c r="F96" s="298">
        <v>308755</v>
      </c>
      <c r="G96" s="298">
        <v>249219</v>
      </c>
      <c r="J96"/>
      <c r="K96"/>
      <c r="L96"/>
      <c r="O96"/>
    </row>
    <row r="97" spans="2:15" ht="30">
      <c r="B97" s="281" t="s">
        <v>593</v>
      </c>
      <c r="C97" s="295" t="s">
        <v>622</v>
      </c>
      <c r="D97" s="295">
        <v>3</v>
      </c>
      <c r="E97" s="298">
        <v>692669</v>
      </c>
      <c r="F97" s="298">
        <v>692669</v>
      </c>
      <c r="G97" s="298">
        <v>521779</v>
      </c>
      <c r="J97"/>
      <c r="K97"/>
      <c r="L97"/>
      <c r="O97"/>
    </row>
    <row r="98" spans="2:15">
      <c r="J98"/>
      <c r="K98"/>
      <c r="L98"/>
      <c r="O98"/>
    </row>
    <row r="99" spans="2:15">
      <c r="J99"/>
      <c r="K99"/>
      <c r="L99"/>
      <c r="O99"/>
    </row>
    <row r="100" spans="2:15">
      <c r="J100"/>
      <c r="K100"/>
      <c r="L100"/>
      <c r="O100"/>
    </row>
    <row r="101" spans="2:15">
      <c r="J101"/>
      <c r="K101"/>
      <c r="L101"/>
      <c r="O101"/>
    </row>
    <row r="102" spans="2:15">
      <c r="J102"/>
      <c r="K102"/>
      <c r="L102"/>
      <c r="O102"/>
    </row>
    <row r="103" spans="2:15">
      <c r="J103"/>
      <c r="K103"/>
      <c r="L103"/>
      <c r="O103"/>
    </row>
    <row r="104" spans="2:15">
      <c r="J104"/>
      <c r="K104"/>
      <c r="L104"/>
      <c r="O104"/>
    </row>
    <row r="105" spans="2:15">
      <c r="J105"/>
      <c r="K105"/>
      <c r="L105"/>
      <c r="O105"/>
    </row>
    <row r="106" spans="2:15">
      <c r="J106"/>
      <c r="K106"/>
      <c r="L106"/>
      <c r="O106"/>
    </row>
    <row r="107" spans="2:15">
      <c r="J107"/>
      <c r="K107"/>
      <c r="L107"/>
      <c r="O107"/>
    </row>
    <row r="108" spans="2:15">
      <c r="J108"/>
      <c r="K108"/>
      <c r="L108"/>
      <c r="O108"/>
    </row>
    <row r="109" spans="2:15">
      <c r="J109"/>
      <c r="K109"/>
      <c r="L109"/>
      <c r="O109"/>
    </row>
    <row r="110" spans="2:15">
      <c r="J110"/>
      <c r="K110"/>
      <c r="L110"/>
      <c r="O110"/>
    </row>
    <row r="111" spans="2:15">
      <c r="J111"/>
      <c r="K111"/>
      <c r="L111"/>
      <c r="O111"/>
    </row>
    <row r="112" spans="2:15">
      <c r="J112"/>
      <c r="K112"/>
      <c r="L112"/>
      <c r="O112"/>
    </row>
    <row r="113" spans="2:15">
      <c r="J113"/>
      <c r="K113"/>
      <c r="L113"/>
      <c r="O113"/>
    </row>
    <row r="114" spans="2:15">
      <c r="J114"/>
      <c r="K114"/>
      <c r="L114"/>
      <c r="O114"/>
    </row>
    <row r="115" spans="2:15">
      <c r="J115"/>
      <c r="K115"/>
      <c r="L115"/>
      <c r="O115"/>
    </row>
    <row r="116" spans="2:15">
      <c r="B116" s="164" t="s">
        <v>3</v>
      </c>
      <c r="C116" s="164" t="s">
        <v>619</v>
      </c>
      <c r="D116" s="164" t="s">
        <v>623</v>
      </c>
      <c r="E116" s="164" t="s">
        <v>501</v>
      </c>
      <c r="F116" s="164" t="s">
        <v>513</v>
      </c>
      <c r="G116" s="164" t="s">
        <v>514</v>
      </c>
      <c r="J116"/>
      <c r="K116"/>
      <c r="L116"/>
      <c r="O116"/>
    </row>
    <row r="117" spans="2:15" ht="36.950000000000003" customHeight="1">
      <c r="B117" s="305" t="s">
        <v>634</v>
      </c>
      <c r="C117" s="303" t="s">
        <v>620</v>
      </c>
      <c r="D117" s="303">
        <v>1</v>
      </c>
      <c r="E117" s="304">
        <v>116844</v>
      </c>
      <c r="F117" s="304">
        <v>103129</v>
      </c>
      <c r="G117" s="304">
        <v>13715</v>
      </c>
      <c r="J117"/>
      <c r="K117"/>
      <c r="L117"/>
      <c r="O117"/>
    </row>
    <row r="118" spans="2:15" ht="39.950000000000003" customHeight="1">
      <c r="B118" s="305" t="s">
        <v>634</v>
      </c>
      <c r="C118" s="303" t="s">
        <v>621</v>
      </c>
      <c r="D118" s="303">
        <v>2</v>
      </c>
      <c r="E118" s="304">
        <v>59437</v>
      </c>
      <c r="F118" s="304">
        <v>54885</v>
      </c>
      <c r="G118" s="304">
        <v>4552</v>
      </c>
      <c r="J118"/>
      <c r="K118"/>
      <c r="L118"/>
      <c r="O118"/>
    </row>
    <row r="119" spans="2:15" ht="39" customHeight="1">
      <c r="B119" s="305" t="s">
        <v>634</v>
      </c>
      <c r="C119" s="303" t="s">
        <v>622</v>
      </c>
      <c r="D119" s="303">
        <v>3</v>
      </c>
      <c r="E119" s="304">
        <v>208533</v>
      </c>
      <c r="F119" s="304">
        <v>179708</v>
      </c>
      <c r="G119" s="304">
        <v>28825</v>
      </c>
      <c r="J119"/>
      <c r="K119"/>
      <c r="L119"/>
      <c r="O119"/>
    </row>
    <row r="120" spans="2:15">
      <c r="J120"/>
      <c r="K120"/>
      <c r="L120"/>
      <c r="O120"/>
    </row>
    <row r="121" spans="2:15">
      <c r="J121"/>
      <c r="K121"/>
      <c r="L121"/>
      <c r="O121"/>
    </row>
    <row r="122" spans="2:15" customFormat="1" ht="19.5">
      <c r="B122" s="273" t="s">
        <v>635</v>
      </c>
    </row>
    <row r="123" spans="2:15" customFormat="1"/>
    <row r="124" spans="2:15" customFormat="1"/>
    <row r="125" spans="2:15" customFormat="1"/>
    <row r="126" spans="2:15" customFormat="1"/>
    <row r="127" spans="2:15" customFormat="1"/>
    <row r="128" spans="2:15"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spans="2:19" customFormat="1"/>
    <row r="146" spans="2:19" customFormat="1"/>
    <row r="147" spans="2:19" customFormat="1"/>
    <row r="148" spans="2:19" customFormat="1"/>
    <row r="149" spans="2:19" customFormat="1"/>
    <row r="150" spans="2:19" customFormat="1"/>
    <row r="151" spans="2:19" customFormat="1"/>
    <row r="152" spans="2:19" customFormat="1"/>
    <row r="153" spans="2:19" customFormat="1"/>
    <row r="154" spans="2:19" customFormat="1"/>
    <row r="155" spans="2:19">
      <c r="I155"/>
      <c r="J155"/>
      <c r="K155"/>
      <c r="L155"/>
      <c r="M155"/>
      <c r="N155"/>
      <c r="O155"/>
      <c r="P155"/>
    </row>
    <row r="156" spans="2:19" ht="18.75">
      <c r="B156" s="83"/>
      <c r="J156"/>
      <c r="K156"/>
      <c r="L156"/>
      <c r="M156"/>
      <c r="N156"/>
      <c r="O156"/>
      <c r="P156"/>
      <c r="Q156"/>
      <c r="R156"/>
      <c r="S156"/>
    </row>
    <row r="157" spans="2:19" ht="19.5">
      <c r="B157" s="273" t="s">
        <v>584</v>
      </c>
      <c r="J157"/>
      <c r="K157"/>
      <c r="L157"/>
      <c r="M157"/>
      <c r="N157"/>
      <c r="O157"/>
      <c r="P157"/>
      <c r="Q157"/>
      <c r="R157"/>
      <c r="S157"/>
    </row>
    <row r="158" spans="2:19" ht="18.75">
      <c r="B158" s="83"/>
      <c r="J158"/>
      <c r="K158"/>
      <c r="L158"/>
      <c r="M158"/>
      <c r="N158"/>
      <c r="O158"/>
      <c r="P158"/>
      <c r="Q158"/>
      <c r="R158"/>
      <c r="S158"/>
    </row>
    <row r="159" spans="2:19" ht="18.75">
      <c r="B159" s="83"/>
      <c r="J159"/>
      <c r="K159"/>
      <c r="L159"/>
      <c r="M159"/>
      <c r="N159"/>
      <c r="O159"/>
      <c r="P159"/>
      <c r="Q159"/>
      <c r="R159"/>
      <c r="S159"/>
    </row>
    <row r="160" spans="2:19" ht="18.75">
      <c r="B160" s="83"/>
      <c r="J160"/>
      <c r="K160"/>
      <c r="L160"/>
      <c r="M160"/>
      <c r="N160"/>
      <c r="O160"/>
      <c r="P160"/>
      <c r="Q160"/>
      <c r="R160"/>
      <c r="S160"/>
    </row>
    <row r="161" spans="2:27" ht="18.75">
      <c r="B161" s="83"/>
      <c r="J161"/>
      <c r="K161"/>
      <c r="L161"/>
      <c r="M161"/>
      <c r="N161"/>
      <c r="O161"/>
      <c r="P161"/>
      <c r="Q161"/>
      <c r="R161"/>
      <c r="S161"/>
    </row>
    <row r="162" spans="2:27" ht="18.75">
      <c r="B162" s="83"/>
      <c r="J162"/>
      <c r="K162"/>
      <c r="L162"/>
      <c r="M162"/>
      <c r="N162"/>
      <c r="O162"/>
      <c r="P162"/>
      <c r="Q162"/>
      <c r="R162"/>
      <c r="S162"/>
    </row>
    <row r="163" spans="2:27" ht="18.75">
      <c r="B163" s="83"/>
      <c r="J163"/>
      <c r="K163"/>
      <c r="L163"/>
      <c r="M163"/>
      <c r="N163"/>
      <c r="O163"/>
      <c r="P163"/>
      <c r="Q163"/>
      <c r="R163"/>
      <c r="S163"/>
    </row>
    <row r="165" spans="2:27" ht="84.95" customHeight="1">
      <c r="B165" s="245" t="s">
        <v>499</v>
      </c>
      <c r="C165" s="245" t="s">
        <v>120</v>
      </c>
      <c r="D165" s="245" t="s">
        <v>500</v>
      </c>
      <c r="E165" s="245" t="s">
        <v>198</v>
      </c>
      <c r="F165" s="245" t="s">
        <v>519</v>
      </c>
      <c r="G165" s="246" t="s">
        <v>586</v>
      </c>
      <c r="H165" s="246" t="s">
        <v>591</v>
      </c>
      <c r="I165" s="246" t="s">
        <v>587</v>
      </c>
      <c r="J165" s="246" t="s">
        <v>506</v>
      </c>
      <c r="K165" s="246" t="s">
        <v>588</v>
      </c>
      <c r="L165" s="246" t="s">
        <v>589</v>
      </c>
      <c r="M165" s="246" t="s">
        <v>590</v>
      </c>
      <c r="N165" s="246" t="s">
        <v>566</v>
      </c>
      <c r="O165" s="247" t="s">
        <v>567</v>
      </c>
      <c r="P165" s="247" t="s">
        <v>568</v>
      </c>
      <c r="Q165" s="246" t="s">
        <v>364</v>
      </c>
      <c r="R165" s="246" t="s">
        <v>569</v>
      </c>
      <c r="S165" s="246" t="s">
        <v>570</v>
      </c>
      <c r="T165" s="248" t="s">
        <v>571</v>
      </c>
      <c r="U165"/>
      <c r="V165"/>
      <c r="W165"/>
      <c r="X165"/>
      <c r="Z165"/>
      <c r="AA165"/>
    </row>
    <row r="166" spans="2:27">
      <c r="B166" s="249" t="s">
        <v>501</v>
      </c>
      <c r="C166" s="250" t="s">
        <v>242</v>
      </c>
      <c r="D166" s="250" t="s">
        <v>502</v>
      </c>
      <c r="E166" s="251">
        <v>1</v>
      </c>
      <c r="F166" s="251" t="s">
        <v>281</v>
      </c>
      <c r="G166" s="250">
        <v>116844</v>
      </c>
      <c r="H166" s="250">
        <v>59437</v>
      </c>
      <c r="I166" s="250">
        <v>208533</v>
      </c>
      <c r="J166" s="252">
        <v>-6.6000000000000003E-2</v>
      </c>
      <c r="K166" s="250">
        <v>103443</v>
      </c>
      <c r="L166" s="250">
        <v>51750</v>
      </c>
      <c r="M166" s="250">
        <v>186749</v>
      </c>
      <c r="N166" s="250">
        <v>13401</v>
      </c>
      <c r="O166" s="250">
        <v>7687</v>
      </c>
      <c r="P166" s="250">
        <v>21784</v>
      </c>
      <c r="Q166" s="253">
        <v>977845</v>
      </c>
      <c r="R166" s="254">
        <v>13.704626083374023</v>
      </c>
      <c r="S166" s="254">
        <v>7.8611645698547363</v>
      </c>
      <c r="T166" s="255">
        <v>22.277559280395508</v>
      </c>
      <c r="U166"/>
      <c r="V166"/>
      <c r="W166"/>
      <c r="X166"/>
      <c r="Z166"/>
      <c r="AA166"/>
    </row>
    <row r="167" spans="2:27">
      <c r="B167" s="249" t="s">
        <v>501</v>
      </c>
      <c r="C167" s="250" t="s">
        <v>242</v>
      </c>
      <c r="D167" s="250" t="s">
        <v>502</v>
      </c>
      <c r="E167" s="251">
        <v>2</v>
      </c>
      <c r="F167" s="251" t="s">
        <v>281</v>
      </c>
      <c r="G167" s="250">
        <v>116844</v>
      </c>
      <c r="H167" s="250">
        <v>59437</v>
      </c>
      <c r="I167" s="250">
        <v>208533</v>
      </c>
      <c r="J167" s="252">
        <v>-6.6000000000000003E-2</v>
      </c>
      <c r="K167" s="250">
        <v>96631</v>
      </c>
      <c r="L167" s="250">
        <v>48529</v>
      </c>
      <c r="M167" s="250">
        <v>174512</v>
      </c>
      <c r="N167" s="250">
        <v>20213</v>
      </c>
      <c r="O167" s="250">
        <v>10908</v>
      </c>
      <c r="P167" s="250">
        <v>34021</v>
      </c>
      <c r="Q167" s="253">
        <v>1239352</v>
      </c>
      <c r="R167" s="254">
        <v>16.309329986572266</v>
      </c>
      <c r="S167" s="254">
        <v>8.8013734817504883</v>
      </c>
      <c r="T167" s="255">
        <v>27.45063591003418</v>
      </c>
      <c r="U167"/>
      <c r="V167"/>
      <c r="W167"/>
      <c r="X167"/>
      <c r="Z167"/>
      <c r="AA167"/>
    </row>
    <row r="168" spans="2:27">
      <c r="B168" s="249" t="s">
        <v>501</v>
      </c>
      <c r="C168" s="250" t="s">
        <v>242</v>
      </c>
      <c r="D168" s="250" t="s">
        <v>502</v>
      </c>
      <c r="E168" s="251">
        <v>3</v>
      </c>
      <c r="F168" s="251" t="s">
        <v>281</v>
      </c>
      <c r="G168" s="250">
        <v>116844</v>
      </c>
      <c r="H168" s="250">
        <v>59437</v>
      </c>
      <c r="I168" s="250">
        <v>208533</v>
      </c>
      <c r="J168" s="252">
        <v>-6.6000000000000003E-2</v>
      </c>
      <c r="K168" s="250">
        <v>90500</v>
      </c>
      <c r="L168" s="250">
        <v>45362</v>
      </c>
      <c r="M168" s="250">
        <v>163195</v>
      </c>
      <c r="N168" s="250">
        <v>26344</v>
      </c>
      <c r="O168" s="250">
        <v>14075</v>
      </c>
      <c r="P168" s="250">
        <v>45338</v>
      </c>
      <c r="Q168" s="253">
        <v>837959</v>
      </c>
      <c r="R168" s="254">
        <v>31.438291549682617</v>
      </c>
      <c r="S168" s="254">
        <v>16.796764373779297</v>
      </c>
      <c r="T168" s="255">
        <v>54.105270385742188</v>
      </c>
      <c r="U168"/>
      <c r="V168"/>
      <c r="W168"/>
      <c r="X168"/>
      <c r="Z168"/>
      <c r="AA168"/>
    </row>
    <row r="169" spans="2:27">
      <c r="B169" s="249" t="s">
        <v>501</v>
      </c>
      <c r="C169" s="250" t="s">
        <v>242</v>
      </c>
      <c r="D169" s="250" t="s">
        <v>502</v>
      </c>
      <c r="E169" s="251">
        <v>4</v>
      </c>
      <c r="F169" s="251" t="s">
        <v>281</v>
      </c>
      <c r="G169" s="250">
        <v>116844</v>
      </c>
      <c r="H169" s="250">
        <v>59437</v>
      </c>
      <c r="I169" s="250">
        <v>208533</v>
      </c>
      <c r="J169" s="252">
        <v>-6.6000000000000003E-2</v>
      </c>
      <c r="K169" s="250">
        <v>84504</v>
      </c>
      <c r="L169" s="250">
        <v>42312</v>
      </c>
      <c r="M169" s="250">
        <v>152306</v>
      </c>
      <c r="N169" s="250">
        <v>32340</v>
      </c>
      <c r="O169" s="250">
        <v>17125</v>
      </c>
      <c r="P169" s="250">
        <v>56227</v>
      </c>
      <c r="Q169" s="253">
        <v>855330</v>
      </c>
      <c r="R169" s="254">
        <v>37.809967041015625</v>
      </c>
      <c r="S169" s="254">
        <v>20.021511077880859</v>
      </c>
      <c r="T169" s="255">
        <v>65.737205505371094</v>
      </c>
      <c r="U169"/>
      <c r="V169"/>
      <c r="W169"/>
      <c r="X169"/>
      <c r="Z169"/>
      <c r="AA169"/>
    </row>
    <row r="170" spans="2:27">
      <c r="B170" s="249" t="s">
        <v>501</v>
      </c>
      <c r="C170" s="250" t="s">
        <v>242</v>
      </c>
      <c r="D170" s="250" t="s">
        <v>502</v>
      </c>
      <c r="E170" s="251">
        <v>5</v>
      </c>
      <c r="F170" s="251" t="s">
        <v>281</v>
      </c>
      <c r="G170" s="250">
        <v>116844</v>
      </c>
      <c r="H170" s="250">
        <v>59437</v>
      </c>
      <c r="I170" s="250">
        <v>208533</v>
      </c>
      <c r="J170" s="252">
        <v>-6.6000000000000003E-2</v>
      </c>
      <c r="K170" s="250">
        <v>78767</v>
      </c>
      <c r="L170" s="250">
        <v>39504</v>
      </c>
      <c r="M170" s="250">
        <v>141743</v>
      </c>
      <c r="N170" s="250">
        <v>38077</v>
      </c>
      <c r="O170" s="250">
        <v>19933</v>
      </c>
      <c r="P170" s="250">
        <v>66790</v>
      </c>
      <c r="Q170" s="253">
        <v>837959</v>
      </c>
      <c r="R170" s="254">
        <v>45.440170288085938</v>
      </c>
      <c r="S170" s="254">
        <v>23.787559509277344</v>
      </c>
      <c r="T170" s="255">
        <v>79.705574035644531</v>
      </c>
      <c r="U170"/>
      <c r="V170"/>
      <c r="W170"/>
      <c r="X170"/>
      <c r="Z170"/>
      <c r="AA170"/>
    </row>
    <row r="171" spans="2:27">
      <c r="B171" s="249" t="s">
        <v>501</v>
      </c>
      <c r="C171" s="250" t="s">
        <v>242</v>
      </c>
      <c r="D171" s="250" t="s">
        <v>201</v>
      </c>
      <c r="E171" s="251">
        <v>6</v>
      </c>
      <c r="F171" s="251" t="s">
        <v>281</v>
      </c>
      <c r="G171" s="250">
        <v>116844</v>
      </c>
      <c r="H171" s="250">
        <v>59437</v>
      </c>
      <c r="I171" s="250">
        <v>208533</v>
      </c>
      <c r="J171" s="252">
        <v>-1.24E-2</v>
      </c>
      <c r="K171" s="250">
        <v>77874</v>
      </c>
      <c r="L171" s="250">
        <v>39043</v>
      </c>
      <c r="M171" s="250">
        <v>140331</v>
      </c>
      <c r="N171" s="250">
        <v>38970</v>
      </c>
      <c r="O171" s="250">
        <v>20394</v>
      </c>
      <c r="P171" s="250">
        <v>68202</v>
      </c>
      <c r="Q171" s="253">
        <v>661371</v>
      </c>
      <c r="R171" s="254">
        <v>58.923053741455078</v>
      </c>
      <c r="S171" s="254">
        <v>30.835945129394531</v>
      </c>
      <c r="T171" s="255">
        <v>103.12215423583984</v>
      </c>
      <c r="U171"/>
      <c r="V171"/>
      <c r="W171"/>
      <c r="X171"/>
      <c r="Z171"/>
      <c r="AA171"/>
    </row>
    <row r="172" spans="2:27">
      <c r="B172" s="249" t="s">
        <v>501</v>
      </c>
      <c r="C172" s="250" t="s">
        <v>242</v>
      </c>
      <c r="D172" s="250" t="s">
        <v>201</v>
      </c>
      <c r="E172" s="251">
        <v>7</v>
      </c>
      <c r="F172" s="251" t="s">
        <v>281</v>
      </c>
      <c r="G172" s="250">
        <v>116844</v>
      </c>
      <c r="H172" s="250">
        <v>59437</v>
      </c>
      <c r="I172" s="250">
        <v>208533</v>
      </c>
      <c r="J172" s="252">
        <v>-1.24E-2</v>
      </c>
      <c r="K172" s="250">
        <v>76944</v>
      </c>
      <c r="L172" s="250">
        <v>38518</v>
      </c>
      <c r="M172" s="250">
        <v>138618</v>
      </c>
      <c r="N172" s="250">
        <v>39900</v>
      </c>
      <c r="O172" s="250">
        <v>20919</v>
      </c>
      <c r="P172" s="250">
        <v>69915</v>
      </c>
      <c r="Q172" s="253">
        <v>504727</v>
      </c>
      <c r="R172" s="254">
        <v>79.052635192871094</v>
      </c>
      <c r="S172" s="254">
        <v>41.4461669921875</v>
      </c>
      <c r="T172" s="255">
        <v>138.52043151855469</v>
      </c>
      <c r="U172"/>
      <c r="V172"/>
      <c r="W172"/>
      <c r="X172"/>
      <c r="Z172"/>
      <c r="AA172"/>
    </row>
    <row r="173" spans="2:27">
      <c r="B173" s="249" t="s">
        <v>501</v>
      </c>
      <c r="C173" s="250" t="s">
        <v>242</v>
      </c>
      <c r="D173" s="250" t="s">
        <v>201</v>
      </c>
      <c r="E173" s="251">
        <v>8</v>
      </c>
      <c r="F173" s="251" t="s">
        <v>281</v>
      </c>
      <c r="G173" s="250">
        <v>116844</v>
      </c>
      <c r="H173" s="250">
        <v>59437</v>
      </c>
      <c r="I173" s="250">
        <v>208533</v>
      </c>
      <c r="J173" s="252">
        <v>-1.24E-2</v>
      </c>
      <c r="K173" s="250">
        <v>75994</v>
      </c>
      <c r="L173" s="250">
        <v>38142</v>
      </c>
      <c r="M173" s="250">
        <v>136895</v>
      </c>
      <c r="N173" s="250">
        <v>40850</v>
      </c>
      <c r="O173" s="250">
        <v>21295</v>
      </c>
      <c r="P173" s="250">
        <v>71638</v>
      </c>
      <c r="Q173" s="253">
        <v>487356</v>
      </c>
      <c r="R173" s="254">
        <v>83.819625854492188</v>
      </c>
      <c r="S173" s="254">
        <v>43.694957733154297</v>
      </c>
      <c r="T173" s="255">
        <v>146.9931640625</v>
      </c>
      <c r="U173"/>
      <c r="V173"/>
      <c r="W173"/>
      <c r="X173"/>
      <c r="Z173"/>
      <c r="AA173"/>
    </row>
    <row r="174" spans="2:27">
      <c r="B174" s="249" t="s">
        <v>501</v>
      </c>
      <c r="C174" s="250" t="s">
        <v>242</v>
      </c>
      <c r="D174" s="250" t="s">
        <v>201</v>
      </c>
      <c r="E174" s="251">
        <v>9</v>
      </c>
      <c r="F174" s="251" t="s">
        <v>281</v>
      </c>
      <c r="G174" s="250">
        <v>116844</v>
      </c>
      <c r="H174" s="250">
        <v>59437</v>
      </c>
      <c r="I174" s="250">
        <v>208533</v>
      </c>
      <c r="J174" s="252">
        <v>-1.24E-2</v>
      </c>
      <c r="K174" s="250">
        <v>75256</v>
      </c>
      <c r="L174" s="250">
        <v>37724</v>
      </c>
      <c r="M174" s="250">
        <v>135460</v>
      </c>
      <c r="N174" s="250">
        <v>41588</v>
      </c>
      <c r="O174" s="250">
        <v>21713</v>
      </c>
      <c r="P174" s="250">
        <v>73073</v>
      </c>
      <c r="Q174" s="253">
        <v>487356</v>
      </c>
      <c r="R174" s="254">
        <v>85.33392333984375</v>
      </c>
      <c r="S174" s="254">
        <v>44.552646636962891</v>
      </c>
      <c r="T174" s="255">
        <v>149.9376220703125</v>
      </c>
      <c r="U174"/>
      <c r="V174"/>
      <c r="W174"/>
      <c r="X174"/>
      <c r="Z174"/>
      <c r="AA174"/>
    </row>
    <row r="175" spans="2:27">
      <c r="B175" s="249" t="s">
        <v>501</v>
      </c>
      <c r="C175" s="250" t="s">
        <v>242</v>
      </c>
      <c r="D175" s="250" t="s">
        <v>201</v>
      </c>
      <c r="E175" s="251">
        <v>10</v>
      </c>
      <c r="F175" s="251" t="s">
        <v>281</v>
      </c>
      <c r="G175" s="250">
        <v>116844</v>
      </c>
      <c r="H175" s="250">
        <v>59437</v>
      </c>
      <c r="I175" s="250">
        <v>208533</v>
      </c>
      <c r="J175" s="252">
        <v>-1.24E-2</v>
      </c>
      <c r="K175" s="250">
        <v>74630</v>
      </c>
      <c r="L175" s="250">
        <v>37384</v>
      </c>
      <c r="M175" s="250">
        <v>134298</v>
      </c>
      <c r="N175" s="250">
        <v>42214</v>
      </c>
      <c r="O175" s="250">
        <v>22053</v>
      </c>
      <c r="P175" s="250">
        <v>74235</v>
      </c>
      <c r="Q175" s="253">
        <v>504727</v>
      </c>
      <c r="R175" s="254">
        <v>83.637290954589844</v>
      </c>
      <c r="S175" s="254">
        <v>43.692928314208984</v>
      </c>
      <c r="T175" s="255">
        <v>147.07951354980469</v>
      </c>
      <c r="U175"/>
      <c r="V175"/>
      <c r="W175"/>
      <c r="X175"/>
      <c r="Z175"/>
      <c r="AA175"/>
    </row>
    <row r="176" spans="2:27">
      <c r="B176" s="249" t="s">
        <v>501</v>
      </c>
      <c r="C176" s="250" t="s">
        <v>242</v>
      </c>
      <c r="D176" s="250" t="s">
        <v>201</v>
      </c>
      <c r="E176" s="251">
        <v>11</v>
      </c>
      <c r="F176" s="251" t="s">
        <v>281</v>
      </c>
      <c r="G176" s="250">
        <v>116844</v>
      </c>
      <c r="H176" s="250">
        <v>59437</v>
      </c>
      <c r="I176" s="250">
        <v>208533</v>
      </c>
      <c r="J176" s="252">
        <v>-1.24E-2</v>
      </c>
      <c r="K176" s="250">
        <v>72057</v>
      </c>
      <c r="L176" s="250">
        <v>36181</v>
      </c>
      <c r="M176" s="250">
        <v>130432</v>
      </c>
      <c r="N176" s="250">
        <v>44787</v>
      </c>
      <c r="O176" s="250">
        <v>23256</v>
      </c>
      <c r="P176" s="250">
        <v>78101</v>
      </c>
      <c r="Q176" s="253">
        <v>661371</v>
      </c>
      <c r="R176" s="254">
        <v>67.718421936035156</v>
      </c>
      <c r="S176" s="254">
        <v>35.163322448730469</v>
      </c>
      <c r="T176" s="255">
        <v>118.08953857421875</v>
      </c>
      <c r="U176"/>
      <c r="V176"/>
      <c r="W176"/>
      <c r="X176"/>
      <c r="Z176"/>
      <c r="AA176"/>
    </row>
    <row r="177" spans="2:27">
      <c r="B177" s="249" t="s">
        <v>501</v>
      </c>
      <c r="C177" s="250" t="s">
        <v>242</v>
      </c>
      <c r="D177" s="250" t="s">
        <v>201</v>
      </c>
      <c r="E177" s="251">
        <v>12</v>
      </c>
      <c r="F177" s="251" t="s">
        <v>281</v>
      </c>
      <c r="G177" s="250">
        <v>116844</v>
      </c>
      <c r="H177" s="250">
        <v>59437</v>
      </c>
      <c r="I177" s="250">
        <v>208533</v>
      </c>
      <c r="J177" s="252">
        <v>-1.24E-2</v>
      </c>
      <c r="K177" s="250">
        <v>71375</v>
      </c>
      <c r="L177" s="250">
        <v>35822</v>
      </c>
      <c r="M177" s="250">
        <v>129294</v>
      </c>
      <c r="N177" s="250">
        <v>45469</v>
      </c>
      <c r="O177" s="250">
        <v>23615</v>
      </c>
      <c r="P177" s="250">
        <v>79239</v>
      </c>
      <c r="Q177" s="253">
        <v>487356</v>
      </c>
      <c r="R177" s="254">
        <v>93.29730224609375</v>
      </c>
      <c r="S177" s="254">
        <v>48.455337524414063</v>
      </c>
      <c r="T177" s="255">
        <v>162.58956909179688</v>
      </c>
      <c r="U177"/>
      <c r="V177"/>
      <c r="W177"/>
      <c r="X177"/>
      <c r="Z177"/>
      <c r="AA177"/>
    </row>
    <row r="178" spans="2:27">
      <c r="B178" s="249" t="s">
        <v>501</v>
      </c>
      <c r="C178" s="250" t="s">
        <v>242</v>
      </c>
      <c r="D178" s="250" t="s">
        <v>201</v>
      </c>
      <c r="E178" s="251">
        <v>13</v>
      </c>
      <c r="F178" s="251" t="s">
        <v>281</v>
      </c>
      <c r="G178" s="250">
        <v>116844</v>
      </c>
      <c r="H178" s="250">
        <v>59437</v>
      </c>
      <c r="I178" s="250">
        <v>208533</v>
      </c>
      <c r="J178" s="252">
        <v>-1.24E-2</v>
      </c>
      <c r="K178" s="250">
        <v>70719</v>
      </c>
      <c r="L178" s="250">
        <v>35391</v>
      </c>
      <c r="M178" s="250">
        <v>127971</v>
      </c>
      <c r="N178" s="250">
        <v>46125</v>
      </c>
      <c r="O178" s="250">
        <v>24046</v>
      </c>
      <c r="P178" s="250">
        <v>80562</v>
      </c>
      <c r="Q178" s="253">
        <v>504727</v>
      </c>
      <c r="R178" s="254">
        <v>91.386032104492188</v>
      </c>
      <c r="S178" s="254">
        <v>47.641597747802734</v>
      </c>
      <c r="T178" s="255">
        <v>159.614990234375</v>
      </c>
      <c r="U178"/>
      <c r="V178"/>
      <c r="W178"/>
      <c r="X178"/>
      <c r="Z178"/>
      <c r="AA178"/>
    </row>
    <row r="179" spans="2:27">
      <c r="B179" s="249" t="s">
        <v>501</v>
      </c>
      <c r="C179" s="250" t="s">
        <v>242</v>
      </c>
      <c r="D179" s="250" t="s">
        <v>201</v>
      </c>
      <c r="E179" s="251">
        <v>14</v>
      </c>
      <c r="F179" s="251" t="s">
        <v>281</v>
      </c>
      <c r="G179" s="250">
        <v>116844</v>
      </c>
      <c r="H179" s="250">
        <v>59437</v>
      </c>
      <c r="I179" s="250">
        <v>208533</v>
      </c>
      <c r="J179" s="252">
        <v>-1.24E-2</v>
      </c>
      <c r="K179" s="250">
        <v>69664</v>
      </c>
      <c r="L179" s="250">
        <v>34998</v>
      </c>
      <c r="M179" s="250">
        <v>126048</v>
      </c>
      <c r="N179" s="250">
        <v>47180</v>
      </c>
      <c r="O179" s="250">
        <v>24439</v>
      </c>
      <c r="P179" s="250">
        <v>82485</v>
      </c>
      <c r="Q179" s="253">
        <v>487356</v>
      </c>
      <c r="R179" s="254">
        <v>96.808082580566406</v>
      </c>
      <c r="S179" s="254">
        <v>50.146095275878906</v>
      </c>
      <c r="T179" s="255">
        <v>169.25</v>
      </c>
      <c r="U179"/>
      <c r="V179"/>
      <c r="W179"/>
      <c r="X179"/>
      <c r="Z179"/>
      <c r="AA179"/>
    </row>
    <row r="180" spans="2:27">
      <c r="B180" s="256" t="s">
        <v>501</v>
      </c>
      <c r="C180" s="257" t="s">
        <v>242</v>
      </c>
      <c r="D180" s="257" t="s">
        <v>201</v>
      </c>
      <c r="E180" s="258">
        <v>15</v>
      </c>
      <c r="F180" s="258" t="s">
        <v>281</v>
      </c>
      <c r="G180" s="257">
        <v>116844</v>
      </c>
      <c r="H180" s="257">
        <v>59437</v>
      </c>
      <c r="I180" s="257">
        <v>208533</v>
      </c>
      <c r="J180" s="259">
        <v>-1.24E-2</v>
      </c>
      <c r="K180" s="257">
        <v>69019</v>
      </c>
      <c r="L180" s="257">
        <v>34682</v>
      </c>
      <c r="M180" s="257">
        <v>124816</v>
      </c>
      <c r="N180" s="257">
        <v>47825</v>
      </c>
      <c r="O180" s="257">
        <v>24755</v>
      </c>
      <c r="P180" s="257">
        <v>83717</v>
      </c>
      <c r="Q180" s="260">
        <v>487356</v>
      </c>
      <c r="R180" s="261">
        <v>98.131553649902344</v>
      </c>
      <c r="S180" s="261">
        <v>50.794490814208984</v>
      </c>
      <c r="T180" s="262">
        <v>171.77792358398438</v>
      </c>
      <c r="U180"/>
      <c r="V180"/>
      <c r="W180"/>
      <c r="X180"/>
      <c r="Z180"/>
      <c r="AA180"/>
    </row>
    <row r="181" spans="2:27">
      <c r="B181" s="249" t="s">
        <v>501</v>
      </c>
      <c r="C181" s="250" t="s">
        <v>282</v>
      </c>
      <c r="D181" s="250" t="s">
        <v>502</v>
      </c>
      <c r="E181" s="251">
        <v>1</v>
      </c>
      <c r="F181" s="251" t="s">
        <v>281</v>
      </c>
      <c r="G181" s="250">
        <v>116844</v>
      </c>
      <c r="H181" s="250">
        <v>59437</v>
      </c>
      <c r="I181" s="250">
        <v>208533</v>
      </c>
      <c r="J181" s="252">
        <v>-3.6400000000000002E-2</v>
      </c>
      <c r="K181" s="250">
        <v>106113</v>
      </c>
      <c r="L181" s="250">
        <v>53100</v>
      </c>
      <c r="M181" s="250">
        <v>191972</v>
      </c>
      <c r="N181" s="250">
        <v>10731</v>
      </c>
      <c r="O181" s="250">
        <v>6337</v>
      </c>
      <c r="P181" s="250">
        <v>16561</v>
      </c>
      <c r="Q181" s="253">
        <v>420165</v>
      </c>
      <c r="R181" s="254">
        <v>25.539966583251953</v>
      </c>
      <c r="S181" s="254">
        <v>15.082170486450195</v>
      </c>
      <c r="T181" s="255">
        <v>39.41546630859375</v>
      </c>
    </row>
    <row r="182" spans="2:27">
      <c r="B182" s="249" t="s">
        <v>501</v>
      </c>
      <c r="C182" s="250" t="s">
        <v>282</v>
      </c>
      <c r="D182" s="250" t="s">
        <v>502</v>
      </c>
      <c r="E182" s="251">
        <v>2</v>
      </c>
      <c r="F182" s="251" t="s">
        <v>281</v>
      </c>
      <c r="G182" s="250">
        <v>116844</v>
      </c>
      <c r="H182" s="250">
        <v>59437</v>
      </c>
      <c r="I182" s="250">
        <v>208533</v>
      </c>
      <c r="J182" s="252">
        <v>-3.6400000000000002E-2</v>
      </c>
      <c r="K182" s="250">
        <v>102778</v>
      </c>
      <c r="L182" s="250">
        <v>51401</v>
      </c>
      <c r="M182" s="250">
        <v>185265</v>
      </c>
      <c r="N182" s="250">
        <v>14066</v>
      </c>
      <c r="O182" s="250">
        <v>8036</v>
      </c>
      <c r="P182" s="250">
        <v>23268</v>
      </c>
      <c r="Q182" s="253">
        <v>188719</v>
      </c>
      <c r="R182" s="254">
        <v>74.534095764160156</v>
      </c>
      <c r="S182" s="254">
        <v>42.581825256347656</v>
      </c>
      <c r="T182" s="255">
        <v>123.29441833496094</v>
      </c>
    </row>
    <row r="183" spans="2:27">
      <c r="B183" s="249" t="s">
        <v>501</v>
      </c>
      <c r="C183" s="250" t="s">
        <v>282</v>
      </c>
      <c r="D183" s="250" t="s">
        <v>502</v>
      </c>
      <c r="E183" s="251">
        <v>3</v>
      </c>
      <c r="F183" s="251" t="s">
        <v>281</v>
      </c>
      <c r="G183" s="250">
        <v>116844</v>
      </c>
      <c r="H183" s="250">
        <v>59437</v>
      </c>
      <c r="I183" s="250">
        <v>208533</v>
      </c>
      <c r="J183" s="252">
        <v>-3.6400000000000002E-2</v>
      </c>
      <c r="K183" s="250">
        <v>99145</v>
      </c>
      <c r="L183" s="250">
        <v>49717</v>
      </c>
      <c r="M183" s="250">
        <v>179027</v>
      </c>
      <c r="N183" s="250">
        <v>17699</v>
      </c>
      <c r="O183" s="250">
        <v>9720</v>
      </c>
      <c r="P183" s="250">
        <v>29506</v>
      </c>
      <c r="Q183" s="253">
        <v>155920</v>
      </c>
      <c r="R183" s="254">
        <v>113.51334381103516</v>
      </c>
      <c r="S183" s="254">
        <v>62.33966064453125</v>
      </c>
      <c r="T183" s="255">
        <v>189.23806762695313</v>
      </c>
    </row>
    <row r="184" spans="2:27">
      <c r="B184" s="249" t="s">
        <v>501</v>
      </c>
      <c r="C184" s="250" t="s">
        <v>282</v>
      </c>
      <c r="D184" s="250" t="s">
        <v>502</v>
      </c>
      <c r="E184" s="251">
        <v>4</v>
      </c>
      <c r="F184" s="251" t="s">
        <v>281</v>
      </c>
      <c r="G184" s="250">
        <v>116844</v>
      </c>
      <c r="H184" s="250">
        <v>59437</v>
      </c>
      <c r="I184" s="250">
        <v>208533</v>
      </c>
      <c r="J184" s="252">
        <v>-3.6400000000000002E-2</v>
      </c>
      <c r="K184" s="250">
        <v>95785</v>
      </c>
      <c r="L184" s="250">
        <v>48024</v>
      </c>
      <c r="M184" s="250">
        <v>172594</v>
      </c>
      <c r="N184" s="250">
        <v>21059</v>
      </c>
      <c r="O184" s="250">
        <v>11413</v>
      </c>
      <c r="P184" s="250">
        <v>35939</v>
      </c>
      <c r="Q184" s="253">
        <v>155920</v>
      </c>
      <c r="R184" s="254">
        <v>135.06285095214844</v>
      </c>
      <c r="S184" s="254">
        <v>73.197799682617188</v>
      </c>
      <c r="T184" s="255">
        <v>230.49639892578125</v>
      </c>
    </row>
    <row r="185" spans="2:27">
      <c r="B185" s="249" t="s">
        <v>501</v>
      </c>
      <c r="C185" s="250" t="s">
        <v>282</v>
      </c>
      <c r="D185" s="250" t="s">
        <v>502</v>
      </c>
      <c r="E185" s="251">
        <v>5</v>
      </c>
      <c r="F185" s="251" t="s">
        <v>281</v>
      </c>
      <c r="G185" s="250">
        <v>116844</v>
      </c>
      <c r="H185" s="250">
        <v>59437</v>
      </c>
      <c r="I185" s="250">
        <v>208533</v>
      </c>
      <c r="J185" s="252">
        <v>-3.6400000000000002E-2</v>
      </c>
      <c r="K185" s="250">
        <v>92092</v>
      </c>
      <c r="L185" s="250">
        <v>46127</v>
      </c>
      <c r="M185" s="250">
        <v>166023</v>
      </c>
      <c r="N185" s="250">
        <v>24752</v>
      </c>
      <c r="O185" s="250">
        <v>13310</v>
      </c>
      <c r="P185" s="250">
        <v>42510</v>
      </c>
      <c r="Q185" s="253">
        <v>155920</v>
      </c>
      <c r="R185" s="254">
        <v>158.74807739257813</v>
      </c>
      <c r="S185" s="254">
        <v>85.364288330078125</v>
      </c>
      <c r="T185" s="255">
        <v>272.63980102539063</v>
      </c>
    </row>
    <row r="186" spans="2:27">
      <c r="B186" s="249" t="s">
        <v>501</v>
      </c>
      <c r="C186" s="250" t="s">
        <v>282</v>
      </c>
      <c r="D186" s="250" t="s">
        <v>201</v>
      </c>
      <c r="E186" s="251">
        <v>6</v>
      </c>
      <c r="F186" s="251" t="s">
        <v>281</v>
      </c>
      <c r="G186" s="250">
        <v>116844</v>
      </c>
      <c r="H186" s="250">
        <v>59437</v>
      </c>
      <c r="I186" s="250">
        <v>208533</v>
      </c>
      <c r="J186" s="252">
        <v>-9.1000000000000004E-3</v>
      </c>
      <c r="K186" s="250">
        <v>91456</v>
      </c>
      <c r="L186" s="250">
        <v>45734</v>
      </c>
      <c r="M186" s="250">
        <v>164786</v>
      </c>
      <c r="N186" s="250">
        <v>25388</v>
      </c>
      <c r="O186" s="250">
        <v>13703</v>
      </c>
      <c r="P186" s="250">
        <v>43747</v>
      </c>
      <c r="Q186" s="253">
        <v>188016</v>
      </c>
      <c r="R186" s="254">
        <v>135.03106689453125</v>
      </c>
      <c r="S186" s="254">
        <v>72.882095336914063</v>
      </c>
      <c r="T186" s="255">
        <v>232.67701721191406</v>
      </c>
    </row>
    <row r="187" spans="2:27">
      <c r="B187" s="249" t="s">
        <v>501</v>
      </c>
      <c r="C187" s="250" t="s">
        <v>282</v>
      </c>
      <c r="D187" s="250" t="s">
        <v>201</v>
      </c>
      <c r="E187" s="251">
        <v>7</v>
      </c>
      <c r="F187" s="251" t="s">
        <v>281</v>
      </c>
      <c r="G187" s="250">
        <v>116844</v>
      </c>
      <c r="H187" s="250">
        <v>59437</v>
      </c>
      <c r="I187" s="250">
        <v>208533</v>
      </c>
      <c r="J187" s="252">
        <v>-9.1000000000000004E-3</v>
      </c>
      <c r="K187" s="250">
        <v>90585</v>
      </c>
      <c r="L187" s="250">
        <v>45413</v>
      </c>
      <c r="M187" s="250">
        <v>163436</v>
      </c>
      <c r="N187" s="250">
        <v>26259</v>
      </c>
      <c r="O187" s="250">
        <v>14024</v>
      </c>
      <c r="P187" s="250">
        <v>45097</v>
      </c>
      <c r="Q187" s="253">
        <v>143207</v>
      </c>
      <c r="R187" s="254">
        <v>183.36393737792969</v>
      </c>
      <c r="S187" s="254">
        <v>97.928176879882813</v>
      </c>
      <c r="T187" s="255">
        <v>314.90777587890625</v>
      </c>
    </row>
    <row r="188" spans="2:27">
      <c r="B188" s="249" t="s">
        <v>501</v>
      </c>
      <c r="C188" s="250" t="s">
        <v>282</v>
      </c>
      <c r="D188" s="250" t="s">
        <v>201</v>
      </c>
      <c r="E188" s="251">
        <v>8</v>
      </c>
      <c r="F188" s="251" t="s">
        <v>281</v>
      </c>
      <c r="G188" s="250">
        <v>116844</v>
      </c>
      <c r="H188" s="250">
        <v>59437</v>
      </c>
      <c r="I188" s="250">
        <v>208533</v>
      </c>
      <c r="J188" s="252">
        <v>-9.1000000000000004E-3</v>
      </c>
      <c r="K188" s="250">
        <v>89982</v>
      </c>
      <c r="L188" s="250">
        <v>45125</v>
      </c>
      <c r="M188" s="250">
        <v>161947</v>
      </c>
      <c r="N188" s="250">
        <v>26862</v>
      </c>
      <c r="O188" s="250">
        <v>14312</v>
      </c>
      <c r="P188" s="250">
        <v>46586</v>
      </c>
      <c r="Q188" s="253">
        <v>143207</v>
      </c>
      <c r="R188" s="254">
        <v>187.57463073730469</v>
      </c>
      <c r="S188" s="254">
        <v>99.939247131347656</v>
      </c>
      <c r="T188" s="255">
        <v>325.3052978515625</v>
      </c>
    </row>
    <row r="189" spans="2:27">
      <c r="B189" s="249" t="s">
        <v>501</v>
      </c>
      <c r="C189" s="250" t="s">
        <v>282</v>
      </c>
      <c r="D189" s="250" t="s">
        <v>201</v>
      </c>
      <c r="E189" s="251">
        <v>9</v>
      </c>
      <c r="F189" s="251" t="s">
        <v>281</v>
      </c>
      <c r="G189" s="250">
        <v>116844</v>
      </c>
      <c r="H189" s="250">
        <v>59437</v>
      </c>
      <c r="I189" s="250">
        <v>208533</v>
      </c>
      <c r="J189" s="252">
        <v>-9.1000000000000004E-3</v>
      </c>
      <c r="K189" s="250">
        <v>89387</v>
      </c>
      <c r="L189" s="250">
        <v>44772</v>
      </c>
      <c r="M189" s="250">
        <v>161017</v>
      </c>
      <c r="N189" s="250">
        <v>27457</v>
      </c>
      <c r="O189" s="250">
        <v>14665</v>
      </c>
      <c r="P189" s="250">
        <v>47516</v>
      </c>
      <c r="Q189" s="253">
        <v>143207</v>
      </c>
      <c r="R189" s="254">
        <v>191.72946166992188</v>
      </c>
      <c r="S189" s="254">
        <v>102.40421295166016</v>
      </c>
      <c r="T189" s="255">
        <v>331.79940795898438</v>
      </c>
    </row>
    <row r="190" spans="2:27">
      <c r="B190" s="249" t="s">
        <v>501</v>
      </c>
      <c r="C190" s="250" t="s">
        <v>282</v>
      </c>
      <c r="D190" s="250" t="s">
        <v>201</v>
      </c>
      <c r="E190" s="251">
        <v>10</v>
      </c>
      <c r="F190" s="251" t="s">
        <v>281</v>
      </c>
      <c r="G190" s="250">
        <v>116844</v>
      </c>
      <c r="H190" s="250">
        <v>59437</v>
      </c>
      <c r="I190" s="250">
        <v>208533</v>
      </c>
      <c r="J190" s="252">
        <v>-9.1000000000000004E-3</v>
      </c>
      <c r="K190" s="250">
        <v>88042</v>
      </c>
      <c r="L190" s="250">
        <v>43948</v>
      </c>
      <c r="M190" s="250">
        <v>158628</v>
      </c>
      <c r="N190" s="250">
        <v>28802</v>
      </c>
      <c r="O190" s="250">
        <v>15489</v>
      </c>
      <c r="P190" s="250">
        <v>49905</v>
      </c>
      <c r="Q190" s="253">
        <v>143207</v>
      </c>
      <c r="R190" s="254">
        <v>201.12144470214844</v>
      </c>
      <c r="S190" s="254">
        <v>108.15811920166016</v>
      </c>
      <c r="T190" s="255">
        <v>348.4815673828125</v>
      </c>
    </row>
    <row r="191" spans="2:27">
      <c r="B191" s="249" t="s">
        <v>501</v>
      </c>
      <c r="C191" s="250" t="s">
        <v>282</v>
      </c>
      <c r="D191" s="250" t="s">
        <v>201</v>
      </c>
      <c r="E191" s="251">
        <v>11</v>
      </c>
      <c r="F191" s="251" t="s">
        <v>281</v>
      </c>
      <c r="G191" s="250">
        <v>116844</v>
      </c>
      <c r="H191" s="250">
        <v>59437</v>
      </c>
      <c r="I191" s="250">
        <v>208533</v>
      </c>
      <c r="J191" s="252">
        <v>-9.1000000000000004E-3</v>
      </c>
      <c r="K191" s="250">
        <v>87298</v>
      </c>
      <c r="L191" s="250">
        <v>43591</v>
      </c>
      <c r="M191" s="250">
        <v>157412</v>
      </c>
      <c r="N191" s="250">
        <v>29546</v>
      </c>
      <c r="O191" s="250">
        <v>15846</v>
      </c>
      <c r="P191" s="250">
        <v>51121</v>
      </c>
      <c r="Q191" s="253">
        <v>188016</v>
      </c>
      <c r="R191" s="254">
        <v>157.14619445800781</v>
      </c>
      <c r="S191" s="254">
        <v>84.280059814453125</v>
      </c>
      <c r="T191" s="255">
        <v>271.89706420898438</v>
      </c>
    </row>
    <row r="192" spans="2:27">
      <c r="B192" s="249" t="s">
        <v>501</v>
      </c>
      <c r="C192" s="250" t="s">
        <v>282</v>
      </c>
      <c r="D192" s="250" t="s">
        <v>201</v>
      </c>
      <c r="E192" s="251">
        <v>12</v>
      </c>
      <c r="F192" s="251" t="s">
        <v>281</v>
      </c>
      <c r="G192" s="250">
        <v>116844</v>
      </c>
      <c r="H192" s="250">
        <v>59437</v>
      </c>
      <c r="I192" s="250">
        <v>208533</v>
      </c>
      <c r="J192" s="252">
        <v>-9.1000000000000004E-3</v>
      </c>
      <c r="K192" s="250">
        <v>86640</v>
      </c>
      <c r="L192" s="250">
        <v>43345</v>
      </c>
      <c r="M192" s="250">
        <v>155932</v>
      </c>
      <c r="N192" s="250">
        <v>30204</v>
      </c>
      <c r="O192" s="250">
        <v>16092</v>
      </c>
      <c r="P192" s="250">
        <v>52601</v>
      </c>
      <c r="Q192" s="253">
        <v>143207</v>
      </c>
      <c r="R192" s="254">
        <v>210.91148376464844</v>
      </c>
      <c r="S192" s="254">
        <v>112.36880493164063</v>
      </c>
      <c r="T192" s="255">
        <v>367.30746459960938</v>
      </c>
    </row>
    <row r="193" spans="2:20">
      <c r="B193" s="249" t="s">
        <v>501</v>
      </c>
      <c r="C193" s="250" t="s">
        <v>282</v>
      </c>
      <c r="D193" s="250" t="s">
        <v>201</v>
      </c>
      <c r="E193" s="251">
        <v>13</v>
      </c>
      <c r="F193" s="251" t="s">
        <v>281</v>
      </c>
      <c r="G193" s="250">
        <v>116844</v>
      </c>
      <c r="H193" s="250">
        <v>59437</v>
      </c>
      <c r="I193" s="250">
        <v>208533</v>
      </c>
      <c r="J193" s="252">
        <v>-9.1000000000000004E-3</v>
      </c>
      <c r="K193" s="250">
        <v>85641</v>
      </c>
      <c r="L193" s="250">
        <v>42891</v>
      </c>
      <c r="M193" s="250">
        <v>154141</v>
      </c>
      <c r="N193" s="250">
        <v>31203</v>
      </c>
      <c r="O193" s="250">
        <v>16546</v>
      </c>
      <c r="P193" s="250">
        <v>54392</v>
      </c>
      <c r="Q193" s="253">
        <v>143207</v>
      </c>
      <c r="R193" s="254">
        <v>217.88739013671875</v>
      </c>
      <c r="S193" s="254">
        <v>115.53904724121094</v>
      </c>
      <c r="T193" s="255">
        <v>379.8138427734375</v>
      </c>
    </row>
    <row r="194" spans="2:20">
      <c r="B194" s="249" t="s">
        <v>501</v>
      </c>
      <c r="C194" s="250" t="s">
        <v>282</v>
      </c>
      <c r="D194" s="250" t="s">
        <v>201</v>
      </c>
      <c r="E194" s="251">
        <v>14</v>
      </c>
      <c r="F194" s="251" t="s">
        <v>281</v>
      </c>
      <c r="G194" s="250">
        <v>116844</v>
      </c>
      <c r="H194" s="250">
        <v>59437</v>
      </c>
      <c r="I194" s="250">
        <v>208533</v>
      </c>
      <c r="J194" s="252">
        <v>-9.1000000000000004E-3</v>
      </c>
      <c r="K194" s="250">
        <v>84896</v>
      </c>
      <c r="L194" s="250">
        <v>42476</v>
      </c>
      <c r="M194" s="250">
        <v>153054</v>
      </c>
      <c r="N194" s="250">
        <v>31948</v>
      </c>
      <c r="O194" s="250">
        <v>16961</v>
      </c>
      <c r="P194" s="250">
        <v>55479</v>
      </c>
      <c r="Q194" s="253">
        <v>143207</v>
      </c>
      <c r="R194" s="254">
        <v>223.08964538574219</v>
      </c>
      <c r="S194" s="254">
        <v>118.43695068359375</v>
      </c>
      <c r="T194" s="255">
        <v>387.40423583984375</v>
      </c>
    </row>
    <row r="195" spans="2:20">
      <c r="B195" s="256" t="s">
        <v>501</v>
      </c>
      <c r="C195" s="257" t="s">
        <v>282</v>
      </c>
      <c r="D195" s="257" t="s">
        <v>201</v>
      </c>
      <c r="E195" s="258">
        <v>15</v>
      </c>
      <c r="F195" s="258" t="s">
        <v>281</v>
      </c>
      <c r="G195" s="257">
        <v>116844</v>
      </c>
      <c r="H195" s="257">
        <v>59437</v>
      </c>
      <c r="I195" s="257">
        <v>208533</v>
      </c>
      <c r="J195" s="259">
        <v>-9.1000000000000004E-3</v>
      </c>
      <c r="K195" s="257">
        <v>84250</v>
      </c>
      <c r="L195" s="257">
        <v>42199</v>
      </c>
      <c r="M195" s="257">
        <v>151776</v>
      </c>
      <c r="N195" s="257">
        <v>32594</v>
      </c>
      <c r="O195" s="257">
        <v>17238</v>
      </c>
      <c r="P195" s="257">
        <v>56757</v>
      </c>
      <c r="Q195" s="260">
        <v>143207</v>
      </c>
      <c r="R195" s="261">
        <v>227.60060119628906</v>
      </c>
      <c r="S195" s="261">
        <v>120.37120819091797</v>
      </c>
      <c r="T195" s="262">
        <v>396.32839965820313</v>
      </c>
    </row>
    <row r="196" spans="2:20">
      <c r="B196" s="249" t="s">
        <v>501</v>
      </c>
      <c r="C196" s="250" t="s">
        <v>77</v>
      </c>
      <c r="D196" s="250" t="s">
        <v>502</v>
      </c>
      <c r="E196" s="251">
        <v>1</v>
      </c>
      <c r="F196" s="251" t="s">
        <v>281</v>
      </c>
      <c r="G196" s="250">
        <v>116844</v>
      </c>
      <c r="H196" s="250">
        <v>59437</v>
      </c>
      <c r="I196" s="250">
        <v>208533</v>
      </c>
      <c r="J196" s="252">
        <v>-1.0800000000000001E-2</v>
      </c>
      <c r="K196" s="250">
        <v>108173</v>
      </c>
      <c r="L196" s="250">
        <v>54137</v>
      </c>
      <c r="M196" s="250">
        <v>195741</v>
      </c>
      <c r="N196" s="250">
        <v>8671</v>
      </c>
      <c r="O196" s="250">
        <v>5300</v>
      </c>
      <c r="P196" s="250">
        <v>12792</v>
      </c>
      <c r="Q196" s="253">
        <v>291952</v>
      </c>
      <c r="R196" s="254">
        <v>29.70008659362793</v>
      </c>
      <c r="S196" s="254">
        <v>18.153669357299805</v>
      </c>
      <c r="T196" s="255">
        <v>43.815422058105469</v>
      </c>
    </row>
    <row r="197" spans="2:20">
      <c r="B197" s="249" t="s">
        <v>501</v>
      </c>
      <c r="C197" s="250" t="s">
        <v>77</v>
      </c>
      <c r="D197" s="250" t="s">
        <v>502</v>
      </c>
      <c r="E197" s="251">
        <v>2</v>
      </c>
      <c r="F197" s="251" t="s">
        <v>281</v>
      </c>
      <c r="G197" s="250">
        <v>116844</v>
      </c>
      <c r="H197" s="250">
        <v>59437</v>
      </c>
      <c r="I197" s="250">
        <v>208533</v>
      </c>
      <c r="J197" s="252">
        <v>-1.0800000000000001E-2</v>
      </c>
      <c r="K197" s="250">
        <v>107357</v>
      </c>
      <c r="L197" s="250">
        <v>53761</v>
      </c>
      <c r="M197" s="250">
        <v>194327</v>
      </c>
      <c r="N197" s="250">
        <v>9487</v>
      </c>
      <c r="O197" s="250">
        <v>5676</v>
      </c>
      <c r="P197" s="250">
        <v>14206</v>
      </c>
      <c r="Q197" s="253">
        <v>503800</v>
      </c>
      <c r="R197" s="254">
        <v>18.830886840820313</v>
      </c>
      <c r="S197" s="254">
        <v>11.266375541687012</v>
      </c>
      <c r="T197" s="255">
        <v>28.197698593139648</v>
      </c>
    </row>
    <row r="198" spans="2:20">
      <c r="B198" s="249" t="s">
        <v>501</v>
      </c>
      <c r="C198" s="250" t="s">
        <v>77</v>
      </c>
      <c r="D198" s="250" t="s">
        <v>502</v>
      </c>
      <c r="E198" s="251">
        <v>3</v>
      </c>
      <c r="F198" s="251" t="s">
        <v>281</v>
      </c>
      <c r="G198" s="250">
        <v>116844</v>
      </c>
      <c r="H198" s="250">
        <v>59437</v>
      </c>
      <c r="I198" s="250">
        <v>208533</v>
      </c>
      <c r="J198" s="252">
        <v>-1.0800000000000001E-2</v>
      </c>
      <c r="K198" s="250">
        <v>106550</v>
      </c>
      <c r="L198" s="250">
        <v>53298</v>
      </c>
      <c r="M198" s="250">
        <v>192715</v>
      </c>
      <c r="N198" s="250">
        <v>10294</v>
      </c>
      <c r="O198" s="250">
        <v>6139</v>
      </c>
      <c r="P198" s="250">
        <v>15818</v>
      </c>
      <c r="Q198" s="253">
        <v>336131</v>
      </c>
      <c r="R198" s="254">
        <v>30.624965667724609</v>
      </c>
      <c r="S198" s="254">
        <v>18.263711929321289</v>
      </c>
      <c r="T198" s="255">
        <v>47.059032440185547</v>
      </c>
    </row>
    <row r="199" spans="2:20">
      <c r="B199" s="249" t="s">
        <v>501</v>
      </c>
      <c r="C199" s="250" t="s">
        <v>77</v>
      </c>
      <c r="D199" s="250" t="s">
        <v>502</v>
      </c>
      <c r="E199" s="251">
        <v>4</v>
      </c>
      <c r="F199" s="251" t="s">
        <v>281</v>
      </c>
      <c r="G199" s="250">
        <v>116844</v>
      </c>
      <c r="H199" s="250">
        <v>59437</v>
      </c>
      <c r="I199" s="250">
        <v>208533</v>
      </c>
      <c r="J199" s="252">
        <v>-1.0800000000000001E-2</v>
      </c>
      <c r="K199" s="250">
        <v>105543</v>
      </c>
      <c r="L199" s="250">
        <v>52837</v>
      </c>
      <c r="M199" s="250">
        <v>190993</v>
      </c>
      <c r="N199" s="250">
        <v>11301</v>
      </c>
      <c r="O199" s="250">
        <v>6600</v>
      </c>
      <c r="P199" s="250">
        <v>17540</v>
      </c>
      <c r="Q199" s="253">
        <v>353502</v>
      </c>
      <c r="R199" s="254">
        <v>31.96870231628418</v>
      </c>
      <c r="S199" s="254">
        <v>18.670333862304688</v>
      </c>
      <c r="T199" s="255">
        <v>49.617824554443359</v>
      </c>
    </row>
    <row r="200" spans="2:20">
      <c r="B200" s="249" t="s">
        <v>501</v>
      </c>
      <c r="C200" s="250" t="s">
        <v>77</v>
      </c>
      <c r="D200" s="250" t="s">
        <v>502</v>
      </c>
      <c r="E200" s="251">
        <v>5</v>
      </c>
      <c r="F200" s="251" t="s">
        <v>281</v>
      </c>
      <c r="G200" s="250">
        <v>116844</v>
      </c>
      <c r="H200" s="250">
        <v>59437</v>
      </c>
      <c r="I200" s="250">
        <v>208533</v>
      </c>
      <c r="J200" s="252">
        <v>-1.0800000000000001E-2</v>
      </c>
      <c r="K200" s="250">
        <v>104544</v>
      </c>
      <c r="L200" s="250">
        <v>52326</v>
      </c>
      <c r="M200" s="250">
        <v>189022</v>
      </c>
      <c r="N200" s="250">
        <v>12300</v>
      </c>
      <c r="O200" s="250">
        <v>7111</v>
      </c>
      <c r="P200" s="250">
        <v>19511</v>
      </c>
      <c r="Q200" s="253">
        <v>336131</v>
      </c>
      <c r="R200" s="254">
        <v>36.592876434326172</v>
      </c>
      <c r="S200" s="254">
        <v>21.15544319152832</v>
      </c>
      <c r="T200" s="255">
        <v>58.045822143554688</v>
      </c>
    </row>
    <row r="201" spans="2:20">
      <c r="B201" s="249" t="s">
        <v>501</v>
      </c>
      <c r="C201" s="250" t="s">
        <v>77</v>
      </c>
      <c r="D201" s="250" t="s">
        <v>201</v>
      </c>
      <c r="E201" s="251">
        <v>6</v>
      </c>
      <c r="F201" s="251" t="s">
        <v>281</v>
      </c>
      <c r="G201" s="250">
        <v>116844</v>
      </c>
      <c r="H201" s="250">
        <v>59437</v>
      </c>
      <c r="I201" s="250">
        <v>208533</v>
      </c>
      <c r="J201" s="252">
        <v>-8.0000000000000004E-4</v>
      </c>
      <c r="K201" s="250">
        <v>104533</v>
      </c>
      <c r="L201" s="250">
        <v>52306</v>
      </c>
      <c r="M201" s="250">
        <v>188933</v>
      </c>
      <c r="N201" s="250">
        <v>12311</v>
      </c>
      <c r="O201" s="250">
        <v>7131</v>
      </c>
      <c r="P201" s="250">
        <v>19600</v>
      </c>
      <c r="Q201" s="253">
        <v>231478</v>
      </c>
      <c r="R201" s="254">
        <v>53.184318542480469</v>
      </c>
      <c r="S201" s="254">
        <v>30.80638313293457</v>
      </c>
      <c r="T201" s="255">
        <v>84.673271179199219</v>
      </c>
    </row>
    <row r="202" spans="2:20">
      <c r="B202" s="249" t="s">
        <v>501</v>
      </c>
      <c r="C202" s="250" t="s">
        <v>77</v>
      </c>
      <c r="D202" s="250" t="s">
        <v>201</v>
      </c>
      <c r="E202" s="251">
        <v>7</v>
      </c>
      <c r="F202" s="251" t="s">
        <v>281</v>
      </c>
      <c r="G202" s="250">
        <v>116844</v>
      </c>
      <c r="H202" s="250">
        <v>59437</v>
      </c>
      <c r="I202" s="250">
        <v>208533</v>
      </c>
      <c r="J202" s="252">
        <v>-8.0000000000000004E-4</v>
      </c>
      <c r="K202" s="250">
        <v>104471</v>
      </c>
      <c r="L202" s="250">
        <v>52263</v>
      </c>
      <c r="M202" s="250">
        <v>188775</v>
      </c>
      <c r="N202" s="250">
        <v>12373</v>
      </c>
      <c r="O202" s="250">
        <v>7174</v>
      </c>
      <c r="P202" s="250">
        <v>19758</v>
      </c>
      <c r="Q202" s="253">
        <v>177294</v>
      </c>
      <c r="R202" s="254">
        <v>69.788040161132813</v>
      </c>
      <c r="S202" s="254">
        <v>40.463859558105469</v>
      </c>
      <c r="T202" s="255">
        <v>111.4420166015625</v>
      </c>
    </row>
    <row r="203" spans="2:20">
      <c r="B203" s="249" t="s">
        <v>501</v>
      </c>
      <c r="C203" s="250" t="s">
        <v>77</v>
      </c>
      <c r="D203" s="250" t="s">
        <v>201</v>
      </c>
      <c r="E203" s="251">
        <v>8</v>
      </c>
      <c r="F203" s="251" t="s">
        <v>281</v>
      </c>
      <c r="G203" s="250">
        <v>116844</v>
      </c>
      <c r="H203" s="250">
        <v>59437</v>
      </c>
      <c r="I203" s="250">
        <v>208533</v>
      </c>
      <c r="J203" s="252">
        <v>-8.0000000000000004E-4</v>
      </c>
      <c r="K203" s="250">
        <v>104411</v>
      </c>
      <c r="L203" s="250">
        <v>52234</v>
      </c>
      <c r="M203" s="250">
        <v>188692</v>
      </c>
      <c r="N203" s="250">
        <v>12433</v>
      </c>
      <c r="O203" s="250">
        <v>7203</v>
      </c>
      <c r="P203" s="250">
        <v>19841</v>
      </c>
      <c r="Q203" s="253">
        <v>159923</v>
      </c>
      <c r="R203" s="254">
        <v>77.743667602539063</v>
      </c>
      <c r="S203" s="254">
        <v>45.040424346923828</v>
      </c>
      <c r="T203" s="255">
        <v>124.06595611572266</v>
      </c>
    </row>
    <row r="204" spans="2:20">
      <c r="B204" s="249" t="s">
        <v>501</v>
      </c>
      <c r="C204" s="250" t="s">
        <v>77</v>
      </c>
      <c r="D204" s="250" t="s">
        <v>201</v>
      </c>
      <c r="E204" s="251">
        <v>9</v>
      </c>
      <c r="F204" s="251" t="s">
        <v>281</v>
      </c>
      <c r="G204" s="250">
        <v>116844</v>
      </c>
      <c r="H204" s="250">
        <v>59437</v>
      </c>
      <c r="I204" s="250">
        <v>208533</v>
      </c>
      <c r="J204" s="252">
        <v>-8.0000000000000004E-4</v>
      </c>
      <c r="K204" s="250">
        <v>104262</v>
      </c>
      <c r="L204" s="250">
        <v>52152</v>
      </c>
      <c r="M204" s="250">
        <v>188465</v>
      </c>
      <c r="N204" s="250">
        <v>12582</v>
      </c>
      <c r="O204" s="250">
        <v>7285</v>
      </c>
      <c r="P204" s="250">
        <v>20068</v>
      </c>
      <c r="Q204" s="253">
        <v>159923</v>
      </c>
      <c r="R204" s="254">
        <v>78.675361633300781</v>
      </c>
      <c r="S204" s="254">
        <v>45.553173065185547</v>
      </c>
      <c r="T204" s="255">
        <v>125.48538970947266</v>
      </c>
    </row>
    <row r="205" spans="2:20">
      <c r="B205" s="249" t="s">
        <v>501</v>
      </c>
      <c r="C205" s="250" t="s">
        <v>77</v>
      </c>
      <c r="D205" s="250" t="s">
        <v>201</v>
      </c>
      <c r="E205" s="251">
        <v>10</v>
      </c>
      <c r="F205" s="251" t="s">
        <v>281</v>
      </c>
      <c r="G205" s="250">
        <v>116844</v>
      </c>
      <c r="H205" s="250">
        <v>59437</v>
      </c>
      <c r="I205" s="250">
        <v>208533</v>
      </c>
      <c r="J205" s="252">
        <v>-8.0000000000000004E-4</v>
      </c>
      <c r="K205" s="250">
        <v>104199</v>
      </c>
      <c r="L205" s="250">
        <v>52134</v>
      </c>
      <c r="M205" s="250">
        <v>188307</v>
      </c>
      <c r="N205" s="250">
        <v>12645</v>
      </c>
      <c r="O205" s="250">
        <v>7303</v>
      </c>
      <c r="P205" s="250">
        <v>20226</v>
      </c>
      <c r="Q205" s="253">
        <v>177294</v>
      </c>
      <c r="R205" s="254">
        <v>71.322212219238281</v>
      </c>
      <c r="S205" s="254">
        <v>41.19146728515625</v>
      </c>
      <c r="T205" s="255">
        <v>114.08169555664063</v>
      </c>
    </row>
    <row r="206" spans="2:20">
      <c r="B206" s="249" t="s">
        <v>501</v>
      </c>
      <c r="C206" s="250" t="s">
        <v>77</v>
      </c>
      <c r="D206" s="250" t="s">
        <v>201</v>
      </c>
      <c r="E206" s="251">
        <v>11</v>
      </c>
      <c r="F206" s="251" t="s">
        <v>281</v>
      </c>
      <c r="G206" s="250">
        <v>116844</v>
      </c>
      <c r="H206" s="250">
        <v>59437</v>
      </c>
      <c r="I206" s="250">
        <v>208533</v>
      </c>
      <c r="J206" s="252">
        <v>-8.0000000000000004E-4</v>
      </c>
      <c r="K206" s="250">
        <v>104156</v>
      </c>
      <c r="L206" s="250">
        <v>52118</v>
      </c>
      <c r="M206" s="250">
        <v>188179</v>
      </c>
      <c r="N206" s="250">
        <v>12688</v>
      </c>
      <c r="O206" s="250">
        <v>7319</v>
      </c>
      <c r="P206" s="250">
        <v>20354</v>
      </c>
      <c r="Q206" s="253">
        <v>231478</v>
      </c>
      <c r="R206" s="254">
        <v>54.812984466552734</v>
      </c>
      <c r="S206" s="254">
        <v>31.618555068969727</v>
      </c>
      <c r="T206" s="255">
        <v>87.93060302734375</v>
      </c>
    </row>
    <row r="207" spans="2:20">
      <c r="B207" s="249" t="s">
        <v>501</v>
      </c>
      <c r="C207" s="250" t="s">
        <v>77</v>
      </c>
      <c r="D207" s="250" t="s">
        <v>201</v>
      </c>
      <c r="E207" s="251">
        <v>12</v>
      </c>
      <c r="F207" s="251" t="s">
        <v>281</v>
      </c>
      <c r="G207" s="250">
        <v>116844</v>
      </c>
      <c r="H207" s="250">
        <v>59437</v>
      </c>
      <c r="I207" s="250">
        <v>208533</v>
      </c>
      <c r="J207" s="252">
        <v>-8.0000000000000004E-4</v>
      </c>
      <c r="K207" s="250">
        <v>104097</v>
      </c>
      <c r="L207" s="250">
        <v>52091</v>
      </c>
      <c r="M207" s="250">
        <v>188136</v>
      </c>
      <c r="N207" s="250">
        <v>12747</v>
      </c>
      <c r="O207" s="250">
        <v>7346</v>
      </c>
      <c r="P207" s="250">
        <v>20397</v>
      </c>
      <c r="Q207" s="253">
        <v>159923</v>
      </c>
      <c r="R207" s="254">
        <v>79.707107543945313</v>
      </c>
      <c r="S207" s="254">
        <v>45.934604644775391</v>
      </c>
      <c r="T207" s="255">
        <v>127.54263305664063</v>
      </c>
    </row>
    <row r="208" spans="2:20">
      <c r="B208" s="249" t="s">
        <v>501</v>
      </c>
      <c r="C208" s="250" t="s">
        <v>77</v>
      </c>
      <c r="D208" s="250" t="s">
        <v>201</v>
      </c>
      <c r="E208" s="251">
        <v>13</v>
      </c>
      <c r="F208" s="251" t="s">
        <v>281</v>
      </c>
      <c r="G208" s="250">
        <v>116844</v>
      </c>
      <c r="H208" s="250">
        <v>59437</v>
      </c>
      <c r="I208" s="250">
        <v>208533</v>
      </c>
      <c r="J208" s="252">
        <v>-8.0000000000000004E-4</v>
      </c>
      <c r="K208" s="250">
        <v>104003</v>
      </c>
      <c r="L208" s="250">
        <v>52024</v>
      </c>
      <c r="M208" s="250">
        <v>187878</v>
      </c>
      <c r="N208" s="250">
        <v>12841</v>
      </c>
      <c r="O208" s="250">
        <v>7413</v>
      </c>
      <c r="P208" s="250">
        <v>20655</v>
      </c>
      <c r="Q208" s="253">
        <v>177294</v>
      </c>
      <c r="R208" s="254">
        <v>72.427719116210938</v>
      </c>
      <c r="S208" s="254">
        <v>41.811904907226563</v>
      </c>
      <c r="T208" s="255">
        <v>116.50140380859375</v>
      </c>
    </row>
    <row r="209" spans="2:20">
      <c r="B209" s="249" t="s">
        <v>501</v>
      </c>
      <c r="C209" s="250" t="s">
        <v>77</v>
      </c>
      <c r="D209" s="250" t="s">
        <v>201</v>
      </c>
      <c r="E209" s="251">
        <v>14</v>
      </c>
      <c r="F209" s="251" t="s">
        <v>281</v>
      </c>
      <c r="G209" s="250">
        <v>116844</v>
      </c>
      <c r="H209" s="250">
        <v>59437</v>
      </c>
      <c r="I209" s="250">
        <v>208533</v>
      </c>
      <c r="J209" s="252">
        <v>-8.0000000000000004E-4</v>
      </c>
      <c r="K209" s="250">
        <v>103955</v>
      </c>
      <c r="L209" s="250">
        <v>52015</v>
      </c>
      <c r="M209" s="250">
        <v>187819</v>
      </c>
      <c r="N209" s="250">
        <v>12889</v>
      </c>
      <c r="O209" s="250">
        <v>7422</v>
      </c>
      <c r="P209" s="250">
        <v>20714</v>
      </c>
      <c r="Q209" s="253">
        <v>159923</v>
      </c>
      <c r="R209" s="254">
        <v>80.595039367675781</v>
      </c>
      <c r="S209" s="254">
        <v>46.409835815429688</v>
      </c>
      <c r="T209" s="255">
        <v>129.52482604980469</v>
      </c>
    </row>
    <row r="210" spans="2:20">
      <c r="B210" s="256" t="s">
        <v>501</v>
      </c>
      <c r="C210" s="257" t="s">
        <v>77</v>
      </c>
      <c r="D210" s="257" t="s">
        <v>201</v>
      </c>
      <c r="E210" s="258">
        <v>15</v>
      </c>
      <c r="F210" s="258" t="s">
        <v>281</v>
      </c>
      <c r="G210" s="257">
        <v>116844</v>
      </c>
      <c r="H210" s="257">
        <v>59437</v>
      </c>
      <c r="I210" s="257">
        <v>208533</v>
      </c>
      <c r="J210" s="259">
        <v>-8.0000000000000004E-4</v>
      </c>
      <c r="K210" s="257">
        <v>103894</v>
      </c>
      <c r="L210" s="257">
        <v>52004</v>
      </c>
      <c r="M210" s="257">
        <v>187759</v>
      </c>
      <c r="N210" s="257">
        <v>12950</v>
      </c>
      <c r="O210" s="257">
        <v>7433</v>
      </c>
      <c r="P210" s="257">
        <v>20774</v>
      </c>
      <c r="Q210" s="260">
        <v>159923</v>
      </c>
      <c r="R210" s="261">
        <v>80.976470947265625</v>
      </c>
      <c r="S210" s="261">
        <v>46.478618621826172</v>
      </c>
      <c r="T210" s="262">
        <v>129.90000915527344</v>
      </c>
    </row>
    <row r="211" spans="2:20">
      <c r="B211" s="249" t="s">
        <v>501</v>
      </c>
      <c r="C211" s="250" t="s">
        <v>121</v>
      </c>
      <c r="D211" s="250" t="s">
        <v>502</v>
      </c>
      <c r="E211" s="251">
        <v>1</v>
      </c>
      <c r="F211" s="251" t="s">
        <v>281</v>
      </c>
      <c r="G211" s="250">
        <v>116844</v>
      </c>
      <c r="H211" s="250">
        <v>59437</v>
      </c>
      <c r="I211" s="250">
        <v>208533</v>
      </c>
      <c r="J211" s="252">
        <v>-0.02</v>
      </c>
      <c r="K211" s="250">
        <v>107515</v>
      </c>
      <c r="L211" s="250">
        <v>53851</v>
      </c>
      <c r="M211" s="250">
        <v>194565</v>
      </c>
      <c r="N211" s="250">
        <v>9329</v>
      </c>
      <c r="O211" s="250">
        <v>5586</v>
      </c>
      <c r="P211" s="250">
        <v>13968</v>
      </c>
      <c r="Q211" s="253">
        <v>133969</v>
      </c>
      <c r="R211" s="254">
        <v>69.635513305664063</v>
      </c>
      <c r="S211" s="254">
        <v>41.696212768554688</v>
      </c>
      <c r="T211" s="255">
        <v>104.26292419433594</v>
      </c>
    </row>
    <row r="212" spans="2:20">
      <c r="B212" s="249" t="s">
        <v>501</v>
      </c>
      <c r="C212" s="250" t="s">
        <v>121</v>
      </c>
      <c r="D212" s="250" t="s">
        <v>502</v>
      </c>
      <c r="E212" s="251">
        <v>2</v>
      </c>
      <c r="F212" s="251" t="s">
        <v>281</v>
      </c>
      <c r="G212" s="250">
        <v>116844</v>
      </c>
      <c r="H212" s="250">
        <v>59437</v>
      </c>
      <c r="I212" s="250">
        <v>208533</v>
      </c>
      <c r="J212" s="252">
        <v>-0.02</v>
      </c>
      <c r="K212" s="250">
        <v>105902</v>
      </c>
      <c r="L212" s="250">
        <v>52972</v>
      </c>
      <c r="M212" s="250">
        <v>191508</v>
      </c>
      <c r="N212" s="250">
        <v>10942</v>
      </c>
      <c r="O212" s="250">
        <v>6465</v>
      </c>
      <c r="P212" s="250">
        <v>17025</v>
      </c>
      <c r="Q212" s="253">
        <v>273304</v>
      </c>
      <c r="R212" s="254">
        <v>40.036003112792969</v>
      </c>
      <c r="S212" s="254">
        <v>23.654977798461914</v>
      </c>
      <c r="T212" s="255">
        <v>62.293270111083984</v>
      </c>
    </row>
    <row r="213" spans="2:20">
      <c r="B213" s="249" t="s">
        <v>501</v>
      </c>
      <c r="C213" s="250" t="s">
        <v>121</v>
      </c>
      <c r="D213" s="250" t="s">
        <v>502</v>
      </c>
      <c r="E213" s="251">
        <v>3</v>
      </c>
      <c r="F213" s="251" t="s">
        <v>281</v>
      </c>
      <c r="G213" s="250">
        <v>116844</v>
      </c>
      <c r="H213" s="250">
        <v>59437</v>
      </c>
      <c r="I213" s="250">
        <v>208533</v>
      </c>
      <c r="J213" s="252">
        <v>-0.02</v>
      </c>
      <c r="K213" s="250">
        <v>104064</v>
      </c>
      <c r="L213" s="250">
        <v>52072</v>
      </c>
      <c r="M213" s="250">
        <v>188035</v>
      </c>
      <c r="N213" s="250">
        <v>12780</v>
      </c>
      <c r="O213" s="250">
        <v>7365</v>
      </c>
      <c r="P213" s="250">
        <v>20498</v>
      </c>
      <c r="Q213" s="253">
        <v>170998</v>
      </c>
      <c r="R213" s="254">
        <v>74.737709045410156</v>
      </c>
      <c r="S213" s="254">
        <v>43.0706787109375</v>
      </c>
      <c r="T213" s="255">
        <v>119.87274932861328</v>
      </c>
    </row>
    <row r="214" spans="2:20">
      <c r="B214" s="249" t="s">
        <v>501</v>
      </c>
      <c r="C214" s="250" t="s">
        <v>121</v>
      </c>
      <c r="D214" s="250" t="s">
        <v>502</v>
      </c>
      <c r="E214" s="251">
        <v>4</v>
      </c>
      <c r="F214" s="251" t="s">
        <v>281</v>
      </c>
      <c r="G214" s="250">
        <v>116844</v>
      </c>
      <c r="H214" s="250">
        <v>59437</v>
      </c>
      <c r="I214" s="250">
        <v>208533</v>
      </c>
      <c r="J214" s="252">
        <v>-0.02</v>
      </c>
      <c r="K214" s="250">
        <v>102119</v>
      </c>
      <c r="L214" s="250">
        <v>51104</v>
      </c>
      <c r="M214" s="250">
        <v>184190</v>
      </c>
      <c r="N214" s="250">
        <v>14725</v>
      </c>
      <c r="O214" s="250">
        <v>8333</v>
      </c>
      <c r="P214" s="250">
        <v>24343</v>
      </c>
      <c r="Q214" s="253">
        <v>170998</v>
      </c>
      <c r="R214" s="254">
        <v>86.11212158203125</v>
      </c>
      <c r="S214" s="254">
        <v>48.7315673828125</v>
      </c>
      <c r="T214" s="255">
        <v>142.3583984375</v>
      </c>
    </row>
    <row r="215" spans="2:20">
      <c r="B215" s="249" t="s">
        <v>501</v>
      </c>
      <c r="C215" s="250" t="s">
        <v>121</v>
      </c>
      <c r="D215" s="250" t="s">
        <v>502</v>
      </c>
      <c r="E215" s="251">
        <v>5</v>
      </c>
      <c r="F215" s="251" t="s">
        <v>281</v>
      </c>
      <c r="G215" s="250">
        <v>116844</v>
      </c>
      <c r="H215" s="250">
        <v>59437</v>
      </c>
      <c r="I215" s="250">
        <v>208533</v>
      </c>
      <c r="J215" s="252">
        <v>-0.02</v>
      </c>
      <c r="K215" s="250">
        <v>100374</v>
      </c>
      <c r="L215" s="250">
        <v>50337</v>
      </c>
      <c r="M215" s="250">
        <v>180938</v>
      </c>
      <c r="N215" s="250">
        <v>16470</v>
      </c>
      <c r="O215" s="250">
        <v>9100</v>
      </c>
      <c r="P215" s="250">
        <v>27595</v>
      </c>
      <c r="Q215" s="253">
        <v>170998</v>
      </c>
      <c r="R215" s="254">
        <v>96.316917419433594</v>
      </c>
      <c r="S215" s="254">
        <v>53.216999053955078</v>
      </c>
      <c r="T215" s="255">
        <v>161.37615966796875</v>
      </c>
    </row>
    <row r="216" spans="2:20">
      <c r="B216" s="249" t="s">
        <v>501</v>
      </c>
      <c r="C216" s="250" t="s">
        <v>121</v>
      </c>
      <c r="D216" s="250" t="s">
        <v>201</v>
      </c>
      <c r="E216" s="251">
        <v>6</v>
      </c>
      <c r="F216" s="251" t="s">
        <v>281</v>
      </c>
      <c r="G216" s="250">
        <v>116844</v>
      </c>
      <c r="H216" s="250">
        <v>59437</v>
      </c>
      <c r="I216" s="250">
        <v>208533</v>
      </c>
      <c r="J216" s="252">
        <v>-2E-3</v>
      </c>
      <c r="K216" s="250">
        <v>100170</v>
      </c>
      <c r="L216" s="250">
        <v>50238</v>
      </c>
      <c r="M216" s="250">
        <v>180693</v>
      </c>
      <c r="N216" s="250">
        <v>16674</v>
      </c>
      <c r="O216" s="250">
        <v>9199</v>
      </c>
      <c r="P216" s="250">
        <v>27840</v>
      </c>
      <c r="Q216" s="253">
        <v>123966</v>
      </c>
      <c r="R216" s="254">
        <v>134.50462341308594</v>
      </c>
      <c r="S216" s="254">
        <v>74.205833435058594</v>
      </c>
      <c r="T216" s="255">
        <v>224.57771301269531</v>
      </c>
    </row>
    <row r="217" spans="2:20">
      <c r="B217" s="249" t="s">
        <v>501</v>
      </c>
      <c r="C217" s="250" t="s">
        <v>121</v>
      </c>
      <c r="D217" s="250" t="s">
        <v>201</v>
      </c>
      <c r="E217" s="251">
        <v>7</v>
      </c>
      <c r="F217" s="251" t="s">
        <v>281</v>
      </c>
      <c r="G217" s="250">
        <v>116844</v>
      </c>
      <c r="H217" s="250">
        <v>59437</v>
      </c>
      <c r="I217" s="250">
        <v>208533</v>
      </c>
      <c r="J217" s="252">
        <v>-2E-3</v>
      </c>
      <c r="K217" s="250">
        <v>100080</v>
      </c>
      <c r="L217" s="250">
        <v>50165</v>
      </c>
      <c r="M217" s="250">
        <v>180443</v>
      </c>
      <c r="N217" s="250">
        <v>16764</v>
      </c>
      <c r="O217" s="250">
        <v>9272</v>
      </c>
      <c r="P217" s="250">
        <v>28090</v>
      </c>
      <c r="Q217" s="253">
        <v>93727</v>
      </c>
      <c r="R217" s="254">
        <v>178.85987854003906</v>
      </c>
      <c r="S217" s="254">
        <v>98.925605773925781</v>
      </c>
      <c r="T217" s="255">
        <v>299.7001953125</v>
      </c>
    </row>
    <row r="218" spans="2:20">
      <c r="B218" s="249" t="s">
        <v>501</v>
      </c>
      <c r="C218" s="250" t="s">
        <v>121</v>
      </c>
      <c r="D218" s="250" t="s">
        <v>201</v>
      </c>
      <c r="E218" s="251">
        <v>8</v>
      </c>
      <c r="F218" s="251" t="s">
        <v>281</v>
      </c>
      <c r="G218" s="250">
        <v>116844</v>
      </c>
      <c r="H218" s="250">
        <v>59437</v>
      </c>
      <c r="I218" s="250">
        <v>208533</v>
      </c>
      <c r="J218" s="252">
        <v>-2E-3</v>
      </c>
      <c r="K218" s="250">
        <v>99651</v>
      </c>
      <c r="L218" s="250">
        <v>49908</v>
      </c>
      <c r="M218" s="250">
        <v>179699</v>
      </c>
      <c r="N218" s="250">
        <v>17193</v>
      </c>
      <c r="O218" s="250">
        <v>9529</v>
      </c>
      <c r="P218" s="250">
        <v>28834</v>
      </c>
      <c r="Q218" s="253">
        <v>93727</v>
      </c>
      <c r="R218" s="254">
        <v>183.43701171875</v>
      </c>
      <c r="S218" s="254">
        <v>101.66761016845703</v>
      </c>
      <c r="T218" s="255">
        <v>307.63815307617188</v>
      </c>
    </row>
    <row r="219" spans="2:20">
      <c r="B219" s="249" t="s">
        <v>501</v>
      </c>
      <c r="C219" s="250" t="s">
        <v>121</v>
      </c>
      <c r="D219" s="250" t="s">
        <v>201</v>
      </c>
      <c r="E219" s="251">
        <v>9</v>
      </c>
      <c r="F219" s="251" t="s">
        <v>281</v>
      </c>
      <c r="G219" s="250">
        <v>116844</v>
      </c>
      <c r="H219" s="250">
        <v>59437</v>
      </c>
      <c r="I219" s="250">
        <v>208533</v>
      </c>
      <c r="J219" s="252">
        <v>-2E-3</v>
      </c>
      <c r="K219" s="250">
        <v>99484</v>
      </c>
      <c r="L219" s="250">
        <v>49845</v>
      </c>
      <c r="M219" s="250">
        <v>179463</v>
      </c>
      <c r="N219" s="250">
        <v>17360</v>
      </c>
      <c r="O219" s="250">
        <v>9592</v>
      </c>
      <c r="P219" s="250">
        <v>29070</v>
      </c>
      <c r="Q219" s="253">
        <v>93727</v>
      </c>
      <c r="R219" s="254">
        <v>185.21876525878906</v>
      </c>
      <c r="S219" s="254">
        <v>102.33977508544922</v>
      </c>
      <c r="T219" s="255">
        <v>310.15606689453125</v>
      </c>
    </row>
    <row r="220" spans="2:20">
      <c r="B220" s="249" t="s">
        <v>501</v>
      </c>
      <c r="C220" s="250" t="s">
        <v>121</v>
      </c>
      <c r="D220" s="250" t="s">
        <v>201</v>
      </c>
      <c r="E220" s="251">
        <v>10</v>
      </c>
      <c r="F220" s="251" t="s">
        <v>281</v>
      </c>
      <c r="G220" s="250">
        <v>116844</v>
      </c>
      <c r="H220" s="250">
        <v>59437</v>
      </c>
      <c r="I220" s="250">
        <v>208533</v>
      </c>
      <c r="J220" s="252">
        <v>-2E-3</v>
      </c>
      <c r="K220" s="250">
        <v>99260</v>
      </c>
      <c r="L220" s="250">
        <v>49777</v>
      </c>
      <c r="M220" s="250">
        <v>179205</v>
      </c>
      <c r="N220" s="250">
        <v>17584</v>
      </c>
      <c r="O220" s="250">
        <v>9660</v>
      </c>
      <c r="P220" s="250">
        <v>29328</v>
      </c>
      <c r="Q220" s="253">
        <v>93727</v>
      </c>
      <c r="R220" s="254">
        <v>187.60868835449219</v>
      </c>
      <c r="S220" s="254">
        <v>103.06528472900391</v>
      </c>
      <c r="T220" s="255">
        <v>312.90878295898438</v>
      </c>
    </row>
    <row r="221" spans="2:20">
      <c r="B221" s="249" t="s">
        <v>501</v>
      </c>
      <c r="C221" s="250" t="s">
        <v>121</v>
      </c>
      <c r="D221" s="250" t="s">
        <v>201</v>
      </c>
      <c r="E221" s="251">
        <v>11</v>
      </c>
      <c r="F221" s="251" t="s">
        <v>281</v>
      </c>
      <c r="G221" s="250">
        <v>116844</v>
      </c>
      <c r="H221" s="250">
        <v>59437</v>
      </c>
      <c r="I221" s="250">
        <v>208533</v>
      </c>
      <c r="J221" s="252">
        <v>-2E-3</v>
      </c>
      <c r="K221" s="250">
        <v>99130</v>
      </c>
      <c r="L221" s="250">
        <v>49645</v>
      </c>
      <c r="M221" s="250">
        <v>178830</v>
      </c>
      <c r="N221" s="250">
        <v>17714</v>
      </c>
      <c r="O221" s="250">
        <v>9792</v>
      </c>
      <c r="P221" s="250">
        <v>29703</v>
      </c>
      <c r="Q221" s="253">
        <v>123966</v>
      </c>
      <c r="R221" s="254">
        <v>142.89401245117188</v>
      </c>
      <c r="S221" s="254">
        <v>78.989402770996094</v>
      </c>
      <c r="T221" s="255">
        <v>239.60601806640625</v>
      </c>
    </row>
    <row r="222" spans="2:20">
      <c r="B222" s="249" t="s">
        <v>501</v>
      </c>
      <c r="C222" s="250" t="s">
        <v>121</v>
      </c>
      <c r="D222" s="250" t="s">
        <v>201</v>
      </c>
      <c r="E222" s="251">
        <v>12</v>
      </c>
      <c r="F222" s="251" t="s">
        <v>281</v>
      </c>
      <c r="G222" s="250">
        <v>116844</v>
      </c>
      <c r="H222" s="250">
        <v>59437</v>
      </c>
      <c r="I222" s="250">
        <v>208533</v>
      </c>
      <c r="J222" s="252">
        <v>-2E-3</v>
      </c>
      <c r="K222" s="250">
        <v>98909</v>
      </c>
      <c r="L222" s="250">
        <v>49577</v>
      </c>
      <c r="M222" s="250">
        <v>178473</v>
      </c>
      <c r="N222" s="250">
        <v>17935</v>
      </c>
      <c r="O222" s="250">
        <v>9860</v>
      </c>
      <c r="P222" s="250">
        <v>30060</v>
      </c>
      <c r="Q222" s="253">
        <v>93727</v>
      </c>
      <c r="R222" s="254">
        <v>191.35362243652344</v>
      </c>
      <c r="S222" s="254">
        <v>105.19914245605469</v>
      </c>
      <c r="T222" s="255">
        <v>320.71868896484375</v>
      </c>
    </row>
    <row r="223" spans="2:20">
      <c r="B223" s="249" t="s">
        <v>501</v>
      </c>
      <c r="C223" s="250" t="s">
        <v>121</v>
      </c>
      <c r="D223" s="250" t="s">
        <v>201</v>
      </c>
      <c r="E223" s="251">
        <v>13</v>
      </c>
      <c r="F223" s="251" t="s">
        <v>281</v>
      </c>
      <c r="G223" s="250">
        <v>116844</v>
      </c>
      <c r="H223" s="250">
        <v>59437</v>
      </c>
      <c r="I223" s="250">
        <v>208533</v>
      </c>
      <c r="J223" s="252">
        <v>-2E-3</v>
      </c>
      <c r="K223" s="250">
        <v>98754</v>
      </c>
      <c r="L223" s="250">
        <v>49516</v>
      </c>
      <c r="M223" s="250">
        <v>178299</v>
      </c>
      <c r="N223" s="250">
        <v>18090</v>
      </c>
      <c r="O223" s="250">
        <v>9921</v>
      </c>
      <c r="P223" s="250">
        <v>30234</v>
      </c>
      <c r="Q223" s="253">
        <v>93727</v>
      </c>
      <c r="R223" s="254">
        <v>193.00735473632813</v>
      </c>
      <c r="S223" s="254">
        <v>105.84996795654297</v>
      </c>
      <c r="T223" s="255">
        <v>322.57516479492188</v>
      </c>
    </row>
    <row r="224" spans="2:20">
      <c r="B224" s="249" t="s">
        <v>501</v>
      </c>
      <c r="C224" s="250" t="s">
        <v>121</v>
      </c>
      <c r="D224" s="250" t="s">
        <v>201</v>
      </c>
      <c r="E224" s="251">
        <v>14</v>
      </c>
      <c r="F224" s="251" t="s">
        <v>281</v>
      </c>
      <c r="G224" s="250">
        <v>116844</v>
      </c>
      <c r="H224" s="250">
        <v>59437</v>
      </c>
      <c r="I224" s="250">
        <v>208533</v>
      </c>
      <c r="J224" s="252">
        <v>-2E-3</v>
      </c>
      <c r="K224" s="250">
        <v>98140</v>
      </c>
      <c r="L224" s="250">
        <v>49331</v>
      </c>
      <c r="M224" s="250">
        <v>177549</v>
      </c>
      <c r="N224" s="250">
        <v>18704</v>
      </c>
      <c r="O224" s="250">
        <v>10106</v>
      </c>
      <c r="P224" s="250">
        <v>30984</v>
      </c>
      <c r="Q224" s="253">
        <v>93727</v>
      </c>
      <c r="R224" s="254">
        <v>199.55828857421875</v>
      </c>
      <c r="S224" s="254">
        <v>107.82379150390625</v>
      </c>
      <c r="T224" s="255">
        <v>330.57711791992188</v>
      </c>
    </row>
    <row r="225" spans="2:20">
      <c r="B225" s="256" t="s">
        <v>501</v>
      </c>
      <c r="C225" s="257" t="s">
        <v>121</v>
      </c>
      <c r="D225" s="257" t="s">
        <v>201</v>
      </c>
      <c r="E225" s="258">
        <v>15</v>
      </c>
      <c r="F225" s="258" t="s">
        <v>281</v>
      </c>
      <c r="G225" s="257">
        <v>116844</v>
      </c>
      <c r="H225" s="257">
        <v>59437</v>
      </c>
      <c r="I225" s="257">
        <v>208533</v>
      </c>
      <c r="J225" s="259">
        <v>-2E-3</v>
      </c>
      <c r="K225" s="257">
        <v>98020</v>
      </c>
      <c r="L225" s="257">
        <v>49267</v>
      </c>
      <c r="M225" s="257">
        <v>177196</v>
      </c>
      <c r="N225" s="257">
        <v>18824</v>
      </c>
      <c r="O225" s="257">
        <v>10170</v>
      </c>
      <c r="P225" s="257">
        <v>31337</v>
      </c>
      <c r="Q225" s="260">
        <v>93727</v>
      </c>
      <c r="R225" s="261">
        <v>200.83860778808594</v>
      </c>
      <c r="S225" s="261">
        <v>108.50662231445313</v>
      </c>
      <c r="T225" s="262">
        <v>334.3433837890625</v>
      </c>
    </row>
    <row r="226" spans="2:20">
      <c r="B226" s="249" t="s">
        <v>501</v>
      </c>
      <c r="C226" s="250" t="s">
        <v>122</v>
      </c>
      <c r="D226" s="250" t="s">
        <v>502</v>
      </c>
      <c r="E226" s="251">
        <v>1</v>
      </c>
      <c r="F226" s="251" t="s">
        <v>281</v>
      </c>
      <c r="G226" s="250">
        <v>116844</v>
      </c>
      <c r="H226" s="250">
        <v>59437</v>
      </c>
      <c r="I226" s="250">
        <v>208533</v>
      </c>
      <c r="J226" s="252">
        <v>-1.2E-2</v>
      </c>
      <c r="K226" s="250">
        <v>108098</v>
      </c>
      <c r="L226" s="250">
        <v>54117</v>
      </c>
      <c r="M226" s="250">
        <v>195632</v>
      </c>
      <c r="N226" s="250">
        <v>8746</v>
      </c>
      <c r="O226" s="250">
        <v>5320</v>
      </c>
      <c r="P226" s="250">
        <v>12901</v>
      </c>
      <c r="Q226" s="253">
        <v>131759</v>
      </c>
      <c r="R226" s="254">
        <v>66.378761291503906</v>
      </c>
      <c r="S226" s="254">
        <v>40.376747131347656</v>
      </c>
      <c r="T226" s="255">
        <v>97.913612365722656</v>
      </c>
    </row>
    <row r="227" spans="2:20">
      <c r="B227" s="249" t="s">
        <v>501</v>
      </c>
      <c r="C227" s="250" t="s">
        <v>122</v>
      </c>
      <c r="D227" s="250" t="s">
        <v>502</v>
      </c>
      <c r="E227" s="251">
        <v>2</v>
      </c>
      <c r="F227" s="251" t="s">
        <v>281</v>
      </c>
      <c r="G227" s="250">
        <v>116844</v>
      </c>
      <c r="H227" s="250">
        <v>59437</v>
      </c>
      <c r="I227" s="250">
        <v>208533</v>
      </c>
      <c r="J227" s="252">
        <v>-1.2E-2</v>
      </c>
      <c r="K227" s="250">
        <v>107221</v>
      </c>
      <c r="L227" s="250">
        <v>53645</v>
      </c>
      <c r="M227" s="250">
        <v>193960</v>
      </c>
      <c r="N227" s="250">
        <v>9623</v>
      </c>
      <c r="O227" s="250">
        <v>5792</v>
      </c>
      <c r="P227" s="250">
        <v>14573</v>
      </c>
      <c r="Q227" s="253">
        <v>273529</v>
      </c>
      <c r="R227" s="254">
        <v>35.180912017822266</v>
      </c>
      <c r="S227" s="254">
        <v>21.175086975097656</v>
      </c>
      <c r="T227" s="255">
        <v>53.277717590332031</v>
      </c>
    </row>
    <row r="228" spans="2:20">
      <c r="B228" s="249" t="s">
        <v>501</v>
      </c>
      <c r="C228" s="250" t="s">
        <v>122</v>
      </c>
      <c r="D228" s="250" t="s">
        <v>502</v>
      </c>
      <c r="E228" s="251">
        <v>3</v>
      </c>
      <c r="F228" s="251" t="s">
        <v>281</v>
      </c>
      <c r="G228" s="250">
        <v>116844</v>
      </c>
      <c r="H228" s="250">
        <v>59437</v>
      </c>
      <c r="I228" s="250">
        <v>208533</v>
      </c>
      <c r="J228" s="252">
        <v>-1.2E-2</v>
      </c>
      <c r="K228" s="250">
        <v>106246</v>
      </c>
      <c r="L228" s="250">
        <v>53139</v>
      </c>
      <c r="M228" s="250">
        <v>192139</v>
      </c>
      <c r="N228" s="250">
        <v>10598</v>
      </c>
      <c r="O228" s="250">
        <v>6298</v>
      </c>
      <c r="P228" s="250">
        <v>16394</v>
      </c>
      <c r="Q228" s="253">
        <v>174910</v>
      </c>
      <c r="R228" s="254">
        <v>60.591159820556641</v>
      </c>
      <c r="S228" s="254">
        <v>36.007087707519531</v>
      </c>
      <c r="T228" s="255">
        <v>93.728202819824219</v>
      </c>
    </row>
    <row r="229" spans="2:20">
      <c r="B229" s="249" t="s">
        <v>501</v>
      </c>
      <c r="C229" s="250" t="s">
        <v>122</v>
      </c>
      <c r="D229" s="250" t="s">
        <v>502</v>
      </c>
      <c r="E229" s="251">
        <v>4</v>
      </c>
      <c r="F229" s="251" t="s">
        <v>281</v>
      </c>
      <c r="G229" s="250">
        <v>116844</v>
      </c>
      <c r="H229" s="250">
        <v>59437</v>
      </c>
      <c r="I229" s="250">
        <v>208533</v>
      </c>
      <c r="J229" s="252">
        <v>-1.2E-2</v>
      </c>
      <c r="K229" s="250">
        <v>105176</v>
      </c>
      <c r="L229" s="250">
        <v>52623</v>
      </c>
      <c r="M229" s="250">
        <v>190218</v>
      </c>
      <c r="N229" s="250">
        <v>11668</v>
      </c>
      <c r="O229" s="250">
        <v>6814</v>
      </c>
      <c r="P229" s="250">
        <v>18315</v>
      </c>
      <c r="Q229" s="253">
        <v>174910</v>
      </c>
      <c r="R229" s="254">
        <v>66.708595275878906</v>
      </c>
      <c r="S229" s="254">
        <v>38.957180023193359</v>
      </c>
      <c r="T229" s="255">
        <v>104.71099853515625</v>
      </c>
    </row>
    <row r="230" spans="2:20">
      <c r="B230" s="249" t="s">
        <v>501</v>
      </c>
      <c r="C230" s="250" t="s">
        <v>122</v>
      </c>
      <c r="D230" s="250" t="s">
        <v>502</v>
      </c>
      <c r="E230" s="251">
        <v>5</v>
      </c>
      <c r="F230" s="251" t="s">
        <v>281</v>
      </c>
      <c r="G230" s="250">
        <v>116844</v>
      </c>
      <c r="H230" s="250">
        <v>59437</v>
      </c>
      <c r="I230" s="250">
        <v>208533</v>
      </c>
      <c r="J230" s="252">
        <v>-1.2E-2</v>
      </c>
      <c r="K230" s="250">
        <v>104064</v>
      </c>
      <c r="L230" s="250">
        <v>52072</v>
      </c>
      <c r="M230" s="250">
        <v>188038</v>
      </c>
      <c r="N230" s="250">
        <v>12780</v>
      </c>
      <c r="O230" s="250">
        <v>7365</v>
      </c>
      <c r="P230" s="250">
        <v>20495</v>
      </c>
      <c r="Q230" s="253">
        <v>174910</v>
      </c>
      <c r="R230" s="254">
        <v>73.066146850585938</v>
      </c>
      <c r="S230" s="254">
        <v>42.107368469238281</v>
      </c>
      <c r="T230" s="255">
        <v>117.17454528808594</v>
      </c>
    </row>
    <row r="231" spans="2:20">
      <c r="B231" s="249" t="s">
        <v>501</v>
      </c>
      <c r="C231" s="250" t="s">
        <v>122</v>
      </c>
      <c r="D231" s="250" t="s">
        <v>201</v>
      </c>
      <c r="E231" s="251">
        <v>6</v>
      </c>
      <c r="F231" s="251" t="s">
        <v>281</v>
      </c>
      <c r="G231" s="250">
        <v>116844</v>
      </c>
      <c r="H231" s="250">
        <v>59437</v>
      </c>
      <c r="I231" s="250">
        <v>208533</v>
      </c>
      <c r="J231" s="252">
        <v>-3.0000000000000001E-3</v>
      </c>
      <c r="K231" s="250">
        <v>103809</v>
      </c>
      <c r="L231" s="250">
        <v>51959</v>
      </c>
      <c r="M231" s="250">
        <v>187539</v>
      </c>
      <c r="N231" s="250">
        <v>13035</v>
      </c>
      <c r="O231" s="250">
        <v>7478</v>
      </c>
      <c r="P231" s="250">
        <v>20994</v>
      </c>
      <c r="Q231" s="253">
        <v>117911</v>
      </c>
      <c r="R231" s="254">
        <v>110.54947662353516</v>
      </c>
      <c r="S231" s="254">
        <v>63.420711517333984</v>
      </c>
      <c r="T231" s="255">
        <v>178.04954528808594</v>
      </c>
    </row>
    <row r="232" spans="2:20">
      <c r="B232" s="249" t="s">
        <v>501</v>
      </c>
      <c r="C232" s="250" t="s">
        <v>122</v>
      </c>
      <c r="D232" s="250" t="s">
        <v>201</v>
      </c>
      <c r="E232" s="251">
        <v>7</v>
      </c>
      <c r="F232" s="251" t="s">
        <v>281</v>
      </c>
      <c r="G232" s="250">
        <v>116844</v>
      </c>
      <c r="H232" s="250">
        <v>59437</v>
      </c>
      <c r="I232" s="250">
        <v>208533</v>
      </c>
      <c r="J232" s="252">
        <v>-3.0000000000000001E-3</v>
      </c>
      <c r="K232" s="250">
        <v>103553</v>
      </c>
      <c r="L232" s="250">
        <v>51820</v>
      </c>
      <c r="M232" s="250">
        <v>186986</v>
      </c>
      <c r="N232" s="250">
        <v>13291</v>
      </c>
      <c r="O232" s="250">
        <v>7617</v>
      </c>
      <c r="P232" s="250">
        <v>21547</v>
      </c>
      <c r="Q232" s="253">
        <v>90500</v>
      </c>
      <c r="R232" s="254">
        <v>146.86187744140625</v>
      </c>
      <c r="S232" s="254">
        <v>84.165740966796875</v>
      </c>
      <c r="T232" s="255">
        <v>238.08839416503906</v>
      </c>
    </row>
    <row r="233" spans="2:20">
      <c r="B233" s="249" t="s">
        <v>501</v>
      </c>
      <c r="C233" s="250" t="s">
        <v>122</v>
      </c>
      <c r="D233" s="250" t="s">
        <v>201</v>
      </c>
      <c r="E233" s="251">
        <v>8</v>
      </c>
      <c r="F233" s="251" t="s">
        <v>281</v>
      </c>
      <c r="G233" s="250">
        <v>116844</v>
      </c>
      <c r="H233" s="250">
        <v>59437</v>
      </c>
      <c r="I233" s="250">
        <v>208533</v>
      </c>
      <c r="J233" s="252">
        <v>-3.0000000000000001E-3</v>
      </c>
      <c r="K233" s="250">
        <v>103277</v>
      </c>
      <c r="L233" s="250">
        <v>51657</v>
      </c>
      <c r="M233" s="250">
        <v>186359</v>
      </c>
      <c r="N233" s="250">
        <v>13567</v>
      </c>
      <c r="O233" s="250">
        <v>7780</v>
      </c>
      <c r="P233" s="250">
        <v>22174</v>
      </c>
      <c r="Q233" s="253">
        <v>90500</v>
      </c>
      <c r="R233" s="254">
        <v>149.91159057617188</v>
      </c>
      <c r="S233" s="254">
        <v>85.966850280761719</v>
      </c>
      <c r="T233" s="255">
        <v>245.01657104492188</v>
      </c>
    </row>
    <row r="234" spans="2:20">
      <c r="B234" s="249" t="s">
        <v>501</v>
      </c>
      <c r="C234" s="250" t="s">
        <v>122</v>
      </c>
      <c r="D234" s="250" t="s">
        <v>201</v>
      </c>
      <c r="E234" s="251">
        <v>9</v>
      </c>
      <c r="F234" s="251" t="s">
        <v>281</v>
      </c>
      <c r="G234" s="250">
        <v>116844</v>
      </c>
      <c r="H234" s="250">
        <v>59437</v>
      </c>
      <c r="I234" s="250">
        <v>208533</v>
      </c>
      <c r="J234" s="252">
        <v>-3.0000000000000001E-3</v>
      </c>
      <c r="K234" s="250">
        <v>102974</v>
      </c>
      <c r="L234" s="250">
        <v>51506</v>
      </c>
      <c r="M234" s="250">
        <v>185904</v>
      </c>
      <c r="N234" s="250">
        <v>13870</v>
      </c>
      <c r="O234" s="250">
        <v>7931</v>
      </c>
      <c r="P234" s="250">
        <v>22629</v>
      </c>
      <c r="Q234" s="253">
        <v>90500</v>
      </c>
      <c r="R234" s="254">
        <v>153.25965881347656</v>
      </c>
      <c r="S234" s="254">
        <v>87.635360717773438</v>
      </c>
      <c r="T234" s="255">
        <v>250.044189453125</v>
      </c>
    </row>
    <row r="235" spans="2:20">
      <c r="B235" s="249" t="s">
        <v>501</v>
      </c>
      <c r="C235" s="250" t="s">
        <v>122</v>
      </c>
      <c r="D235" s="250" t="s">
        <v>201</v>
      </c>
      <c r="E235" s="251">
        <v>10</v>
      </c>
      <c r="F235" s="251" t="s">
        <v>281</v>
      </c>
      <c r="G235" s="250">
        <v>116844</v>
      </c>
      <c r="H235" s="250">
        <v>59437</v>
      </c>
      <c r="I235" s="250">
        <v>208533</v>
      </c>
      <c r="J235" s="252">
        <v>-3.0000000000000001E-3</v>
      </c>
      <c r="K235" s="250">
        <v>102717</v>
      </c>
      <c r="L235" s="250">
        <v>51398</v>
      </c>
      <c r="M235" s="250">
        <v>185170</v>
      </c>
      <c r="N235" s="250">
        <v>14127</v>
      </c>
      <c r="O235" s="250">
        <v>8039</v>
      </c>
      <c r="P235" s="250">
        <v>23363</v>
      </c>
      <c r="Q235" s="253">
        <v>90500</v>
      </c>
      <c r="R235" s="254">
        <v>156.09945678710938</v>
      </c>
      <c r="S235" s="254">
        <v>88.828727722167969</v>
      </c>
      <c r="T235" s="255">
        <v>258.15469360351563</v>
      </c>
    </row>
    <row r="236" spans="2:20">
      <c r="B236" s="249" t="s">
        <v>501</v>
      </c>
      <c r="C236" s="250" t="s">
        <v>122</v>
      </c>
      <c r="D236" s="250" t="s">
        <v>201</v>
      </c>
      <c r="E236" s="251">
        <v>11</v>
      </c>
      <c r="F236" s="251" t="s">
        <v>281</v>
      </c>
      <c r="G236" s="250">
        <v>116844</v>
      </c>
      <c r="H236" s="250">
        <v>59437</v>
      </c>
      <c r="I236" s="250">
        <v>208533</v>
      </c>
      <c r="J236" s="252">
        <v>-3.0000000000000001E-3</v>
      </c>
      <c r="K236" s="250">
        <v>102468</v>
      </c>
      <c r="L236" s="250">
        <v>51293</v>
      </c>
      <c r="M236" s="250">
        <v>184662</v>
      </c>
      <c r="N236" s="250">
        <v>14376</v>
      </c>
      <c r="O236" s="250">
        <v>8144</v>
      </c>
      <c r="P236" s="250">
        <v>23871</v>
      </c>
      <c r="Q236" s="253">
        <v>117911</v>
      </c>
      <c r="R236" s="254">
        <v>121.92247009277344</v>
      </c>
      <c r="S236" s="254">
        <v>69.069046020507813</v>
      </c>
      <c r="T236" s="255">
        <v>202.44931030273438</v>
      </c>
    </row>
    <row r="237" spans="2:20">
      <c r="B237" s="249" t="s">
        <v>501</v>
      </c>
      <c r="C237" s="250" t="s">
        <v>122</v>
      </c>
      <c r="D237" s="250" t="s">
        <v>201</v>
      </c>
      <c r="E237" s="251">
        <v>12</v>
      </c>
      <c r="F237" s="251" t="s">
        <v>281</v>
      </c>
      <c r="G237" s="250">
        <v>116844</v>
      </c>
      <c r="H237" s="250">
        <v>59437</v>
      </c>
      <c r="I237" s="250">
        <v>208533</v>
      </c>
      <c r="J237" s="252">
        <v>-3.0000000000000001E-3</v>
      </c>
      <c r="K237" s="250">
        <v>102079</v>
      </c>
      <c r="L237" s="250">
        <v>51103</v>
      </c>
      <c r="M237" s="250">
        <v>184130</v>
      </c>
      <c r="N237" s="250">
        <v>14765</v>
      </c>
      <c r="O237" s="250">
        <v>8334</v>
      </c>
      <c r="P237" s="250">
        <v>24403</v>
      </c>
      <c r="Q237" s="253">
        <v>90500</v>
      </c>
      <c r="R237" s="254">
        <v>163.14918518066406</v>
      </c>
      <c r="S237" s="254">
        <v>92.088401794433594</v>
      </c>
      <c r="T237" s="255">
        <v>269.64639282226563</v>
      </c>
    </row>
    <row r="238" spans="2:20">
      <c r="B238" s="249" t="s">
        <v>501</v>
      </c>
      <c r="C238" s="250" t="s">
        <v>122</v>
      </c>
      <c r="D238" s="250" t="s">
        <v>201</v>
      </c>
      <c r="E238" s="251">
        <v>13</v>
      </c>
      <c r="F238" s="251" t="s">
        <v>281</v>
      </c>
      <c r="G238" s="250">
        <v>116844</v>
      </c>
      <c r="H238" s="250">
        <v>59437</v>
      </c>
      <c r="I238" s="250">
        <v>208533</v>
      </c>
      <c r="J238" s="252">
        <v>-3.0000000000000001E-3</v>
      </c>
      <c r="K238" s="250">
        <v>101940</v>
      </c>
      <c r="L238" s="250">
        <v>51052</v>
      </c>
      <c r="M238" s="250">
        <v>183792</v>
      </c>
      <c r="N238" s="250">
        <v>14904</v>
      </c>
      <c r="O238" s="250">
        <v>8385</v>
      </c>
      <c r="P238" s="250">
        <v>24741</v>
      </c>
      <c r="Q238" s="253">
        <v>90500</v>
      </c>
      <c r="R238" s="254">
        <v>164.68508911132813</v>
      </c>
      <c r="S238" s="254">
        <v>92.651931762695313</v>
      </c>
      <c r="T238" s="255">
        <v>273.38119506835938</v>
      </c>
    </row>
    <row r="239" spans="2:20">
      <c r="B239" s="249" t="s">
        <v>501</v>
      </c>
      <c r="C239" s="250" t="s">
        <v>122</v>
      </c>
      <c r="D239" s="250" t="s">
        <v>201</v>
      </c>
      <c r="E239" s="251">
        <v>14</v>
      </c>
      <c r="F239" s="251" t="s">
        <v>281</v>
      </c>
      <c r="G239" s="250">
        <v>116844</v>
      </c>
      <c r="H239" s="250">
        <v>59437</v>
      </c>
      <c r="I239" s="250">
        <v>208533</v>
      </c>
      <c r="J239" s="252">
        <v>-3.0000000000000001E-3</v>
      </c>
      <c r="K239" s="250">
        <v>101448</v>
      </c>
      <c r="L239" s="250">
        <v>50868</v>
      </c>
      <c r="M239" s="250">
        <v>183227</v>
      </c>
      <c r="N239" s="250">
        <v>15396</v>
      </c>
      <c r="O239" s="250">
        <v>8569</v>
      </c>
      <c r="P239" s="250">
        <v>25306</v>
      </c>
      <c r="Q239" s="253">
        <v>90500</v>
      </c>
      <c r="R239" s="254">
        <v>170.12155151367188</v>
      </c>
      <c r="S239" s="254">
        <v>94.685081481933594</v>
      </c>
      <c r="T239" s="255">
        <v>279.62429809570313</v>
      </c>
    </row>
    <row r="240" spans="2:20">
      <c r="B240" s="256" t="s">
        <v>501</v>
      </c>
      <c r="C240" s="257" t="s">
        <v>122</v>
      </c>
      <c r="D240" s="257" t="s">
        <v>201</v>
      </c>
      <c r="E240" s="258">
        <v>15</v>
      </c>
      <c r="F240" s="258" t="s">
        <v>281</v>
      </c>
      <c r="G240" s="257">
        <v>116844</v>
      </c>
      <c r="H240" s="257">
        <v>59437</v>
      </c>
      <c r="I240" s="257">
        <v>208533</v>
      </c>
      <c r="J240" s="259">
        <v>-3.0000000000000001E-3</v>
      </c>
      <c r="K240" s="257">
        <v>101272</v>
      </c>
      <c r="L240" s="257">
        <v>50742</v>
      </c>
      <c r="M240" s="257">
        <v>182697</v>
      </c>
      <c r="N240" s="257">
        <v>15572</v>
      </c>
      <c r="O240" s="257">
        <v>8695</v>
      </c>
      <c r="P240" s="257">
        <v>25836</v>
      </c>
      <c r="Q240" s="260">
        <v>90500</v>
      </c>
      <c r="R240" s="261">
        <v>172.06629943847656</v>
      </c>
      <c r="S240" s="261">
        <v>96.077346801757813</v>
      </c>
      <c r="T240" s="262">
        <v>285.48065185546875</v>
      </c>
    </row>
    <row r="241" spans="2:27">
      <c r="B241" s="249" t="s">
        <v>513</v>
      </c>
      <c r="C241" s="250" t="s">
        <v>242</v>
      </c>
      <c r="D241" s="250" t="s">
        <v>502</v>
      </c>
      <c r="E241" s="251">
        <v>1</v>
      </c>
      <c r="F241" s="251" t="s">
        <v>281</v>
      </c>
      <c r="G241" s="250">
        <v>103129</v>
      </c>
      <c r="H241" s="250">
        <v>54885</v>
      </c>
      <c r="I241" s="250">
        <v>179708</v>
      </c>
      <c r="J241" s="252">
        <v>-6.6000000000000003E-2</v>
      </c>
      <c r="K241" s="250">
        <v>91769</v>
      </c>
      <c r="L241" s="250">
        <v>48222</v>
      </c>
      <c r="M241" s="250">
        <v>161386</v>
      </c>
      <c r="N241" s="250">
        <v>11360</v>
      </c>
      <c r="O241" s="250">
        <v>6663</v>
      </c>
      <c r="P241" s="250">
        <v>18322</v>
      </c>
      <c r="Q241" s="253">
        <v>977845</v>
      </c>
      <c r="R241" s="254">
        <v>11.617383003234863</v>
      </c>
      <c r="S241" s="254">
        <v>6.8139634132385254</v>
      </c>
      <c r="T241" s="255">
        <v>18.737119674682617</v>
      </c>
      <c r="U241"/>
      <c r="V241"/>
      <c r="W241"/>
      <c r="X241"/>
      <c r="Y241"/>
      <c r="Z241"/>
      <c r="AA241"/>
    </row>
    <row r="242" spans="2:27">
      <c r="B242" s="249" t="s">
        <v>513</v>
      </c>
      <c r="C242" s="250" t="s">
        <v>242</v>
      </c>
      <c r="D242" s="250" t="s">
        <v>502</v>
      </c>
      <c r="E242" s="251">
        <v>2</v>
      </c>
      <c r="F242" s="251" t="s">
        <v>281</v>
      </c>
      <c r="G242" s="250">
        <v>103129</v>
      </c>
      <c r="H242" s="250">
        <v>54885</v>
      </c>
      <c r="I242" s="250">
        <v>179708</v>
      </c>
      <c r="J242" s="252">
        <v>-6.6000000000000003E-2</v>
      </c>
      <c r="K242" s="250">
        <v>85764</v>
      </c>
      <c r="L242" s="250">
        <v>45187</v>
      </c>
      <c r="M242" s="250">
        <v>150847</v>
      </c>
      <c r="N242" s="250">
        <v>17365</v>
      </c>
      <c r="O242" s="250">
        <v>9698</v>
      </c>
      <c r="P242" s="250">
        <v>28861</v>
      </c>
      <c r="Q242" s="253">
        <v>1239352</v>
      </c>
      <c r="R242" s="254">
        <v>14.011354446411133</v>
      </c>
      <c r="S242" s="254">
        <v>7.8250570297241211</v>
      </c>
      <c r="T242" s="255">
        <v>23.28717041015625</v>
      </c>
      <c r="U242"/>
      <c r="V242"/>
      <c r="W242"/>
      <c r="X242"/>
      <c r="Y242"/>
      <c r="Z242"/>
      <c r="AA242"/>
    </row>
    <row r="243" spans="2:27">
      <c r="B243" s="249" t="s">
        <v>513</v>
      </c>
      <c r="C243" s="250" t="s">
        <v>242</v>
      </c>
      <c r="D243" s="250" t="s">
        <v>502</v>
      </c>
      <c r="E243" s="251">
        <v>3</v>
      </c>
      <c r="F243" s="251" t="s">
        <v>281</v>
      </c>
      <c r="G243" s="250">
        <v>103129</v>
      </c>
      <c r="H243" s="250">
        <v>54885</v>
      </c>
      <c r="I243" s="250">
        <v>179708</v>
      </c>
      <c r="J243" s="252">
        <v>-6.6000000000000003E-2</v>
      </c>
      <c r="K243" s="250">
        <v>80274</v>
      </c>
      <c r="L243" s="250">
        <v>42219</v>
      </c>
      <c r="M243" s="250">
        <v>141034</v>
      </c>
      <c r="N243" s="250">
        <v>22855</v>
      </c>
      <c r="O243" s="250">
        <v>12666</v>
      </c>
      <c r="P243" s="250">
        <v>38674</v>
      </c>
      <c r="Q243" s="253">
        <v>837959</v>
      </c>
      <c r="R243" s="254">
        <v>27.274604797363281</v>
      </c>
      <c r="S243" s="254">
        <v>15.115298271179199</v>
      </c>
      <c r="T243" s="255">
        <v>46.152618408203125</v>
      </c>
      <c r="U243"/>
      <c r="V243"/>
      <c r="W243"/>
      <c r="X243"/>
      <c r="Y243"/>
      <c r="Z243"/>
      <c r="AA243"/>
    </row>
    <row r="244" spans="2:27">
      <c r="B244" s="249" t="s">
        <v>513</v>
      </c>
      <c r="C244" s="250" t="s">
        <v>242</v>
      </c>
      <c r="D244" s="250" t="s">
        <v>502</v>
      </c>
      <c r="E244" s="251">
        <v>4</v>
      </c>
      <c r="F244" s="251" t="s">
        <v>281</v>
      </c>
      <c r="G244" s="250">
        <v>103129</v>
      </c>
      <c r="H244" s="250">
        <v>54885</v>
      </c>
      <c r="I244" s="250">
        <v>179708</v>
      </c>
      <c r="J244" s="252">
        <v>-6.6000000000000003E-2</v>
      </c>
      <c r="K244" s="250">
        <v>74938</v>
      </c>
      <c r="L244" s="250">
        <v>39370</v>
      </c>
      <c r="M244" s="250">
        <v>131633</v>
      </c>
      <c r="N244" s="250">
        <v>28191</v>
      </c>
      <c r="O244" s="250">
        <v>15515</v>
      </c>
      <c r="P244" s="250">
        <v>48075</v>
      </c>
      <c r="Q244" s="253">
        <v>855330</v>
      </c>
      <c r="R244" s="254">
        <v>32.959209442138672</v>
      </c>
      <c r="S244" s="254">
        <v>18.139198303222656</v>
      </c>
      <c r="T244" s="255">
        <v>56.206375122070313</v>
      </c>
      <c r="U244"/>
      <c r="V244"/>
      <c r="W244"/>
      <c r="X244"/>
      <c r="Y244"/>
      <c r="Z244"/>
      <c r="AA244"/>
    </row>
    <row r="245" spans="2:27">
      <c r="B245" s="249" t="s">
        <v>513</v>
      </c>
      <c r="C245" s="250" t="s">
        <v>242</v>
      </c>
      <c r="D245" s="250" t="s">
        <v>502</v>
      </c>
      <c r="E245" s="251">
        <v>5</v>
      </c>
      <c r="F245" s="251" t="s">
        <v>281</v>
      </c>
      <c r="G245" s="250">
        <v>103129</v>
      </c>
      <c r="H245" s="250">
        <v>54885</v>
      </c>
      <c r="I245" s="250">
        <v>179708</v>
      </c>
      <c r="J245" s="252">
        <v>-6.6000000000000003E-2</v>
      </c>
      <c r="K245" s="250">
        <v>69992</v>
      </c>
      <c r="L245" s="250">
        <v>36749</v>
      </c>
      <c r="M245" s="250">
        <v>122609</v>
      </c>
      <c r="N245" s="250">
        <v>33137</v>
      </c>
      <c r="O245" s="250">
        <v>18136</v>
      </c>
      <c r="P245" s="250">
        <v>57099</v>
      </c>
      <c r="Q245" s="253">
        <v>837959</v>
      </c>
      <c r="R245" s="254">
        <v>39.544895172119141</v>
      </c>
      <c r="S245" s="254">
        <v>21.643062591552734</v>
      </c>
      <c r="T245" s="255">
        <v>68.14056396484375</v>
      </c>
      <c r="U245"/>
      <c r="V245"/>
      <c r="W245"/>
      <c r="X245"/>
      <c r="Y245"/>
      <c r="Z245"/>
      <c r="AA245"/>
    </row>
    <row r="246" spans="2:27">
      <c r="B246" s="249" t="s">
        <v>513</v>
      </c>
      <c r="C246" s="250" t="s">
        <v>242</v>
      </c>
      <c r="D246" s="250" t="s">
        <v>201</v>
      </c>
      <c r="E246" s="251">
        <v>6</v>
      </c>
      <c r="F246" s="251" t="s">
        <v>281</v>
      </c>
      <c r="G246" s="250">
        <v>103129</v>
      </c>
      <c r="H246" s="250">
        <v>54885</v>
      </c>
      <c r="I246" s="250">
        <v>179708</v>
      </c>
      <c r="J246" s="252">
        <v>-1.24E-2</v>
      </c>
      <c r="K246" s="250">
        <v>69158</v>
      </c>
      <c r="L246" s="250">
        <v>36301</v>
      </c>
      <c r="M246" s="250">
        <v>121346</v>
      </c>
      <c r="N246" s="250">
        <v>33971</v>
      </c>
      <c r="O246" s="250">
        <v>18584</v>
      </c>
      <c r="P246" s="250">
        <v>58362</v>
      </c>
      <c r="Q246" s="253">
        <v>661371</v>
      </c>
      <c r="R246" s="254">
        <v>51.364513397216797</v>
      </c>
      <c r="S246" s="254">
        <v>28.099205017089844</v>
      </c>
      <c r="T246" s="255">
        <v>88.243965148925781</v>
      </c>
      <c r="U246"/>
      <c r="V246"/>
      <c r="W246"/>
      <c r="X246"/>
      <c r="Y246"/>
      <c r="Z246"/>
      <c r="AA246"/>
    </row>
    <row r="247" spans="2:27">
      <c r="B247" s="249" t="s">
        <v>513</v>
      </c>
      <c r="C247" s="250" t="s">
        <v>242</v>
      </c>
      <c r="D247" s="250" t="s">
        <v>201</v>
      </c>
      <c r="E247" s="251">
        <v>7</v>
      </c>
      <c r="F247" s="251" t="s">
        <v>281</v>
      </c>
      <c r="G247" s="250">
        <v>103129</v>
      </c>
      <c r="H247" s="250">
        <v>54885</v>
      </c>
      <c r="I247" s="250">
        <v>179708</v>
      </c>
      <c r="J247" s="252">
        <v>-1.24E-2</v>
      </c>
      <c r="K247" s="250">
        <v>68323</v>
      </c>
      <c r="L247" s="250">
        <v>35832</v>
      </c>
      <c r="M247" s="250">
        <v>119830</v>
      </c>
      <c r="N247" s="250">
        <v>34806</v>
      </c>
      <c r="O247" s="250">
        <v>19053</v>
      </c>
      <c r="P247" s="250">
        <v>59878</v>
      </c>
      <c r="Q247" s="253">
        <v>504727</v>
      </c>
      <c r="R247" s="254">
        <v>68.960044860839844</v>
      </c>
      <c r="S247" s="254">
        <v>37.749118804931641</v>
      </c>
      <c r="T247" s="255">
        <v>118.63442993164063</v>
      </c>
      <c r="U247"/>
      <c r="V247"/>
      <c r="W247"/>
      <c r="X247"/>
      <c r="Y247"/>
      <c r="Z247"/>
      <c r="AA247"/>
    </row>
    <row r="248" spans="2:27">
      <c r="B248" s="249" t="s">
        <v>513</v>
      </c>
      <c r="C248" s="250" t="s">
        <v>242</v>
      </c>
      <c r="D248" s="250" t="s">
        <v>201</v>
      </c>
      <c r="E248" s="251">
        <v>8</v>
      </c>
      <c r="F248" s="251" t="s">
        <v>281</v>
      </c>
      <c r="G248" s="250">
        <v>103129</v>
      </c>
      <c r="H248" s="250">
        <v>54885</v>
      </c>
      <c r="I248" s="250">
        <v>179708</v>
      </c>
      <c r="J248" s="252">
        <v>-1.24E-2</v>
      </c>
      <c r="K248" s="250">
        <v>67446</v>
      </c>
      <c r="L248" s="250">
        <v>35488</v>
      </c>
      <c r="M248" s="250">
        <v>118305</v>
      </c>
      <c r="N248" s="250">
        <v>35683</v>
      </c>
      <c r="O248" s="250">
        <v>19397</v>
      </c>
      <c r="P248" s="250">
        <v>61403</v>
      </c>
      <c r="Q248" s="253">
        <v>487356</v>
      </c>
      <c r="R248" s="254">
        <v>73.217529296875</v>
      </c>
      <c r="S248" s="254">
        <v>39.800472259521484</v>
      </c>
      <c r="T248" s="255">
        <v>125.99208831787109</v>
      </c>
      <c r="U248"/>
      <c r="V248"/>
      <c r="W248"/>
      <c r="X248"/>
      <c r="Y248"/>
      <c r="Z248"/>
      <c r="AA248"/>
    </row>
    <row r="249" spans="2:27">
      <c r="B249" s="249" t="s">
        <v>513</v>
      </c>
      <c r="C249" s="250" t="s">
        <v>242</v>
      </c>
      <c r="D249" s="250" t="s">
        <v>201</v>
      </c>
      <c r="E249" s="251">
        <v>9</v>
      </c>
      <c r="F249" s="251" t="s">
        <v>281</v>
      </c>
      <c r="G249" s="250">
        <v>103129</v>
      </c>
      <c r="H249" s="250">
        <v>54885</v>
      </c>
      <c r="I249" s="250">
        <v>179708</v>
      </c>
      <c r="J249" s="252">
        <v>-1.24E-2</v>
      </c>
      <c r="K249" s="250">
        <v>66779</v>
      </c>
      <c r="L249" s="250">
        <v>35081</v>
      </c>
      <c r="M249" s="250">
        <v>117075</v>
      </c>
      <c r="N249" s="250">
        <v>36350</v>
      </c>
      <c r="O249" s="250">
        <v>19804</v>
      </c>
      <c r="P249" s="250">
        <v>62633</v>
      </c>
      <c r="Q249" s="253">
        <v>487356</v>
      </c>
      <c r="R249" s="254">
        <v>74.586128234863281</v>
      </c>
      <c r="S249" s="254">
        <v>40.635593414306641</v>
      </c>
      <c r="T249" s="255">
        <v>128.51591491699219</v>
      </c>
      <c r="U249"/>
      <c r="V249"/>
      <c r="W249"/>
      <c r="X249"/>
      <c r="Y249"/>
      <c r="Z249"/>
      <c r="AA249"/>
    </row>
    <row r="250" spans="2:27">
      <c r="B250" s="249" t="s">
        <v>513</v>
      </c>
      <c r="C250" s="250" t="s">
        <v>242</v>
      </c>
      <c r="D250" s="250" t="s">
        <v>201</v>
      </c>
      <c r="E250" s="251">
        <v>10</v>
      </c>
      <c r="F250" s="251" t="s">
        <v>281</v>
      </c>
      <c r="G250" s="250">
        <v>103129</v>
      </c>
      <c r="H250" s="250">
        <v>54885</v>
      </c>
      <c r="I250" s="250">
        <v>179708</v>
      </c>
      <c r="J250" s="252">
        <v>-1.24E-2</v>
      </c>
      <c r="K250" s="250">
        <v>66192</v>
      </c>
      <c r="L250" s="250">
        <v>34751</v>
      </c>
      <c r="M250" s="250">
        <v>116014</v>
      </c>
      <c r="N250" s="250">
        <v>36937</v>
      </c>
      <c r="O250" s="250">
        <v>20134</v>
      </c>
      <c r="P250" s="250">
        <v>63694</v>
      </c>
      <c r="Q250" s="253">
        <v>504727</v>
      </c>
      <c r="R250" s="254">
        <v>73.182136535644531</v>
      </c>
      <c r="S250" s="254">
        <v>39.890869140625</v>
      </c>
      <c r="T250" s="255">
        <v>126.19495391845703</v>
      </c>
      <c r="U250"/>
      <c r="V250"/>
      <c r="W250"/>
      <c r="X250"/>
      <c r="Y250"/>
      <c r="Z250"/>
      <c r="AA250"/>
    </row>
    <row r="251" spans="2:27">
      <c r="B251" s="249" t="s">
        <v>513</v>
      </c>
      <c r="C251" s="250" t="s">
        <v>242</v>
      </c>
      <c r="D251" s="250" t="s">
        <v>201</v>
      </c>
      <c r="E251" s="251">
        <v>11</v>
      </c>
      <c r="F251" s="251" t="s">
        <v>281</v>
      </c>
      <c r="G251" s="250">
        <v>103129</v>
      </c>
      <c r="H251" s="250">
        <v>54885</v>
      </c>
      <c r="I251" s="250">
        <v>179708</v>
      </c>
      <c r="J251" s="252">
        <v>-1.24E-2</v>
      </c>
      <c r="K251" s="250">
        <v>63961</v>
      </c>
      <c r="L251" s="250">
        <v>33767</v>
      </c>
      <c r="M251" s="250">
        <v>112787</v>
      </c>
      <c r="N251" s="250">
        <v>39168</v>
      </c>
      <c r="O251" s="250">
        <v>21118</v>
      </c>
      <c r="P251" s="250">
        <v>66921</v>
      </c>
      <c r="Q251" s="253">
        <v>661371</v>
      </c>
      <c r="R251" s="254">
        <v>59.222434997558594</v>
      </c>
      <c r="S251" s="254">
        <v>31.930641174316406</v>
      </c>
      <c r="T251" s="255">
        <v>101.18526458740234</v>
      </c>
      <c r="U251"/>
      <c r="V251"/>
      <c r="W251"/>
      <c r="X251"/>
      <c r="Y251"/>
      <c r="Z251"/>
      <c r="AA251"/>
    </row>
    <row r="252" spans="2:27">
      <c r="B252" s="249" t="s">
        <v>513</v>
      </c>
      <c r="C252" s="250" t="s">
        <v>242</v>
      </c>
      <c r="D252" s="250" t="s">
        <v>201</v>
      </c>
      <c r="E252" s="251">
        <v>12</v>
      </c>
      <c r="F252" s="251" t="s">
        <v>281</v>
      </c>
      <c r="G252" s="250">
        <v>103129</v>
      </c>
      <c r="H252" s="250">
        <v>54885</v>
      </c>
      <c r="I252" s="250">
        <v>179708</v>
      </c>
      <c r="J252" s="252">
        <v>-1.24E-2</v>
      </c>
      <c r="K252" s="250">
        <v>63316</v>
      </c>
      <c r="L252" s="250">
        <v>33436</v>
      </c>
      <c r="M252" s="250">
        <v>111749</v>
      </c>
      <c r="N252" s="250">
        <v>39813</v>
      </c>
      <c r="O252" s="250">
        <v>21449</v>
      </c>
      <c r="P252" s="250">
        <v>67959</v>
      </c>
      <c r="Q252" s="253">
        <v>487356</v>
      </c>
      <c r="R252" s="254">
        <v>81.691825866699219</v>
      </c>
      <c r="S252" s="254">
        <v>44.010948181152344</v>
      </c>
      <c r="T252" s="255">
        <v>139.44425964355469</v>
      </c>
      <c r="U252"/>
      <c r="V252"/>
      <c r="W252"/>
      <c r="X252"/>
      <c r="Y252"/>
      <c r="Z252"/>
      <c r="AA252"/>
    </row>
    <row r="253" spans="2:27">
      <c r="B253" s="249" t="s">
        <v>513</v>
      </c>
      <c r="C253" s="250" t="s">
        <v>242</v>
      </c>
      <c r="D253" s="250" t="s">
        <v>201</v>
      </c>
      <c r="E253" s="251">
        <v>13</v>
      </c>
      <c r="F253" s="251" t="s">
        <v>281</v>
      </c>
      <c r="G253" s="250">
        <v>103129</v>
      </c>
      <c r="H253" s="250">
        <v>54885</v>
      </c>
      <c r="I253" s="250">
        <v>179708</v>
      </c>
      <c r="J253" s="252">
        <v>-1.24E-2</v>
      </c>
      <c r="K253" s="250">
        <v>62701</v>
      </c>
      <c r="L253" s="250">
        <v>33016</v>
      </c>
      <c r="M253" s="250">
        <v>110590</v>
      </c>
      <c r="N253" s="250">
        <v>40428</v>
      </c>
      <c r="O253" s="250">
        <v>21869</v>
      </c>
      <c r="P253" s="250">
        <v>69118</v>
      </c>
      <c r="Q253" s="253">
        <v>504727</v>
      </c>
      <c r="R253" s="254">
        <v>80.098747253417969</v>
      </c>
      <c r="S253" s="254">
        <v>43.328372955322266</v>
      </c>
      <c r="T253" s="255">
        <v>136.94136047363281</v>
      </c>
      <c r="U253"/>
      <c r="V253"/>
      <c r="W253"/>
      <c r="X253"/>
      <c r="Y253"/>
      <c r="Z253"/>
      <c r="AA253"/>
    </row>
    <row r="254" spans="2:27">
      <c r="B254" s="249" t="s">
        <v>513</v>
      </c>
      <c r="C254" s="250" t="s">
        <v>242</v>
      </c>
      <c r="D254" s="250" t="s">
        <v>201</v>
      </c>
      <c r="E254" s="251">
        <v>14</v>
      </c>
      <c r="F254" s="251" t="s">
        <v>281</v>
      </c>
      <c r="G254" s="250">
        <v>103129</v>
      </c>
      <c r="H254" s="250">
        <v>54885</v>
      </c>
      <c r="I254" s="250">
        <v>179708</v>
      </c>
      <c r="J254" s="252">
        <v>-1.24E-2</v>
      </c>
      <c r="K254" s="250">
        <v>61786</v>
      </c>
      <c r="L254" s="250">
        <v>32627</v>
      </c>
      <c r="M254" s="250">
        <v>109005</v>
      </c>
      <c r="N254" s="250">
        <v>41343</v>
      </c>
      <c r="O254" s="250">
        <v>22258</v>
      </c>
      <c r="P254" s="250">
        <v>70703</v>
      </c>
      <c r="Q254" s="253">
        <v>487356</v>
      </c>
      <c r="R254" s="254">
        <v>84.831207275390625</v>
      </c>
      <c r="S254" s="254">
        <v>45.670925140380859</v>
      </c>
      <c r="T254" s="255">
        <v>145.07464599609375</v>
      </c>
      <c r="U254"/>
      <c r="V254"/>
      <c r="W254"/>
      <c r="X254"/>
      <c r="Y254"/>
      <c r="Z254"/>
      <c r="AA254"/>
    </row>
    <row r="255" spans="2:27">
      <c r="B255" s="256" t="s">
        <v>513</v>
      </c>
      <c r="C255" s="257" t="s">
        <v>242</v>
      </c>
      <c r="D255" s="257" t="s">
        <v>201</v>
      </c>
      <c r="E255" s="258">
        <v>15</v>
      </c>
      <c r="F255" s="258" t="s">
        <v>281</v>
      </c>
      <c r="G255" s="257">
        <v>103129</v>
      </c>
      <c r="H255" s="257">
        <v>54885</v>
      </c>
      <c r="I255" s="257">
        <v>179708</v>
      </c>
      <c r="J255" s="259">
        <v>-1.24E-2</v>
      </c>
      <c r="K255" s="257">
        <v>61213</v>
      </c>
      <c r="L255" s="257">
        <v>32336</v>
      </c>
      <c r="M255" s="257">
        <v>107892</v>
      </c>
      <c r="N255" s="257">
        <v>41916</v>
      </c>
      <c r="O255" s="257">
        <v>22549</v>
      </c>
      <c r="P255" s="257">
        <v>71816</v>
      </c>
      <c r="Q255" s="260">
        <v>487356</v>
      </c>
      <c r="R255" s="261">
        <v>86.006950378417969</v>
      </c>
      <c r="S255" s="261">
        <v>46.268028259277344</v>
      </c>
      <c r="T255" s="262">
        <v>147.3583984375</v>
      </c>
      <c r="U255"/>
      <c r="V255"/>
      <c r="W255"/>
      <c r="X255"/>
      <c r="Y255"/>
      <c r="Z255"/>
      <c r="AA255"/>
    </row>
    <row r="256" spans="2:27">
      <c r="B256" s="249" t="s">
        <v>513</v>
      </c>
      <c r="C256" s="250" t="s">
        <v>282</v>
      </c>
      <c r="D256" s="250" t="s">
        <v>502</v>
      </c>
      <c r="E256" s="251">
        <v>1</v>
      </c>
      <c r="F256" s="251" t="s">
        <v>281</v>
      </c>
      <c r="G256" s="250">
        <v>103129</v>
      </c>
      <c r="H256" s="250">
        <v>54885</v>
      </c>
      <c r="I256" s="250">
        <v>179708</v>
      </c>
      <c r="J256" s="252">
        <v>-3.6400000000000002E-2</v>
      </c>
      <c r="K256" s="250">
        <v>94194</v>
      </c>
      <c r="L256" s="250">
        <v>49507</v>
      </c>
      <c r="M256" s="250">
        <v>165996</v>
      </c>
      <c r="N256" s="250">
        <v>8935</v>
      </c>
      <c r="O256" s="250">
        <v>5378</v>
      </c>
      <c r="P256" s="250">
        <v>13712</v>
      </c>
      <c r="Q256" s="253">
        <v>420165</v>
      </c>
      <c r="R256" s="254">
        <v>21.26545524597168</v>
      </c>
      <c r="S256" s="254">
        <v>12.79973316192627</v>
      </c>
      <c r="T256" s="255">
        <v>32.634799957275391</v>
      </c>
    </row>
    <row r="257" spans="2:20">
      <c r="B257" s="249" t="s">
        <v>513</v>
      </c>
      <c r="C257" s="250" t="s">
        <v>282</v>
      </c>
      <c r="D257" s="250" t="s">
        <v>502</v>
      </c>
      <c r="E257" s="251">
        <v>2</v>
      </c>
      <c r="F257" s="251" t="s">
        <v>281</v>
      </c>
      <c r="G257" s="250">
        <v>103129</v>
      </c>
      <c r="H257" s="250">
        <v>54885</v>
      </c>
      <c r="I257" s="250">
        <v>179708</v>
      </c>
      <c r="J257" s="252">
        <v>-3.6400000000000002E-2</v>
      </c>
      <c r="K257" s="250">
        <v>91217</v>
      </c>
      <c r="L257" s="250">
        <v>47886</v>
      </c>
      <c r="M257" s="250">
        <v>160247</v>
      </c>
      <c r="N257" s="250">
        <v>11912</v>
      </c>
      <c r="O257" s="250">
        <v>6999</v>
      </c>
      <c r="P257" s="250">
        <v>19461</v>
      </c>
      <c r="Q257" s="253">
        <v>188719</v>
      </c>
      <c r="R257" s="254">
        <v>63.120296478271484</v>
      </c>
      <c r="S257" s="254">
        <v>37.086883544921875</v>
      </c>
      <c r="T257" s="255">
        <v>103.12157440185547</v>
      </c>
    </row>
    <row r="258" spans="2:20">
      <c r="B258" s="249" t="s">
        <v>513</v>
      </c>
      <c r="C258" s="250" t="s">
        <v>282</v>
      </c>
      <c r="D258" s="250" t="s">
        <v>502</v>
      </c>
      <c r="E258" s="251">
        <v>3</v>
      </c>
      <c r="F258" s="251" t="s">
        <v>281</v>
      </c>
      <c r="G258" s="250">
        <v>103129</v>
      </c>
      <c r="H258" s="250">
        <v>54885</v>
      </c>
      <c r="I258" s="250">
        <v>179708</v>
      </c>
      <c r="J258" s="252">
        <v>-3.6400000000000002E-2</v>
      </c>
      <c r="K258" s="250">
        <v>87946</v>
      </c>
      <c r="L258" s="250">
        <v>46309</v>
      </c>
      <c r="M258" s="250">
        <v>154739</v>
      </c>
      <c r="N258" s="250">
        <v>15183</v>
      </c>
      <c r="O258" s="250">
        <v>8576</v>
      </c>
      <c r="P258" s="250">
        <v>24969</v>
      </c>
      <c r="Q258" s="253">
        <v>155920</v>
      </c>
      <c r="R258" s="254">
        <v>97.376861572265625</v>
      </c>
      <c r="S258" s="254">
        <v>55.002567291259766</v>
      </c>
      <c r="T258" s="255">
        <v>160.13981628417969</v>
      </c>
    </row>
    <row r="259" spans="2:20">
      <c r="B259" s="249" t="s">
        <v>513</v>
      </c>
      <c r="C259" s="250" t="s">
        <v>282</v>
      </c>
      <c r="D259" s="250" t="s">
        <v>502</v>
      </c>
      <c r="E259" s="251">
        <v>4</v>
      </c>
      <c r="F259" s="251" t="s">
        <v>281</v>
      </c>
      <c r="G259" s="250">
        <v>103129</v>
      </c>
      <c r="H259" s="250">
        <v>54885</v>
      </c>
      <c r="I259" s="250">
        <v>179708</v>
      </c>
      <c r="J259" s="252">
        <v>-3.6400000000000002E-2</v>
      </c>
      <c r="K259" s="250">
        <v>85034</v>
      </c>
      <c r="L259" s="250">
        <v>44707</v>
      </c>
      <c r="M259" s="250">
        <v>149205</v>
      </c>
      <c r="N259" s="250">
        <v>18095</v>
      </c>
      <c r="O259" s="250">
        <v>10178</v>
      </c>
      <c r="P259" s="250">
        <v>30503</v>
      </c>
      <c r="Q259" s="253">
        <v>155920</v>
      </c>
      <c r="R259" s="254">
        <v>116.0531005859375</v>
      </c>
      <c r="S259" s="254">
        <v>65.277061462402344</v>
      </c>
      <c r="T259" s="255">
        <v>195.63236999511719</v>
      </c>
    </row>
    <row r="260" spans="2:20">
      <c r="B260" s="249" t="s">
        <v>513</v>
      </c>
      <c r="C260" s="250" t="s">
        <v>282</v>
      </c>
      <c r="D260" s="250" t="s">
        <v>502</v>
      </c>
      <c r="E260" s="251">
        <v>5</v>
      </c>
      <c r="F260" s="251" t="s">
        <v>281</v>
      </c>
      <c r="G260" s="250">
        <v>103129</v>
      </c>
      <c r="H260" s="250">
        <v>54885</v>
      </c>
      <c r="I260" s="250">
        <v>179708</v>
      </c>
      <c r="J260" s="252">
        <v>-3.6400000000000002E-2</v>
      </c>
      <c r="K260" s="250">
        <v>81726</v>
      </c>
      <c r="L260" s="250">
        <v>42950</v>
      </c>
      <c r="M260" s="250">
        <v>143482</v>
      </c>
      <c r="N260" s="250">
        <v>21403</v>
      </c>
      <c r="O260" s="250">
        <v>11935</v>
      </c>
      <c r="P260" s="250">
        <v>36226</v>
      </c>
      <c r="Q260" s="253">
        <v>155920</v>
      </c>
      <c r="R260" s="254">
        <v>137.26910400390625</v>
      </c>
      <c r="S260" s="254">
        <v>76.545661926269531</v>
      </c>
      <c r="T260" s="255">
        <v>232.33709716796875</v>
      </c>
    </row>
    <row r="261" spans="2:20">
      <c r="B261" s="249" t="s">
        <v>513</v>
      </c>
      <c r="C261" s="250" t="s">
        <v>282</v>
      </c>
      <c r="D261" s="250" t="s">
        <v>201</v>
      </c>
      <c r="E261" s="251">
        <v>6</v>
      </c>
      <c r="F261" s="251" t="s">
        <v>281</v>
      </c>
      <c r="G261" s="250">
        <v>103129</v>
      </c>
      <c r="H261" s="250">
        <v>54885</v>
      </c>
      <c r="I261" s="250">
        <v>179708</v>
      </c>
      <c r="J261" s="252">
        <v>-9.1000000000000004E-3</v>
      </c>
      <c r="K261" s="250">
        <v>81128</v>
      </c>
      <c r="L261" s="250">
        <v>42576</v>
      </c>
      <c r="M261" s="250">
        <v>142381</v>
      </c>
      <c r="N261" s="250">
        <v>22001</v>
      </c>
      <c r="O261" s="250">
        <v>12309</v>
      </c>
      <c r="P261" s="250">
        <v>37327</v>
      </c>
      <c r="Q261" s="253">
        <v>188016</v>
      </c>
      <c r="R261" s="254">
        <v>117.01663208007813</v>
      </c>
      <c r="S261" s="254">
        <v>65.46783447265625</v>
      </c>
      <c r="T261" s="255">
        <v>198.53097534179688</v>
      </c>
    </row>
    <row r="262" spans="2:20">
      <c r="B262" s="249" t="s">
        <v>513</v>
      </c>
      <c r="C262" s="250" t="s">
        <v>282</v>
      </c>
      <c r="D262" s="250" t="s">
        <v>201</v>
      </c>
      <c r="E262" s="251">
        <v>7</v>
      </c>
      <c r="F262" s="251" t="s">
        <v>281</v>
      </c>
      <c r="G262" s="250">
        <v>103129</v>
      </c>
      <c r="H262" s="250">
        <v>54885</v>
      </c>
      <c r="I262" s="250">
        <v>179708</v>
      </c>
      <c r="J262" s="252">
        <v>-9.1000000000000004E-3</v>
      </c>
      <c r="K262" s="250">
        <v>80349</v>
      </c>
      <c r="L262" s="250">
        <v>42269</v>
      </c>
      <c r="M262" s="250">
        <v>141244</v>
      </c>
      <c r="N262" s="250">
        <v>22780</v>
      </c>
      <c r="O262" s="250">
        <v>12616</v>
      </c>
      <c r="P262" s="250">
        <v>38464</v>
      </c>
      <c r="Q262" s="253">
        <v>143207</v>
      </c>
      <c r="R262" s="254">
        <v>159.0704345703125</v>
      </c>
      <c r="S262" s="254">
        <v>88.09625244140625</v>
      </c>
      <c r="T262" s="255">
        <v>268.5902099609375</v>
      </c>
    </row>
    <row r="263" spans="2:20">
      <c r="B263" s="249" t="s">
        <v>513</v>
      </c>
      <c r="C263" s="250" t="s">
        <v>282</v>
      </c>
      <c r="D263" s="250" t="s">
        <v>201</v>
      </c>
      <c r="E263" s="251">
        <v>8</v>
      </c>
      <c r="F263" s="251" t="s">
        <v>281</v>
      </c>
      <c r="G263" s="250">
        <v>103129</v>
      </c>
      <c r="H263" s="250">
        <v>54885</v>
      </c>
      <c r="I263" s="250">
        <v>179708</v>
      </c>
      <c r="J263" s="252">
        <v>-9.1000000000000004E-3</v>
      </c>
      <c r="K263" s="250">
        <v>79799</v>
      </c>
      <c r="L263" s="250">
        <v>42000</v>
      </c>
      <c r="M263" s="250">
        <v>139961</v>
      </c>
      <c r="N263" s="250">
        <v>23330</v>
      </c>
      <c r="O263" s="250">
        <v>12885</v>
      </c>
      <c r="P263" s="250">
        <v>39747</v>
      </c>
      <c r="Q263" s="253">
        <v>143207</v>
      </c>
      <c r="R263" s="254">
        <v>162.91102600097656</v>
      </c>
      <c r="S263" s="254">
        <v>89.974647521972656</v>
      </c>
      <c r="T263" s="255">
        <v>277.54928588867188</v>
      </c>
    </row>
    <row r="264" spans="2:20">
      <c r="B264" s="249" t="s">
        <v>513</v>
      </c>
      <c r="C264" s="250" t="s">
        <v>282</v>
      </c>
      <c r="D264" s="250" t="s">
        <v>201</v>
      </c>
      <c r="E264" s="251">
        <v>9</v>
      </c>
      <c r="F264" s="251" t="s">
        <v>281</v>
      </c>
      <c r="G264" s="250">
        <v>103129</v>
      </c>
      <c r="H264" s="250">
        <v>54885</v>
      </c>
      <c r="I264" s="250">
        <v>179708</v>
      </c>
      <c r="J264" s="252">
        <v>-9.1000000000000004E-3</v>
      </c>
      <c r="K264" s="250">
        <v>79229</v>
      </c>
      <c r="L264" s="250">
        <v>41647</v>
      </c>
      <c r="M264" s="250">
        <v>139109</v>
      </c>
      <c r="N264" s="250">
        <v>23900</v>
      </c>
      <c r="O264" s="250">
        <v>13238</v>
      </c>
      <c r="P264" s="250">
        <v>40599</v>
      </c>
      <c r="Q264" s="253">
        <v>143207</v>
      </c>
      <c r="R264" s="254">
        <v>166.89128112792969</v>
      </c>
      <c r="S264" s="254">
        <v>92.439613342285156</v>
      </c>
      <c r="T264" s="255">
        <v>283.49871826171875</v>
      </c>
    </row>
    <row r="265" spans="2:20">
      <c r="B265" s="249" t="s">
        <v>513</v>
      </c>
      <c r="C265" s="250" t="s">
        <v>282</v>
      </c>
      <c r="D265" s="250" t="s">
        <v>201</v>
      </c>
      <c r="E265" s="251">
        <v>10</v>
      </c>
      <c r="F265" s="251" t="s">
        <v>281</v>
      </c>
      <c r="G265" s="250">
        <v>103129</v>
      </c>
      <c r="H265" s="250">
        <v>54885</v>
      </c>
      <c r="I265" s="250">
        <v>179708</v>
      </c>
      <c r="J265" s="252">
        <v>-9.1000000000000004E-3</v>
      </c>
      <c r="K265" s="250">
        <v>78134</v>
      </c>
      <c r="L265" s="250">
        <v>40910</v>
      </c>
      <c r="M265" s="250">
        <v>137074</v>
      </c>
      <c r="N265" s="250">
        <v>24995</v>
      </c>
      <c r="O265" s="250">
        <v>13975</v>
      </c>
      <c r="P265" s="250">
        <v>42634</v>
      </c>
      <c r="Q265" s="253">
        <v>143207</v>
      </c>
      <c r="R265" s="254">
        <v>174.53755187988281</v>
      </c>
      <c r="S265" s="254">
        <v>97.586013793945313</v>
      </c>
      <c r="T265" s="255">
        <v>297.70889282226563</v>
      </c>
    </row>
    <row r="266" spans="2:20">
      <c r="B266" s="249" t="s">
        <v>513</v>
      </c>
      <c r="C266" s="250" t="s">
        <v>282</v>
      </c>
      <c r="D266" s="250" t="s">
        <v>201</v>
      </c>
      <c r="E266" s="251">
        <v>11</v>
      </c>
      <c r="F266" s="251" t="s">
        <v>281</v>
      </c>
      <c r="G266" s="250">
        <v>103129</v>
      </c>
      <c r="H266" s="250">
        <v>54885</v>
      </c>
      <c r="I266" s="250">
        <v>179708</v>
      </c>
      <c r="J266" s="252">
        <v>-9.1000000000000004E-3</v>
      </c>
      <c r="K266" s="250">
        <v>77461</v>
      </c>
      <c r="L266" s="250">
        <v>40574</v>
      </c>
      <c r="M266" s="250">
        <v>135993</v>
      </c>
      <c r="N266" s="250">
        <v>25668</v>
      </c>
      <c r="O266" s="250">
        <v>14311</v>
      </c>
      <c r="P266" s="250">
        <v>43715</v>
      </c>
      <c r="Q266" s="253">
        <v>188016</v>
      </c>
      <c r="R266" s="254">
        <v>136.52029418945313</v>
      </c>
      <c r="S266" s="254">
        <v>76.115859985351563</v>
      </c>
      <c r="T266" s="255">
        <v>232.50680541992188</v>
      </c>
    </row>
    <row r="267" spans="2:20">
      <c r="B267" s="249" t="s">
        <v>513</v>
      </c>
      <c r="C267" s="250" t="s">
        <v>282</v>
      </c>
      <c r="D267" s="250" t="s">
        <v>201</v>
      </c>
      <c r="E267" s="251">
        <v>12</v>
      </c>
      <c r="F267" s="251" t="s">
        <v>281</v>
      </c>
      <c r="G267" s="250">
        <v>103129</v>
      </c>
      <c r="H267" s="250">
        <v>54885</v>
      </c>
      <c r="I267" s="250">
        <v>179708</v>
      </c>
      <c r="J267" s="252">
        <v>-9.1000000000000004E-3</v>
      </c>
      <c r="K267" s="250">
        <v>76860</v>
      </c>
      <c r="L267" s="250">
        <v>40339</v>
      </c>
      <c r="M267" s="250">
        <v>134782</v>
      </c>
      <c r="N267" s="250">
        <v>26269</v>
      </c>
      <c r="O267" s="250">
        <v>14546</v>
      </c>
      <c r="P267" s="250">
        <v>44926</v>
      </c>
      <c r="Q267" s="253">
        <v>143207</v>
      </c>
      <c r="R267" s="254">
        <v>183.43377685546875</v>
      </c>
      <c r="S267" s="254">
        <v>101.5732421875</v>
      </c>
      <c r="T267" s="255">
        <v>313.71371459960938</v>
      </c>
    </row>
    <row r="268" spans="2:20">
      <c r="B268" s="249" t="s">
        <v>513</v>
      </c>
      <c r="C268" s="250" t="s">
        <v>282</v>
      </c>
      <c r="D268" s="250" t="s">
        <v>201</v>
      </c>
      <c r="E268" s="251">
        <v>13</v>
      </c>
      <c r="F268" s="251" t="s">
        <v>281</v>
      </c>
      <c r="G268" s="250">
        <v>103129</v>
      </c>
      <c r="H268" s="250">
        <v>54885</v>
      </c>
      <c r="I268" s="250">
        <v>179708</v>
      </c>
      <c r="J268" s="252">
        <v>-9.1000000000000004E-3</v>
      </c>
      <c r="K268" s="250">
        <v>75987</v>
      </c>
      <c r="L268" s="250">
        <v>39907</v>
      </c>
      <c r="M268" s="250">
        <v>133266</v>
      </c>
      <c r="N268" s="250">
        <v>27142</v>
      </c>
      <c r="O268" s="250">
        <v>14978</v>
      </c>
      <c r="P268" s="250">
        <v>46442</v>
      </c>
      <c r="Q268" s="253">
        <v>143207</v>
      </c>
      <c r="R268" s="254">
        <v>189.52983093261719</v>
      </c>
      <c r="S268" s="254">
        <v>104.58985900878906</v>
      </c>
      <c r="T268" s="255">
        <v>324.29977416992188</v>
      </c>
    </row>
    <row r="269" spans="2:20">
      <c r="B269" s="249" t="s">
        <v>513</v>
      </c>
      <c r="C269" s="250" t="s">
        <v>282</v>
      </c>
      <c r="D269" s="250" t="s">
        <v>201</v>
      </c>
      <c r="E269" s="251">
        <v>14</v>
      </c>
      <c r="F269" s="251" t="s">
        <v>281</v>
      </c>
      <c r="G269" s="250">
        <v>103129</v>
      </c>
      <c r="H269" s="250">
        <v>54885</v>
      </c>
      <c r="I269" s="250">
        <v>179708</v>
      </c>
      <c r="J269" s="252">
        <v>-9.1000000000000004E-3</v>
      </c>
      <c r="K269" s="250">
        <v>75299</v>
      </c>
      <c r="L269" s="250">
        <v>39523</v>
      </c>
      <c r="M269" s="250">
        <v>132280</v>
      </c>
      <c r="N269" s="250">
        <v>27830</v>
      </c>
      <c r="O269" s="250">
        <v>15362</v>
      </c>
      <c r="P269" s="250">
        <v>47428</v>
      </c>
      <c r="Q269" s="253">
        <v>143207</v>
      </c>
      <c r="R269" s="254">
        <v>194.33407592773438</v>
      </c>
      <c r="S269" s="254">
        <v>107.27129364013672</v>
      </c>
      <c r="T269" s="255">
        <v>331.1849365234375</v>
      </c>
    </row>
    <row r="270" spans="2:20">
      <c r="B270" s="256" t="s">
        <v>513</v>
      </c>
      <c r="C270" s="257" t="s">
        <v>282</v>
      </c>
      <c r="D270" s="257" t="s">
        <v>201</v>
      </c>
      <c r="E270" s="258">
        <v>15</v>
      </c>
      <c r="F270" s="258" t="s">
        <v>281</v>
      </c>
      <c r="G270" s="257">
        <v>103129</v>
      </c>
      <c r="H270" s="257">
        <v>54885</v>
      </c>
      <c r="I270" s="257">
        <v>179708</v>
      </c>
      <c r="J270" s="259">
        <v>-9.1000000000000004E-3</v>
      </c>
      <c r="K270" s="257">
        <v>74715</v>
      </c>
      <c r="L270" s="257">
        <v>39258</v>
      </c>
      <c r="M270" s="257">
        <v>131157</v>
      </c>
      <c r="N270" s="257">
        <v>28414</v>
      </c>
      <c r="O270" s="257">
        <v>15627</v>
      </c>
      <c r="P270" s="257">
        <v>48551</v>
      </c>
      <c r="Q270" s="260">
        <v>143207</v>
      </c>
      <c r="R270" s="261">
        <v>198.41209411621094</v>
      </c>
      <c r="S270" s="261">
        <v>109.12176513671875</v>
      </c>
      <c r="T270" s="262">
        <v>339.0267333984375</v>
      </c>
    </row>
    <row r="271" spans="2:20">
      <c r="B271" s="249" t="s">
        <v>513</v>
      </c>
      <c r="C271" s="250" t="s">
        <v>77</v>
      </c>
      <c r="D271" s="250" t="s">
        <v>502</v>
      </c>
      <c r="E271" s="251">
        <v>1</v>
      </c>
      <c r="F271" s="251" t="s">
        <v>281</v>
      </c>
      <c r="G271" s="250">
        <v>103129</v>
      </c>
      <c r="H271" s="250">
        <v>54885</v>
      </c>
      <c r="I271" s="250">
        <v>179708</v>
      </c>
      <c r="J271" s="252">
        <v>-1.0800000000000001E-2</v>
      </c>
      <c r="K271" s="250">
        <v>96109</v>
      </c>
      <c r="L271" s="250">
        <v>50515</v>
      </c>
      <c r="M271" s="250">
        <v>169316</v>
      </c>
      <c r="N271" s="250">
        <v>7020</v>
      </c>
      <c r="O271" s="250">
        <v>4370</v>
      </c>
      <c r="P271" s="250">
        <v>10392</v>
      </c>
      <c r="Q271" s="253">
        <v>291952</v>
      </c>
      <c r="R271" s="254">
        <v>24.045047760009766</v>
      </c>
      <c r="S271" s="254">
        <v>14.96821403503418</v>
      </c>
      <c r="T271" s="255">
        <v>35.594890594482422</v>
      </c>
    </row>
    <row r="272" spans="2:20">
      <c r="B272" s="249" t="s">
        <v>513</v>
      </c>
      <c r="C272" s="250" t="s">
        <v>77</v>
      </c>
      <c r="D272" s="250" t="s">
        <v>502</v>
      </c>
      <c r="E272" s="251">
        <v>2</v>
      </c>
      <c r="F272" s="251" t="s">
        <v>281</v>
      </c>
      <c r="G272" s="250">
        <v>103129</v>
      </c>
      <c r="H272" s="250">
        <v>54885</v>
      </c>
      <c r="I272" s="250">
        <v>179708</v>
      </c>
      <c r="J272" s="252">
        <v>-1.0800000000000001E-2</v>
      </c>
      <c r="K272" s="250">
        <v>95337</v>
      </c>
      <c r="L272" s="250">
        <v>50141</v>
      </c>
      <c r="M272" s="250">
        <v>168052</v>
      </c>
      <c r="N272" s="250">
        <v>7792</v>
      </c>
      <c r="O272" s="250">
        <v>4744</v>
      </c>
      <c r="P272" s="250">
        <v>11656</v>
      </c>
      <c r="Q272" s="253">
        <v>503800</v>
      </c>
      <c r="R272" s="254">
        <v>15.466455459594727</v>
      </c>
      <c r="S272" s="254">
        <v>9.4164352416992188</v>
      </c>
      <c r="T272" s="255">
        <v>23.136165618896484</v>
      </c>
    </row>
    <row r="273" spans="2:20">
      <c r="B273" s="249" t="s">
        <v>513</v>
      </c>
      <c r="C273" s="250" t="s">
        <v>77</v>
      </c>
      <c r="D273" s="250" t="s">
        <v>502</v>
      </c>
      <c r="E273" s="251">
        <v>3</v>
      </c>
      <c r="F273" s="251" t="s">
        <v>281</v>
      </c>
      <c r="G273" s="250">
        <v>103129</v>
      </c>
      <c r="H273" s="250">
        <v>54885</v>
      </c>
      <c r="I273" s="250">
        <v>179708</v>
      </c>
      <c r="J273" s="252">
        <v>-1.0800000000000001E-2</v>
      </c>
      <c r="K273" s="250">
        <v>94596</v>
      </c>
      <c r="L273" s="250">
        <v>49704</v>
      </c>
      <c r="M273" s="250">
        <v>166619</v>
      </c>
      <c r="N273" s="250">
        <v>8533</v>
      </c>
      <c r="O273" s="250">
        <v>5181</v>
      </c>
      <c r="P273" s="250">
        <v>13089</v>
      </c>
      <c r="Q273" s="253">
        <v>336131</v>
      </c>
      <c r="R273" s="254">
        <v>25.385936737060547</v>
      </c>
      <c r="S273" s="254">
        <v>15.413633346557617</v>
      </c>
      <c r="T273" s="255">
        <v>38.940177917480469</v>
      </c>
    </row>
    <row r="274" spans="2:20">
      <c r="B274" s="249" t="s">
        <v>513</v>
      </c>
      <c r="C274" s="250" t="s">
        <v>77</v>
      </c>
      <c r="D274" s="250" t="s">
        <v>502</v>
      </c>
      <c r="E274" s="251">
        <v>4</v>
      </c>
      <c r="F274" s="251" t="s">
        <v>281</v>
      </c>
      <c r="G274" s="250">
        <v>103129</v>
      </c>
      <c r="H274" s="250">
        <v>54885</v>
      </c>
      <c r="I274" s="250">
        <v>179708</v>
      </c>
      <c r="J274" s="252">
        <v>-1.0800000000000001E-2</v>
      </c>
      <c r="K274" s="250">
        <v>93704</v>
      </c>
      <c r="L274" s="250">
        <v>49246</v>
      </c>
      <c r="M274" s="250">
        <v>165134</v>
      </c>
      <c r="N274" s="250">
        <v>9425</v>
      </c>
      <c r="O274" s="250">
        <v>5639</v>
      </c>
      <c r="P274" s="250">
        <v>14574</v>
      </c>
      <c r="Q274" s="253">
        <v>353502</v>
      </c>
      <c r="R274" s="254">
        <v>26.661800384521484</v>
      </c>
      <c r="S274" s="254">
        <v>15.95181941986084</v>
      </c>
      <c r="T274" s="255">
        <v>41.227489471435547</v>
      </c>
    </row>
    <row r="275" spans="2:20">
      <c r="B275" s="249" t="s">
        <v>513</v>
      </c>
      <c r="C275" s="250" t="s">
        <v>77</v>
      </c>
      <c r="D275" s="250" t="s">
        <v>502</v>
      </c>
      <c r="E275" s="251">
        <v>5</v>
      </c>
      <c r="F275" s="251" t="s">
        <v>281</v>
      </c>
      <c r="G275" s="250">
        <v>103129</v>
      </c>
      <c r="H275" s="250">
        <v>54885</v>
      </c>
      <c r="I275" s="250">
        <v>179708</v>
      </c>
      <c r="J275" s="252">
        <v>-1.0800000000000001E-2</v>
      </c>
      <c r="K275" s="250">
        <v>92787</v>
      </c>
      <c r="L275" s="250">
        <v>48766</v>
      </c>
      <c r="M275" s="250">
        <v>163405</v>
      </c>
      <c r="N275" s="250">
        <v>10342</v>
      </c>
      <c r="O275" s="250">
        <v>6119</v>
      </c>
      <c r="P275" s="250">
        <v>16303</v>
      </c>
      <c r="Q275" s="253">
        <v>336131</v>
      </c>
      <c r="R275" s="254">
        <v>30.767766952514648</v>
      </c>
      <c r="S275" s="254">
        <v>18.204212188720703</v>
      </c>
      <c r="T275" s="255">
        <v>48.501922607421875</v>
      </c>
    </row>
    <row r="276" spans="2:20">
      <c r="B276" s="249" t="s">
        <v>513</v>
      </c>
      <c r="C276" s="250" t="s">
        <v>77</v>
      </c>
      <c r="D276" s="250" t="s">
        <v>201</v>
      </c>
      <c r="E276" s="251">
        <v>6</v>
      </c>
      <c r="F276" s="251" t="s">
        <v>281</v>
      </c>
      <c r="G276" s="250">
        <v>103129</v>
      </c>
      <c r="H276" s="250">
        <v>54885</v>
      </c>
      <c r="I276" s="250">
        <v>179708</v>
      </c>
      <c r="J276" s="252">
        <v>-8.0000000000000004E-4</v>
      </c>
      <c r="K276" s="250">
        <v>92776</v>
      </c>
      <c r="L276" s="250">
        <v>48746</v>
      </c>
      <c r="M276" s="250">
        <v>163317</v>
      </c>
      <c r="N276" s="250">
        <v>10353</v>
      </c>
      <c r="O276" s="250">
        <v>6139</v>
      </c>
      <c r="P276" s="250">
        <v>16391</v>
      </c>
      <c r="Q276" s="253">
        <v>231478</v>
      </c>
      <c r="R276" s="254">
        <v>44.725635528564453</v>
      </c>
      <c r="S276" s="254">
        <v>26.520877838134766</v>
      </c>
      <c r="T276" s="255">
        <v>70.8101806640625</v>
      </c>
    </row>
    <row r="277" spans="2:20">
      <c r="B277" s="249" t="s">
        <v>513</v>
      </c>
      <c r="C277" s="250" t="s">
        <v>77</v>
      </c>
      <c r="D277" s="250" t="s">
        <v>201</v>
      </c>
      <c r="E277" s="251">
        <v>7</v>
      </c>
      <c r="F277" s="251" t="s">
        <v>281</v>
      </c>
      <c r="G277" s="250">
        <v>103129</v>
      </c>
      <c r="H277" s="250">
        <v>54885</v>
      </c>
      <c r="I277" s="250">
        <v>179708</v>
      </c>
      <c r="J277" s="252">
        <v>-8.0000000000000004E-4</v>
      </c>
      <c r="K277" s="250">
        <v>92717</v>
      </c>
      <c r="L277" s="250">
        <v>48703</v>
      </c>
      <c r="M277" s="250">
        <v>163190</v>
      </c>
      <c r="N277" s="250">
        <v>10412</v>
      </c>
      <c r="O277" s="250">
        <v>6182</v>
      </c>
      <c r="P277" s="250">
        <v>16518</v>
      </c>
      <c r="Q277" s="253">
        <v>177294</v>
      </c>
      <c r="R277" s="254">
        <v>58.727313995361328</v>
      </c>
      <c r="S277" s="254">
        <v>34.868637084960938</v>
      </c>
      <c r="T277" s="255">
        <v>93.167282104492188</v>
      </c>
    </row>
    <row r="278" spans="2:20">
      <c r="B278" s="249" t="s">
        <v>513</v>
      </c>
      <c r="C278" s="250" t="s">
        <v>77</v>
      </c>
      <c r="D278" s="250" t="s">
        <v>201</v>
      </c>
      <c r="E278" s="251">
        <v>8</v>
      </c>
      <c r="F278" s="251" t="s">
        <v>281</v>
      </c>
      <c r="G278" s="250">
        <v>103129</v>
      </c>
      <c r="H278" s="250">
        <v>54885</v>
      </c>
      <c r="I278" s="250">
        <v>179708</v>
      </c>
      <c r="J278" s="252">
        <v>-8.0000000000000004E-4</v>
      </c>
      <c r="K278" s="250">
        <v>92658</v>
      </c>
      <c r="L278" s="250">
        <v>48674</v>
      </c>
      <c r="M278" s="250">
        <v>163111</v>
      </c>
      <c r="N278" s="250">
        <v>10471</v>
      </c>
      <c r="O278" s="250">
        <v>6211</v>
      </c>
      <c r="P278" s="250">
        <v>16597</v>
      </c>
      <c r="Q278" s="253">
        <v>159923</v>
      </c>
      <c r="R278" s="254">
        <v>65.475265502929688</v>
      </c>
      <c r="S278" s="254">
        <v>38.837440490722656</v>
      </c>
      <c r="T278" s="255">
        <v>103.78119659423828</v>
      </c>
    </row>
    <row r="279" spans="2:20">
      <c r="B279" s="249" t="s">
        <v>513</v>
      </c>
      <c r="C279" s="250" t="s">
        <v>77</v>
      </c>
      <c r="D279" s="250" t="s">
        <v>201</v>
      </c>
      <c r="E279" s="251">
        <v>9</v>
      </c>
      <c r="F279" s="251" t="s">
        <v>281</v>
      </c>
      <c r="G279" s="250">
        <v>103129</v>
      </c>
      <c r="H279" s="250">
        <v>54885</v>
      </c>
      <c r="I279" s="250">
        <v>179708</v>
      </c>
      <c r="J279" s="252">
        <v>-8.0000000000000004E-4</v>
      </c>
      <c r="K279" s="250">
        <v>92531</v>
      </c>
      <c r="L279" s="250">
        <v>48606</v>
      </c>
      <c r="M279" s="250">
        <v>162932</v>
      </c>
      <c r="N279" s="250">
        <v>10598</v>
      </c>
      <c r="O279" s="250">
        <v>6279</v>
      </c>
      <c r="P279" s="250">
        <v>16776</v>
      </c>
      <c r="Q279" s="253">
        <v>159923</v>
      </c>
      <c r="R279" s="254">
        <v>66.269393920898438</v>
      </c>
      <c r="S279" s="254">
        <v>39.262645721435547</v>
      </c>
      <c r="T279" s="255">
        <v>104.90048980712891</v>
      </c>
    </row>
    <row r="280" spans="2:20">
      <c r="B280" s="249" t="s">
        <v>513</v>
      </c>
      <c r="C280" s="250" t="s">
        <v>77</v>
      </c>
      <c r="D280" s="250" t="s">
        <v>201</v>
      </c>
      <c r="E280" s="251">
        <v>10</v>
      </c>
      <c r="F280" s="251" t="s">
        <v>281</v>
      </c>
      <c r="G280" s="250">
        <v>103129</v>
      </c>
      <c r="H280" s="250">
        <v>54885</v>
      </c>
      <c r="I280" s="250">
        <v>179708</v>
      </c>
      <c r="J280" s="252">
        <v>-8.0000000000000004E-4</v>
      </c>
      <c r="K280" s="250">
        <v>92476</v>
      </c>
      <c r="L280" s="250">
        <v>48588</v>
      </c>
      <c r="M280" s="250">
        <v>162810</v>
      </c>
      <c r="N280" s="250">
        <v>10653</v>
      </c>
      <c r="O280" s="250">
        <v>6297</v>
      </c>
      <c r="P280" s="250">
        <v>16898</v>
      </c>
      <c r="Q280" s="253">
        <v>177294</v>
      </c>
      <c r="R280" s="254">
        <v>60.086635589599609</v>
      </c>
      <c r="S280" s="254">
        <v>35.517276763916016</v>
      </c>
      <c r="T280" s="255">
        <v>95.310615539550781</v>
      </c>
    </row>
    <row r="281" spans="2:20">
      <c r="B281" s="249" t="s">
        <v>513</v>
      </c>
      <c r="C281" s="250" t="s">
        <v>77</v>
      </c>
      <c r="D281" s="250" t="s">
        <v>201</v>
      </c>
      <c r="E281" s="251">
        <v>11</v>
      </c>
      <c r="F281" s="251" t="s">
        <v>281</v>
      </c>
      <c r="G281" s="250">
        <v>103129</v>
      </c>
      <c r="H281" s="250">
        <v>54885</v>
      </c>
      <c r="I281" s="250">
        <v>179708</v>
      </c>
      <c r="J281" s="252">
        <v>-8.0000000000000004E-4</v>
      </c>
      <c r="K281" s="250">
        <v>92438</v>
      </c>
      <c r="L281" s="250">
        <v>48577</v>
      </c>
      <c r="M281" s="250">
        <v>162684</v>
      </c>
      <c r="N281" s="250">
        <v>10691</v>
      </c>
      <c r="O281" s="250">
        <v>6308</v>
      </c>
      <c r="P281" s="250">
        <v>17024</v>
      </c>
      <c r="Q281" s="253">
        <v>231478</v>
      </c>
      <c r="R281" s="254">
        <v>46.185813903808594</v>
      </c>
      <c r="S281" s="254">
        <v>27.250968933105469</v>
      </c>
      <c r="T281" s="255">
        <v>73.544784545898438</v>
      </c>
    </row>
    <row r="282" spans="2:20">
      <c r="B282" s="249" t="s">
        <v>513</v>
      </c>
      <c r="C282" s="250" t="s">
        <v>77</v>
      </c>
      <c r="D282" s="250" t="s">
        <v>201</v>
      </c>
      <c r="E282" s="251">
        <v>12</v>
      </c>
      <c r="F282" s="251" t="s">
        <v>281</v>
      </c>
      <c r="G282" s="250">
        <v>103129</v>
      </c>
      <c r="H282" s="250">
        <v>54885</v>
      </c>
      <c r="I282" s="250">
        <v>179708</v>
      </c>
      <c r="J282" s="252">
        <v>-8.0000000000000004E-4</v>
      </c>
      <c r="K282" s="250">
        <v>92379</v>
      </c>
      <c r="L282" s="250">
        <v>48550</v>
      </c>
      <c r="M282" s="250">
        <v>162646</v>
      </c>
      <c r="N282" s="250">
        <v>10750</v>
      </c>
      <c r="O282" s="250">
        <v>6335</v>
      </c>
      <c r="P282" s="250">
        <v>17062</v>
      </c>
      <c r="Q282" s="253">
        <v>159923</v>
      </c>
      <c r="R282" s="254">
        <v>67.2198486328125</v>
      </c>
      <c r="S282" s="254">
        <v>39.612815856933594</v>
      </c>
      <c r="T282" s="255">
        <v>106.6888427734375</v>
      </c>
    </row>
    <row r="283" spans="2:20">
      <c r="B283" s="249" t="s">
        <v>513</v>
      </c>
      <c r="C283" s="250" t="s">
        <v>77</v>
      </c>
      <c r="D283" s="250" t="s">
        <v>201</v>
      </c>
      <c r="E283" s="251">
        <v>13</v>
      </c>
      <c r="F283" s="251" t="s">
        <v>281</v>
      </c>
      <c r="G283" s="250">
        <v>103129</v>
      </c>
      <c r="H283" s="250">
        <v>54885</v>
      </c>
      <c r="I283" s="250">
        <v>179708</v>
      </c>
      <c r="J283" s="252">
        <v>-8.0000000000000004E-4</v>
      </c>
      <c r="K283" s="250">
        <v>92286</v>
      </c>
      <c r="L283" s="250">
        <v>48484</v>
      </c>
      <c r="M283" s="250">
        <v>162414</v>
      </c>
      <c r="N283" s="250">
        <v>10843</v>
      </c>
      <c r="O283" s="250">
        <v>6401</v>
      </c>
      <c r="P283" s="250">
        <v>17294</v>
      </c>
      <c r="Q283" s="253">
        <v>177294</v>
      </c>
      <c r="R283" s="254">
        <v>61.158302307128906</v>
      </c>
      <c r="S283" s="254">
        <v>36.103874206542969</v>
      </c>
      <c r="T283" s="255">
        <v>97.544189453125</v>
      </c>
    </row>
    <row r="284" spans="2:20">
      <c r="B284" s="249" t="s">
        <v>513</v>
      </c>
      <c r="C284" s="250" t="s">
        <v>77</v>
      </c>
      <c r="D284" s="250" t="s">
        <v>201</v>
      </c>
      <c r="E284" s="251">
        <v>14</v>
      </c>
      <c r="F284" s="251" t="s">
        <v>281</v>
      </c>
      <c r="G284" s="250">
        <v>103129</v>
      </c>
      <c r="H284" s="250">
        <v>54885</v>
      </c>
      <c r="I284" s="250">
        <v>179708</v>
      </c>
      <c r="J284" s="252">
        <v>-8.0000000000000004E-4</v>
      </c>
      <c r="K284" s="250">
        <v>92239</v>
      </c>
      <c r="L284" s="250">
        <v>48475</v>
      </c>
      <c r="M284" s="250">
        <v>162361</v>
      </c>
      <c r="N284" s="250">
        <v>10890</v>
      </c>
      <c r="O284" s="250">
        <v>6410</v>
      </c>
      <c r="P284" s="250">
        <v>17347</v>
      </c>
      <c r="Q284" s="253">
        <v>159923</v>
      </c>
      <c r="R284" s="254">
        <v>68.09527587890625</v>
      </c>
      <c r="S284" s="254">
        <v>40.081787109375</v>
      </c>
      <c r="T284" s="255">
        <v>108.47095489501953</v>
      </c>
    </row>
    <row r="285" spans="2:20">
      <c r="B285" s="256" t="s">
        <v>513</v>
      </c>
      <c r="C285" s="257" t="s">
        <v>77</v>
      </c>
      <c r="D285" s="257" t="s">
        <v>201</v>
      </c>
      <c r="E285" s="258">
        <v>15</v>
      </c>
      <c r="F285" s="258" t="s">
        <v>281</v>
      </c>
      <c r="G285" s="257">
        <v>103129</v>
      </c>
      <c r="H285" s="257">
        <v>54885</v>
      </c>
      <c r="I285" s="257">
        <v>179708</v>
      </c>
      <c r="J285" s="259">
        <v>-8.0000000000000004E-4</v>
      </c>
      <c r="K285" s="257">
        <v>92182</v>
      </c>
      <c r="L285" s="257">
        <v>48464</v>
      </c>
      <c r="M285" s="257">
        <v>162301</v>
      </c>
      <c r="N285" s="257">
        <v>10947</v>
      </c>
      <c r="O285" s="257">
        <v>6421</v>
      </c>
      <c r="P285" s="257">
        <v>17407</v>
      </c>
      <c r="Q285" s="260">
        <v>159923</v>
      </c>
      <c r="R285" s="261">
        <v>68.451698303222656</v>
      </c>
      <c r="S285" s="261">
        <v>40.150569915771484</v>
      </c>
      <c r="T285" s="262">
        <v>108.84613800048828</v>
      </c>
    </row>
    <row r="286" spans="2:20">
      <c r="B286" s="249" t="s">
        <v>513</v>
      </c>
      <c r="C286" s="250" t="s">
        <v>121</v>
      </c>
      <c r="D286" s="250" t="s">
        <v>502</v>
      </c>
      <c r="E286" s="251">
        <v>1</v>
      </c>
      <c r="F286" s="251" t="s">
        <v>281</v>
      </c>
      <c r="G286" s="250">
        <v>103129</v>
      </c>
      <c r="H286" s="250">
        <v>54885</v>
      </c>
      <c r="I286" s="250">
        <v>179708</v>
      </c>
      <c r="J286" s="252">
        <v>-0.02</v>
      </c>
      <c r="K286" s="250">
        <v>95489</v>
      </c>
      <c r="L286" s="250">
        <v>50229</v>
      </c>
      <c r="M286" s="250">
        <v>168263</v>
      </c>
      <c r="N286" s="250">
        <v>7640</v>
      </c>
      <c r="O286" s="250">
        <v>4656</v>
      </c>
      <c r="P286" s="250">
        <v>11445</v>
      </c>
      <c r="Q286" s="253">
        <v>133969</v>
      </c>
      <c r="R286" s="254">
        <v>57.028118133544922</v>
      </c>
      <c r="S286" s="254">
        <v>34.754310607910156</v>
      </c>
      <c r="T286" s="255">
        <v>85.430213928222656</v>
      </c>
    </row>
    <row r="287" spans="2:20">
      <c r="B287" s="249" t="s">
        <v>513</v>
      </c>
      <c r="C287" s="250" t="s">
        <v>121</v>
      </c>
      <c r="D287" s="250" t="s">
        <v>502</v>
      </c>
      <c r="E287" s="251">
        <v>2</v>
      </c>
      <c r="F287" s="251" t="s">
        <v>281</v>
      </c>
      <c r="G287" s="250">
        <v>103129</v>
      </c>
      <c r="H287" s="250">
        <v>54885</v>
      </c>
      <c r="I287" s="250">
        <v>179708</v>
      </c>
      <c r="J287" s="252">
        <v>-0.02</v>
      </c>
      <c r="K287" s="250">
        <v>94013</v>
      </c>
      <c r="L287" s="250">
        <v>49380</v>
      </c>
      <c r="M287" s="250">
        <v>165593</v>
      </c>
      <c r="N287" s="250">
        <v>9116</v>
      </c>
      <c r="O287" s="250">
        <v>5505</v>
      </c>
      <c r="P287" s="250">
        <v>14115</v>
      </c>
      <c r="Q287" s="253">
        <v>273304</v>
      </c>
      <c r="R287" s="254">
        <v>33.354801177978516</v>
      </c>
      <c r="S287" s="254">
        <v>20.142406463623047</v>
      </c>
      <c r="T287" s="255">
        <v>51.645786285400391</v>
      </c>
    </row>
    <row r="288" spans="2:20">
      <c r="B288" s="249" t="s">
        <v>513</v>
      </c>
      <c r="C288" s="250" t="s">
        <v>121</v>
      </c>
      <c r="D288" s="250" t="s">
        <v>502</v>
      </c>
      <c r="E288" s="251">
        <v>3</v>
      </c>
      <c r="F288" s="251" t="s">
        <v>281</v>
      </c>
      <c r="G288" s="250">
        <v>103129</v>
      </c>
      <c r="H288" s="250">
        <v>54885</v>
      </c>
      <c r="I288" s="250">
        <v>179708</v>
      </c>
      <c r="J288" s="252">
        <v>-0.02</v>
      </c>
      <c r="K288" s="250">
        <v>92346</v>
      </c>
      <c r="L288" s="250">
        <v>48531</v>
      </c>
      <c r="M288" s="250">
        <v>162555</v>
      </c>
      <c r="N288" s="250">
        <v>10783</v>
      </c>
      <c r="O288" s="250">
        <v>6354</v>
      </c>
      <c r="P288" s="250">
        <v>17153</v>
      </c>
      <c r="Q288" s="253">
        <v>170998</v>
      </c>
      <c r="R288" s="254">
        <v>63.059219360351563</v>
      </c>
      <c r="S288" s="254">
        <v>37.158329010009766</v>
      </c>
      <c r="T288" s="255">
        <v>100.31111907958984</v>
      </c>
    </row>
    <row r="289" spans="2:20">
      <c r="B289" s="249" t="s">
        <v>513</v>
      </c>
      <c r="C289" s="250" t="s">
        <v>121</v>
      </c>
      <c r="D289" s="250" t="s">
        <v>502</v>
      </c>
      <c r="E289" s="251">
        <v>4</v>
      </c>
      <c r="F289" s="251" t="s">
        <v>281</v>
      </c>
      <c r="G289" s="250">
        <v>103129</v>
      </c>
      <c r="H289" s="250">
        <v>54885</v>
      </c>
      <c r="I289" s="250">
        <v>179708</v>
      </c>
      <c r="J289" s="252">
        <v>-0.02</v>
      </c>
      <c r="K289" s="250">
        <v>90609</v>
      </c>
      <c r="L289" s="250">
        <v>47608</v>
      </c>
      <c r="M289" s="250">
        <v>159274</v>
      </c>
      <c r="N289" s="250">
        <v>12520</v>
      </c>
      <c r="O289" s="250">
        <v>7277</v>
      </c>
      <c r="P289" s="250">
        <v>20434</v>
      </c>
      <c r="Q289" s="253">
        <v>170998</v>
      </c>
      <c r="R289" s="254">
        <v>73.217231750488281</v>
      </c>
      <c r="S289" s="254">
        <v>42.556053161621094</v>
      </c>
      <c r="T289" s="255">
        <v>119.49847412109375</v>
      </c>
    </row>
    <row r="290" spans="2:20">
      <c r="B290" s="249" t="s">
        <v>513</v>
      </c>
      <c r="C290" s="250" t="s">
        <v>121</v>
      </c>
      <c r="D290" s="250" t="s">
        <v>502</v>
      </c>
      <c r="E290" s="251">
        <v>5</v>
      </c>
      <c r="F290" s="251" t="s">
        <v>281</v>
      </c>
      <c r="G290" s="250">
        <v>103129</v>
      </c>
      <c r="H290" s="250">
        <v>54885</v>
      </c>
      <c r="I290" s="250">
        <v>179708</v>
      </c>
      <c r="J290" s="252">
        <v>-0.02</v>
      </c>
      <c r="K290" s="250">
        <v>89065</v>
      </c>
      <c r="L290" s="250">
        <v>46881</v>
      </c>
      <c r="M290" s="250">
        <v>156433</v>
      </c>
      <c r="N290" s="250">
        <v>14064</v>
      </c>
      <c r="O290" s="250">
        <v>8004</v>
      </c>
      <c r="P290" s="250">
        <v>23275</v>
      </c>
      <c r="Q290" s="253">
        <v>170998</v>
      </c>
      <c r="R290" s="254">
        <v>82.24658203125</v>
      </c>
      <c r="S290" s="254">
        <v>46.807563781738281</v>
      </c>
      <c r="T290" s="255">
        <v>136.11270141601563</v>
      </c>
    </row>
    <row r="291" spans="2:20">
      <c r="B291" s="249" t="s">
        <v>513</v>
      </c>
      <c r="C291" s="250" t="s">
        <v>121</v>
      </c>
      <c r="D291" s="250" t="s">
        <v>201</v>
      </c>
      <c r="E291" s="251">
        <v>6</v>
      </c>
      <c r="F291" s="251" t="s">
        <v>281</v>
      </c>
      <c r="G291" s="250">
        <v>103129</v>
      </c>
      <c r="H291" s="250">
        <v>54885</v>
      </c>
      <c r="I291" s="250">
        <v>179708</v>
      </c>
      <c r="J291" s="252">
        <v>-2E-3</v>
      </c>
      <c r="K291" s="250">
        <v>88876</v>
      </c>
      <c r="L291" s="250">
        <v>46782</v>
      </c>
      <c r="M291" s="250">
        <v>156232</v>
      </c>
      <c r="N291" s="250">
        <v>14253</v>
      </c>
      <c r="O291" s="250">
        <v>8103</v>
      </c>
      <c r="P291" s="250">
        <v>23476</v>
      </c>
      <c r="Q291" s="253">
        <v>123966</v>
      </c>
      <c r="R291" s="254">
        <v>114.97507476806641</v>
      </c>
      <c r="S291" s="254">
        <v>65.364692687988281</v>
      </c>
      <c r="T291" s="255">
        <v>189.37451171875</v>
      </c>
    </row>
    <row r="292" spans="2:20">
      <c r="B292" s="249" t="s">
        <v>513</v>
      </c>
      <c r="C292" s="250" t="s">
        <v>121</v>
      </c>
      <c r="D292" s="250" t="s">
        <v>201</v>
      </c>
      <c r="E292" s="251">
        <v>7</v>
      </c>
      <c r="F292" s="251" t="s">
        <v>281</v>
      </c>
      <c r="G292" s="250">
        <v>103129</v>
      </c>
      <c r="H292" s="250">
        <v>54885</v>
      </c>
      <c r="I292" s="250">
        <v>179708</v>
      </c>
      <c r="J292" s="252">
        <v>-2E-3</v>
      </c>
      <c r="K292" s="250">
        <v>88788</v>
      </c>
      <c r="L292" s="250">
        <v>46709</v>
      </c>
      <c r="M292" s="250">
        <v>155997</v>
      </c>
      <c r="N292" s="250">
        <v>14341</v>
      </c>
      <c r="O292" s="250">
        <v>8176</v>
      </c>
      <c r="P292" s="250">
        <v>23711</v>
      </c>
      <c r="Q292" s="253">
        <v>93727</v>
      </c>
      <c r="R292" s="254">
        <v>153.00820922851563</v>
      </c>
      <c r="S292" s="254">
        <v>87.232070922851563</v>
      </c>
      <c r="T292" s="255">
        <v>252.97940063476563</v>
      </c>
    </row>
    <row r="293" spans="2:20">
      <c r="B293" s="249" t="s">
        <v>513</v>
      </c>
      <c r="C293" s="250" t="s">
        <v>121</v>
      </c>
      <c r="D293" s="250" t="s">
        <v>201</v>
      </c>
      <c r="E293" s="251">
        <v>8</v>
      </c>
      <c r="F293" s="251" t="s">
        <v>281</v>
      </c>
      <c r="G293" s="250">
        <v>103129</v>
      </c>
      <c r="H293" s="250">
        <v>54885</v>
      </c>
      <c r="I293" s="250">
        <v>179708</v>
      </c>
      <c r="J293" s="252">
        <v>-2E-3</v>
      </c>
      <c r="K293" s="250">
        <v>88435</v>
      </c>
      <c r="L293" s="250">
        <v>46488</v>
      </c>
      <c r="M293" s="250">
        <v>155330</v>
      </c>
      <c r="N293" s="250">
        <v>14694</v>
      </c>
      <c r="O293" s="250">
        <v>8397</v>
      </c>
      <c r="P293" s="250">
        <v>24378</v>
      </c>
      <c r="Q293" s="253">
        <v>93727</v>
      </c>
      <c r="R293" s="254">
        <v>156.77445983886719</v>
      </c>
      <c r="S293" s="254">
        <v>89.589973449707031</v>
      </c>
      <c r="T293" s="255">
        <v>260.09579467773438</v>
      </c>
    </row>
    <row r="294" spans="2:20">
      <c r="B294" s="249" t="s">
        <v>513</v>
      </c>
      <c r="C294" s="250" t="s">
        <v>121</v>
      </c>
      <c r="D294" s="250" t="s">
        <v>201</v>
      </c>
      <c r="E294" s="251">
        <v>9</v>
      </c>
      <c r="F294" s="251" t="s">
        <v>281</v>
      </c>
      <c r="G294" s="250">
        <v>103129</v>
      </c>
      <c r="H294" s="250">
        <v>54885</v>
      </c>
      <c r="I294" s="250">
        <v>179708</v>
      </c>
      <c r="J294" s="252">
        <v>-2E-3</v>
      </c>
      <c r="K294" s="250">
        <v>88269</v>
      </c>
      <c r="L294" s="250">
        <v>46426</v>
      </c>
      <c r="M294" s="250">
        <v>155106</v>
      </c>
      <c r="N294" s="250">
        <v>14860</v>
      </c>
      <c r="O294" s="250">
        <v>8459</v>
      </c>
      <c r="P294" s="250">
        <v>24602</v>
      </c>
      <c r="Q294" s="253">
        <v>93727</v>
      </c>
      <c r="R294" s="254">
        <v>158.54556274414063</v>
      </c>
      <c r="S294" s="254">
        <v>90.251472473144531</v>
      </c>
      <c r="T294" s="255">
        <v>262.48574829101563</v>
      </c>
    </row>
    <row r="295" spans="2:20">
      <c r="B295" s="249" t="s">
        <v>513</v>
      </c>
      <c r="C295" s="250" t="s">
        <v>121</v>
      </c>
      <c r="D295" s="250" t="s">
        <v>201</v>
      </c>
      <c r="E295" s="251">
        <v>10</v>
      </c>
      <c r="F295" s="251" t="s">
        <v>281</v>
      </c>
      <c r="G295" s="250">
        <v>103129</v>
      </c>
      <c r="H295" s="250">
        <v>54885</v>
      </c>
      <c r="I295" s="250">
        <v>179708</v>
      </c>
      <c r="J295" s="252">
        <v>-2E-3</v>
      </c>
      <c r="K295" s="250">
        <v>88046</v>
      </c>
      <c r="L295" s="250">
        <v>46359</v>
      </c>
      <c r="M295" s="250">
        <v>154894</v>
      </c>
      <c r="N295" s="250">
        <v>15083</v>
      </c>
      <c r="O295" s="250">
        <v>8526</v>
      </c>
      <c r="P295" s="250">
        <v>24814</v>
      </c>
      <c r="Q295" s="253">
        <v>93727</v>
      </c>
      <c r="R295" s="254">
        <v>160.9248046875</v>
      </c>
      <c r="S295" s="254">
        <v>90.966316223144531</v>
      </c>
      <c r="T295" s="255">
        <v>264.74761962890625</v>
      </c>
    </row>
    <row r="296" spans="2:20">
      <c r="B296" s="249" t="s">
        <v>513</v>
      </c>
      <c r="C296" s="250" t="s">
        <v>121</v>
      </c>
      <c r="D296" s="250" t="s">
        <v>201</v>
      </c>
      <c r="E296" s="251">
        <v>11</v>
      </c>
      <c r="F296" s="251" t="s">
        <v>281</v>
      </c>
      <c r="G296" s="250">
        <v>103129</v>
      </c>
      <c r="H296" s="250">
        <v>54885</v>
      </c>
      <c r="I296" s="250">
        <v>179708</v>
      </c>
      <c r="J296" s="252">
        <v>-2E-3</v>
      </c>
      <c r="K296" s="250">
        <v>87931</v>
      </c>
      <c r="L296" s="250">
        <v>46238</v>
      </c>
      <c r="M296" s="250">
        <v>154557</v>
      </c>
      <c r="N296" s="250">
        <v>15198</v>
      </c>
      <c r="O296" s="250">
        <v>8647</v>
      </c>
      <c r="P296" s="250">
        <v>25151</v>
      </c>
      <c r="Q296" s="253">
        <v>123966</v>
      </c>
      <c r="R296" s="254">
        <v>122.59813690185547</v>
      </c>
      <c r="S296" s="254">
        <v>69.752998352050781</v>
      </c>
      <c r="T296" s="255">
        <v>202.88626098632813</v>
      </c>
    </row>
    <row r="297" spans="2:20">
      <c r="B297" s="249" t="s">
        <v>513</v>
      </c>
      <c r="C297" s="250" t="s">
        <v>121</v>
      </c>
      <c r="D297" s="250" t="s">
        <v>201</v>
      </c>
      <c r="E297" s="251">
        <v>12</v>
      </c>
      <c r="F297" s="251" t="s">
        <v>281</v>
      </c>
      <c r="G297" s="250">
        <v>103129</v>
      </c>
      <c r="H297" s="250">
        <v>54885</v>
      </c>
      <c r="I297" s="250">
        <v>179708</v>
      </c>
      <c r="J297" s="252">
        <v>-2E-3</v>
      </c>
      <c r="K297" s="250">
        <v>87715</v>
      </c>
      <c r="L297" s="250">
        <v>46170</v>
      </c>
      <c r="M297" s="250">
        <v>154273</v>
      </c>
      <c r="N297" s="250">
        <v>15414</v>
      </c>
      <c r="O297" s="250">
        <v>8715</v>
      </c>
      <c r="P297" s="250">
        <v>25435</v>
      </c>
      <c r="Q297" s="253">
        <v>93727</v>
      </c>
      <c r="R297" s="254">
        <v>164.45635986328125</v>
      </c>
      <c r="S297" s="254">
        <v>92.982810974121094</v>
      </c>
      <c r="T297" s="255">
        <v>271.37322998046875</v>
      </c>
    </row>
    <row r="298" spans="2:20">
      <c r="B298" s="249" t="s">
        <v>513</v>
      </c>
      <c r="C298" s="250" t="s">
        <v>121</v>
      </c>
      <c r="D298" s="250" t="s">
        <v>201</v>
      </c>
      <c r="E298" s="251">
        <v>13</v>
      </c>
      <c r="F298" s="251" t="s">
        <v>281</v>
      </c>
      <c r="G298" s="250">
        <v>103129</v>
      </c>
      <c r="H298" s="250">
        <v>54885</v>
      </c>
      <c r="I298" s="250">
        <v>179708</v>
      </c>
      <c r="J298" s="252">
        <v>-2E-3</v>
      </c>
      <c r="K298" s="250">
        <v>87573</v>
      </c>
      <c r="L298" s="250">
        <v>46109</v>
      </c>
      <c r="M298" s="250">
        <v>154113</v>
      </c>
      <c r="N298" s="250">
        <v>15556</v>
      </c>
      <c r="O298" s="250">
        <v>8776</v>
      </c>
      <c r="P298" s="250">
        <v>25595</v>
      </c>
      <c r="Q298" s="253">
        <v>93727</v>
      </c>
      <c r="R298" s="254">
        <v>165.97138977050781</v>
      </c>
      <c r="S298" s="254">
        <v>93.633636474609375</v>
      </c>
      <c r="T298" s="255">
        <v>273.080322265625</v>
      </c>
    </row>
    <row r="299" spans="2:20">
      <c r="B299" s="249" t="s">
        <v>513</v>
      </c>
      <c r="C299" s="250" t="s">
        <v>121</v>
      </c>
      <c r="D299" s="250" t="s">
        <v>201</v>
      </c>
      <c r="E299" s="251">
        <v>14</v>
      </c>
      <c r="F299" s="251" t="s">
        <v>281</v>
      </c>
      <c r="G299" s="250">
        <v>103129</v>
      </c>
      <c r="H299" s="250">
        <v>54885</v>
      </c>
      <c r="I299" s="250">
        <v>179708</v>
      </c>
      <c r="J299" s="252">
        <v>-2E-3</v>
      </c>
      <c r="K299" s="250">
        <v>87046</v>
      </c>
      <c r="L299" s="250">
        <v>45944</v>
      </c>
      <c r="M299" s="250">
        <v>153530</v>
      </c>
      <c r="N299" s="250">
        <v>16083</v>
      </c>
      <c r="O299" s="250">
        <v>8941</v>
      </c>
      <c r="P299" s="250">
        <v>26178</v>
      </c>
      <c r="Q299" s="253">
        <v>93727</v>
      </c>
      <c r="R299" s="254">
        <v>171.59410095214844</v>
      </c>
      <c r="S299" s="254">
        <v>95.394065856933594</v>
      </c>
      <c r="T299" s="255">
        <v>279.30050659179688</v>
      </c>
    </row>
    <row r="300" spans="2:20">
      <c r="B300" s="256" t="s">
        <v>513</v>
      </c>
      <c r="C300" s="257" t="s">
        <v>121</v>
      </c>
      <c r="D300" s="257" t="s">
        <v>201</v>
      </c>
      <c r="E300" s="258">
        <v>15</v>
      </c>
      <c r="F300" s="258" t="s">
        <v>281</v>
      </c>
      <c r="G300" s="257">
        <v>103129</v>
      </c>
      <c r="H300" s="257">
        <v>54885</v>
      </c>
      <c r="I300" s="257">
        <v>179708</v>
      </c>
      <c r="J300" s="259">
        <v>-2E-3</v>
      </c>
      <c r="K300" s="257">
        <v>86940</v>
      </c>
      <c r="L300" s="257">
        <v>45880</v>
      </c>
      <c r="M300" s="257">
        <v>153216</v>
      </c>
      <c r="N300" s="257">
        <v>16189</v>
      </c>
      <c r="O300" s="257">
        <v>9005</v>
      </c>
      <c r="P300" s="257">
        <v>26492</v>
      </c>
      <c r="Q300" s="260">
        <v>93727</v>
      </c>
      <c r="R300" s="261">
        <v>172.72503662109375</v>
      </c>
      <c r="S300" s="261">
        <v>96.076904296875</v>
      </c>
      <c r="T300" s="262">
        <v>282.65066528320313</v>
      </c>
    </row>
    <row r="301" spans="2:20">
      <c r="B301" s="249" t="s">
        <v>513</v>
      </c>
      <c r="C301" s="250" t="s">
        <v>122</v>
      </c>
      <c r="D301" s="250" t="s">
        <v>502</v>
      </c>
      <c r="E301" s="251">
        <v>1</v>
      </c>
      <c r="F301" s="251" t="s">
        <v>281</v>
      </c>
      <c r="G301" s="250">
        <v>103129</v>
      </c>
      <c r="H301" s="250">
        <v>54885</v>
      </c>
      <c r="I301" s="250">
        <v>179708</v>
      </c>
      <c r="J301" s="252">
        <v>-1.2E-2</v>
      </c>
      <c r="K301" s="250">
        <v>96043</v>
      </c>
      <c r="L301" s="250">
        <v>50495</v>
      </c>
      <c r="M301" s="250">
        <v>169213</v>
      </c>
      <c r="N301" s="250">
        <v>7086</v>
      </c>
      <c r="O301" s="250">
        <v>4390</v>
      </c>
      <c r="P301" s="250">
        <v>10495</v>
      </c>
      <c r="Q301" s="253">
        <v>131759</v>
      </c>
      <c r="R301" s="254">
        <v>53.780006408691406</v>
      </c>
      <c r="S301" s="254">
        <v>33.318408966064453</v>
      </c>
      <c r="T301" s="255">
        <v>79.652999877929688</v>
      </c>
    </row>
    <row r="302" spans="2:20">
      <c r="B302" s="249" t="s">
        <v>513</v>
      </c>
      <c r="C302" s="250" t="s">
        <v>122</v>
      </c>
      <c r="D302" s="250" t="s">
        <v>502</v>
      </c>
      <c r="E302" s="251">
        <v>2</v>
      </c>
      <c r="F302" s="251" t="s">
        <v>281</v>
      </c>
      <c r="G302" s="250">
        <v>103129</v>
      </c>
      <c r="H302" s="250">
        <v>54885</v>
      </c>
      <c r="I302" s="250">
        <v>179708</v>
      </c>
      <c r="J302" s="252">
        <v>-1.2E-2</v>
      </c>
      <c r="K302" s="250">
        <v>95227</v>
      </c>
      <c r="L302" s="250">
        <v>50033</v>
      </c>
      <c r="M302" s="250">
        <v>167759</v>
      </c>
      <c r="N302" s="250">
        <v>7902</v>
      </c>
      <c r="O302" s="250">
        <v>4852</v>
      </c>
      <c r="P302" s="250">
        <v>11949</v>
      </c>
      <c r="Q302" s="253">
        <v>273529</v>
      </c>
      <c r="R302" s="254">
        <v>28.889074325561523</v>
      </c>
      <c r="S302" s="254">
        <v>17.738521575927734</v>
      </c>
      <c r="T302" s="255">
        <v>43.684581756591797</v>
      </c>
    </row>
    <row r="303" spans="2:20">
      <c r="B303" s="249" t="s">
        <v>513</v>
      </c>
      <c r="C303" s="250" t="s">
        <v>122</v>
      </c>
      <c r="D303" s="250" t="s">
        <v>502</v>
      </c>
      <c r="E303" s="251">
        <v>3</v>
      </c>
      <c r="F303" s="251" t="s">
        <v>281</v>
      </c>
      <c r="G303" s="250">
        <v>103129</v>
      </c>
      <c r="H303" s="250">
        <v>54885</v>
      </c>
      <c r="I303" s="250">
        <v>179708</v>
      </c>
      <c r="J303" s="252">
        <v>-1.2E-2</v>
      </c>
      <c r="K303" s="250">
        <v>94323</v>
      </c>
      <c r="L303" s="250">
        <v>49546</v>
      </c>
      <c r="M303" s="250">
        <v>166122</v>
      </c>
      <c r="N303" s="250">
        <v>8806</v>
      </c>
      <c r="O303" s="250">
        <v>5339</v>
      </c>
      <c r="P303" s="250">
        <v>13586</v>
      </c>
      <c r="Q303" s="253">
        <v>174910</v>
      </c>
      <c r="R303" s="254">
        <v>50.345893859863281</v>
      </c>
      <c r="S303" s="254">
        <v>30.524269104003906</v>
      </c>
      <c r="T303" s="255">
        <v>77.674232482910156</v>
      </c>
    </row>
    <row r="304" spans="2:20">
      <c r="B304" s="249" t="s">
        <v>513</v>
      </c>
      <c r="C304" s="250" t="s">
        <v>122</v>
      </c>
      <c r="D304" s="250" t="s">
        <v>502</v>
      </c>
      <c r="E304" s="251">
        <v>4</v>
      </c>
      <c r="F304" s="251" t="s">
        <v>281</v>
      </c>
      <c r="G304" s="250">
        <v>103129</v>
      </c>
      <c r="H304" s="250">
        <v>54885</v>
      </c>
      <c r="I304" s="250">
        <v>179708</v>
      </c>
      <c r="J304" s="252">
        <v>-1.2E-2</v>
      </c>
      <c r="K304" s="250">
        <v>93361</v>
      </c>
      <c r="L304" s="250">
        <v>49051</v>
      </c>
      <c r="M304" s="250">
        <v>164441</v>
      </c>
      <c r="N304" s="250">
        <v>9768</v>
      </c>
      <c r="O304" s="250">
        <v>5834</v>
      </c>
      <c r="P304" s="250">
        <v>15267</v>
      </c>
      <c r="Q304" s="253">
        <v>174910</v>
      </c>
      <c r="R304" s="254">
        <v>55.845863342285156</v>
      </c>
      <c r="S304" s="254">
        <v>33.354297637939453</v>
      </c>
      <c r="T304" s="255">
        <v>87.284889221191406</v>
      </c>
    </row>
    <row r="305" spans="2:23">
      <c r="B305" s="249" t="s">
        <v>513</v>
      </c>
      <c r="C305" s="250" t="s">
        <v>122</v>
      </c>
      <c r="D305" s="250" t="s">
        <v>502</v>
      </c>
      <c r="E305" s="251">
        <v>5</v>
      </c>
      <c r="F305" s="251" t="s">
        <v>281</v>
      </c>
      <c r="G305" s="250">
        <v>103129</v>
      </c>
      <c r="H305" s="250">
        <v>54885</v>
      </c>
      <c r="I305" s="250">
        <v>179708</v>
      </c>
      <c r="J305" s="252">
        <v>-1.2E-2</v>
      </c>
      <c r="K305" s="250">
        <v>92346</v>
      </c>
      <c r="L305" s="250">
        <v>48531</v>
      </c>
      <c r="M305" s="250">
        <v>162558</v>
      </c>
      <c r="N305" s="250">
        <v>10783</v>
      </c>
      <c r="O305" s="250">
        <v>6354</v>
      </c>
      <c r="P305" s="250">
        <v>17150</v>
      </c>
      <c r="Q305" s="253">
        <v>174910</v>
      </c>
      <c r="R305" s="254">
        <v>61.648849487304688</v>
      </c>
      <c r="S305" s="254">
        <v>36.327255249023438</v>
      </c>
      <c r="T305" s="255">
        <v>98.050422668457031</v>
      </c>
    </row>
    <row r="306" spans="2:23">
      <c r="B306" s="249" t="s">
        <v>513</v>
      </c>
      <c r="C306" s="250" t="s">
        <v>122</v>
      </c>
      <c r="D306" s="250" t="s">
        <v>201</v>
      </c>
      <c r="E306" s="251">
        <v>6</v>
      </c>
      <c r="F306" s="251" t="s">
        <v>281</v>
      </c>
      <c r="G306" s="250">
        <v>103129</v>
      </c>
      <c r="H306" s="250">
        <v>54885</v>
      </c>
      <c r="I306" s="250">
        <v>179708</v>
      </c>
      <c r="J306" s="252">
        <v>-3.0000000000000001E-3</v>
      </c>
      <c r="K306" s="250">
        <v>92111</v>
      </c>
      <c r="L306" s="250">
        <v>48421</v>
      </c>
      <c r="M306" s="250">
        <v>162097</v>
      </c>
      <c r="N306" s="250">
        <v>11018</v>
      </c>
      <c r="O306" s="250">
        <v>6464</v>
      </c>
      <c r="P306" s="250">
        <v>17611</v>
      </c>
      <c r="Q306" s="253">
        <v>117911</v>
      </c>
      <c r="R306" s="254">
        <v>93.443359375</v>
      </c>
      <c r="S306" s="254">
        <v>54.821010589599609</v>
      </c>
      <c r="T306" s="255">
        <v>149.35842895507813</v>
      </c>
    </row>
    <row r="307" spans="2:23">
      <c r="B307" s="249" t="s">
        <v>513</v>
      </c>
      <c r="C307" s="250" t="s">
        <v>122</v>
      </c>
      <c r="D307" s="250" t="s">
        <v>201</v>
      </c>
      <c r="E307" s="251">
        <v>7</v>
      </c>
      <c r="F307" s="251" t="s">
        <v>281</v>
      </c>
      <c r="G307" s="250">
        <v>103129</v>
      </c>
      <c r="H307" s="250">
        <v>54885</v>
      </c>
      <c r="I307" s="250">
        <v>179708</v>
      </c>
      <c r="J307" s="252">
        <v>-3.0000000000000001E-3</v>
      </c>
      <c r="K307" s="250">
        <v>91876</v>
      </c>
      <c r="L307" s="250">
        <v>48292</v>
      </c>
      <c r="M307" s="250">
        <v>161597</v>
      </c>
      <c r="N307" s="250">
        <v>11253</v>
      </c>
      <c r="O307" s="250">
        <v>6593</v>
      </c>
      <c r="P307" s="250">
        <v>18111</v>
      </c>
      <c r="Q307" s="253">
        <v>90500</v>
      </c>
      <c r="R307" s="254">
        <v>124.34253692626953</v>
      </c>
      <c r="S307" s="254">
        <v>72.850830078125</v>
      </c>
      <c r="T307" s="255">
        <v>200.12155151367188</v>
      </c>
    </row>
    <row r="308" spans="2:23">
      <c r="B308" s="249" t="s">
        <v>513</v>
      </c>
      <c r="C308" s="250" t="s">
        <v>122</v>
      </c>
      <c r="D308" s="250" t="s">
        <v>201</v>
      </c>
      <c r="E308" s="251">
        <v>8</v>
      </c>
      <c r="F308" s="251" t="s">
        <v>281</v>
      </c>
      <c r="G308" s="250">
        <v>103129</v>
      </c>
      <c r="H308" s="250">
        <v>54885</v>
      </c>
      <c r="I308" s="250">
        <v>179708</v>
      </c>
      <c r="J308" s="252">
        <v>-3.0000000000000001E-3</v>
      </c>
      <c r="K308" s="250">
        <v>91668</v>
      </c>
      <c r="L308" s="250">
        <v>48133</v>
      </c>
      <c r="M308" s="250">
        <v>161104</v>
      </c>
      <c r="N308" s="250">
        <v>11461</v>
      </c>
      <c r="O308" s="250">
        <v>6752</v>
      </c>
      <c r="P308" s="250">
        <v>18604</v>
      </c>
      <c r="Q308" s="253">
        <v>90500</v>
      </c>
      <c r="R308" s="254">
        <v>126.64088439941406</v>
      </c>
      <c r="S308" s="254">
        <v>74.607734680175781</v>
      </c>
      <c r="T308" s="255">
        <v>205.56906127929688</v>
      </c>
    </row>
    <row r="309" spans="2:23">
      <c r="B309" s="249" t="s">
        <v>513</v>
      </c>
      <c r="C309" s="250" t="s">
        <v>122</v>
      </c>
      <c r="D309" s="250" t="s">
        <v>201</v>
      </c>
      <c r="E309" s="251">
        <v>9</v>
      </c>
      <c r="F309" s="251" t="s">
        <v>281</v>
      </c>
      <c r="G309" s="250">
        <v>103129</v>
      </c>
      <c r="H309" s="250">
        <v>54885</v>
      </c>
      <c r="I309" s="250">
        <v>179708</v>
      </c>
      <c r="J309" s="252">
        <v>-3.0000000000000001E-3</v>
      </c>
      <c r="K309" s="250">
        <v>91375</v>
      </c>
      <c r="L309" s="250">
        <v>47991</v>
      </c>
      <c r="M309" s="250">
        <v>160705</v>
      </c>
      <c r="N309" s="250">
        <v>11754</v>
      </c>
      <c r="O309" s="250">
        <v>6894</v>
      </c>
      <c r="P309" s="250">
        <v>19003</v>
      </c>
      <c r="Q309" s="253">
        <v>90500</v>
      </c>
      <c r="R309" s="254">
        <v>129.87844848632813</v>
      </c>
      <c r="S309" s="254">
        <v>76.176795959472656</v>
      </c>
      <c r="T309" s="255">
        <v>209.97789001464844</v>
      </c>
    </row>
    <row r="310" spans="2:23">
      <c r="B310" s="249" t="s">
        <v>513</v>
      </c>
      <c r="C310" s="250" t="s">
        <v>122</v>
      </c>
      <c r="D310" s="250" t="s">
        <v>201</v>
      </c>
      <c r="E310" s="251">
        <v>10</v>
      </c>
      <c r="F310" s="251" t="s">
        <v>281</v>
      </c>
      <c r="G310" s="250">
        <v>103129</v>
      </c>
      <c r="H310" s="250">
        <v>54885</v>
      </c>
      <c r="I310" s="250">
        <v>179708</v>
      </c>
      <c r="J310" s="252">
        <v>-3.0000000000000001E-3</v>
      </c>
      <c r="K310" s="250">
        <v>91157</v>
      </c>
      <c r="L310" s="250">
        <v>47883</v>
      </c>
      <c r="M310" s="250">
        <v>160153</v>
      </c>
      <c r="N310" s="250">
        <v>11972</v>
      </c>
      <c r="O310" s="250">
        <v>7002</v>
      </c>
      <c r="P310" s="250">
        <v>19555</v>
      </c>
      <c r="Q310" s="253">
        <v>90500</v>
      </c>
      <c r="R310" s="254">
        <v>132.28729248046875</v>
      </c>
      <c r="S310" s="254">
        <v>77.370162963867188</v>
      </c>
      <c r="T310" s="255">
        <v>216.07734680175781</v>
      </c>
    </row>
    <row r="311" spans="2:23">
      <c r="B311" s="249" t="s">
        <v>513</v>
      </c>
      <c r="C311" s="250" t="s">
        <v>122</v>
      </c>
      <c r="D311" s="250" t="s">
        <v>201</v>
      </c>
      <c r="E311" s="251">
        <v>11</v>
      </c>
      <c r="F311" s="251" t="s">
        <v>281</v>
      </c>
      <c r="G311" s="250">
        <v>103129</v>
      </c>
      <c r="H311" s="250">
        <v>54885</v>
      </c>
      <c r="I311" s="250">
        <v>179708</v>
      </c>
      <c r="J311" s="252">
        <v>-3.0000000000000001E-3</v>
      </c>
      <c r="K311" s="250">
        <v>90942</v>
      </c>
      <c r="L311" s="250">
        <v>47780</v>
      </c>
      <c r="M311" s="250">
        <v>159682</v>
      </c>
      <c r="N311" s="250">
        <v>12187</v>
      </c>
      <c r="O311" s="250">
        <v>7105</v>
      </c>
      <c r="P311" s="250">
        <v>20026</v>
      </c>
      <c r="Q311" s="253">
        <v>117911</v>
      </c>
      <c r="R311" s="254">
        <v>103.35762023925781</v>
      </c>
      <c r="S311" s="254">
        <v>60.257312774658203</v>
      </c>
      <c r="T311" s="255">
        <v>169.8399658203125</v>
      </c>
    </row>
    <row r="312" spans="2:23">
      <c r="B312" s="249" t="s">
        <v>513</v>
      </c>
      <c r="C312" s="250" t="s">
        <v>122</v>
      </c>
      <c r="D312" s="250" t="s">
        <v>201</v>
      </c>
      <c r="E312" s="251">
        <v>12</v>
      </c>
      <c r="F312" s="251" t="s">
        <v>281</v>
      </c>
      <c r="G312" s="250">
        <v>103129</v>
      </c>
      <c r="H312" s="250">
        <v>54885</v>
      </c>
      <c r="I312" s="250">
        <v>179708</v>
      </c>
      <c r="J312" s="252">
        <v>-3.0000000000000001E-3</v>
      </c>
      <c r="K312" s="250">
        <v>90569</v>
      </c>
      <c r="L312" s="250">
        <v>47607</v>
      </c>
      <c r="M312" s="250">
        <v>159224</v>
      </c>
      <c r="N312" s="250">
        <v>12560</v>
      </c>
      <c r="O312" s="250">
        <v>7278</v>
      </c>
      <c r="P312" s="250">
        <v>20484</v>
      </c>
      <c r="Q312" s="253">
        <v>90500</v>
      </c>
      <c r="R312" s="254">
        <v>138.78453063964844</v>
      </c>
      <c r="S312" s="254">
        <v>80.419891357421875</v>
      </c>
      <c r="T312" s="255">
        <v>226.34254455566406</v>
      </c>
    </row>
    <row r="313" spans="2:23">
      <c r="B313" s="249" t="s">
        <v>513</v>
      </c>
      <c r="C313" s="250" t="s">
        <v>122</v>
      </c>
      <c r="D313" s="250" t="s">
        <v>201</v>
      </c>
      <c r="E313" s="251">
        <v>13</v>
      </c>
      <c r="F313" s="251" t="s">
        <v>281</v>
      </c>
      <c r="G313" s="250">
        <v>103129</v>
      </c>
      <c r="H313" s="250">
        <v>54885</v>
      </c>
      <c r="I313" s="250">
        <v>179708</v>
      </c>
      <c r="J313" s="252">
        <v>-3.0000000000000001E-3</v>
      </c>
      <c r="K313" s="250">
        <v>90462</v>
      </c>
      <c r="L313" s="250">
        <v>47566</v>
      </c>
      <c r="M313" s="250">
        <v>158895</v>
      </c>
      <c r="N313" s="250">
        <v>12667</v>
      </c>
      <c r="O313" s="250">
        <v>7319</v>
      </c>
      <c r="P313" s="250">
        <v>20813</v>
      </c>
      <c r="Q313" s="253">
        <v>90500</v>
      </c>
      <c r="R313" s="254">
        <v>139.96684265136719</v>
      </c>
      <c r="S313" s="254">
        <v>80.872932434082031</v>
      </c>
      <c r="T313" s="255">
        <v>229.9779052734375</v>
      </c>
    </row>
    <row r="314" spans="2:23">
      <c r="B314" s="249" t="s">
        <v>513</v>
      </c>
      <c r="C314" s="250" t="s">
        <v>122</v>
      </c>
      <c r="D314" s="250" t="s">
        <v>201</v>
      </c>
      <c r="E314" s="251">
        <v>14</v>
      </c>
      <c r="F314" s="251" t="s">
        <v>281</v>
      </c>
      <c r="G314" s="250">
        <v>103129</v>
      </c>
      <c r="H314" s="250">
        <v>54885</v>
      </c>
      <c r="I314" s="250">
        <v>179708</v>
      </c>
      <c r="J314" s="252">
        <v>-3.0000000000000001E-3</v>
      </c>
      <c r="K314" s="250">
        <v>90017</v>
      </c>
      <c r="L314" s="250">
        <v>47384</v>
      </c>
      <c r="M314" s="250">
        <v>158421</v>
      </c>
      <c r="N314" s="250">
        <v>13112</v>
      </c>
      <c r="O314" s="250">
        <v>7501</v>
      </c>
      <c r="P314" s="250">
        <v>21287</v>
      </c>
      <c r="Q314" s="253">
        <v>90500</v>
      </c>
      <c r="R314" s="254">
        <v>144.88397216796875</v>
      </c>
      <c r="S314" s="254">
        <v>82.883979797363281</v>
      </c>
      <c r="T314" s="255">
        <v>235.21546936035156</v>
      </c>
    </row>
    <row r="315" spans="2:23">
      <c r="B315" s="256" t="s">
        <v>513</v>
      </c>
      <c r="C315" s="257" t="s">
        <v>122</v>
      </c>
      <c r="D315" s="257" t="s">
        <v>201</v>
      </c>
      <c r="E315" s="258">
        <v>15</v>
      </c>
      <c r="F315" s="258" t="s">
        <v>281</v>
      </c>
      <c r="G315" s="257">
        <v>103129</v>
      </c>
      <c r="H315" s="257">
        <v>54885</v>
      </c>
      <c r="I315" s="257">
        <v>179708</v>
      </c>
      <c r="J315" s="259">
        <v>-3.0000000000000001E-3</v>
      </c>
      <c r="K315" s="257">
        <v>89859</v>
      </c>
      <c r="L315" s="257">
        <v>47264</v>
      </c>
      <c r="M315" s="257">
        <v>157923</v>
      </c>
      <c r="N315" s="257">
        <v>13270</v>
      </c>
      <c r="O315" s="257">
        <v>7621</v>
      </c>
      <c r="P315" s="257">
        <v>21785</v>
      </c>
      <c r="Q315" s="260">
        <v>90500</v>
      </c>
      <c r="R315" s="261">
        <v>146.62983703613281</v>
      </c>
      <c r="S315" s="261">
        <v>84.209938049316406</v>
      </c>
      <c r="T315" s="262">
        <v>240.71823120117188</v>
      </c>
    </row>
    <row r="316" spans="2:23">
      <c r="B316" s="249" t="s">
        <v>514</v>
      </c>
      <c r="C316" s="250" t="s">
        <v>242</v>
      </c>
      <c r="D316" s="250" t="s">
        <v>502</v>
      </c>
      <c r="E316" s="251">
        <v>1</v>
      </c>
      <c r="F316" s="251" t="s">
        <v>281</v>
      </c>
      <c r="G316" s="250">
        <v>13715</v>
      </c>
      <c r="H316" s="250">
        <v>4552</v>
      </c>
      <c r="I316" s="250">
        <v>28825</v>
      </c>
      <c r="J316" s="252">
        <v>-6.6000000000000003E-2</v>
      </c>
      <c r="K316" s="250">
        <v>11674</v>
      </c>
      <c r="L316" s="250">
        <v>3528</v>
      </c>
      <c r="M316" s="250">
        <v>25363</v>
      </c>
      <c r="N316" s="250">
        <v>2041</v>
      </c>
      <c r="O316" s="250">
        <v>1024</v>
      </c>
      <c r="P316" s="250">
        <v>3462</v>
      </c>
      <c r="Q316" s="253">
        <v>977845</v>
      </c>
      <c r="R316" s="254">
        <v>2.0872428417205811</v>
      </c>
      <c r="S316" s="254">
        <v>1.0472007989883423</v>
      </c>
      <c r="T316" s="255">
        <v>3.5404384136199951</v>
      </c>
      <c r="U316"/>
      <c r="V316"/>
      <c r="W316"/>
    </row>
    <row r="317" spans="2:23">
      <c r="B317" s="249" t="s">
        <v>514</v>
      </c>
      <c r="C317" s="250" t="s">
        <v>242</v>
      </c>
      <c r="D317" s="250" t="s">
        <v>502</v>
      </c>
      <c r="E317" s="251">
        <v>2</v>
      </c>
      <c r="F317" s="251" t="s">
        <v>281</v>
      </c>
      <c r="G317" s="250">
        <v>13715</v>
      </c>
      <c r="H317" s="250">
        <v>4552</v>
      </c>
      <c r="I317" s="250">
        <v>28825</v>
      </c>
      <c r="J317" s="252">
        <v>-6.6000000000000003E-2</v>
      </c>
      <c r="K317" s="250">
        <v>10867</v>
      </c>
      <c r="L317" s="250">
        <v>3342</v>
      </c>
      <c r="M317" s="250">
        <v>23665</v>
      </c>
      <c r="N317" s="250">
        <v>2848</v>
      </c>
      <c r="O317" s="250">
        <v>1210</v>
      </c>
      <c r="P317" s="250">
        <v>5160</v>
      </c>
      <c r="Q317" s="253">
        <v>1239352</v>
      </c>
      <c r="R317" s="254">
        <v>2.2979750633239746</v>
      </c>
      <c r="S317" s="254">
        <v>0.97631663084030151</v>
      </c>
      <c r="T317" s="255">
        <v>4.1634659767150879</v>
      </c>
      <c r="U317"/>
      <c r="V317"/>
      <c r="W317"/>
    </row>
    <row r="318" spans="2:23">
      <c r="B318" s="249" t="s">
        <v>514</v>
      </c>
      <c r="C318" s="250" t="s">
        <v>242</v>
      </c>
      <c r="D318" s="250" t="s">
        <v>502</v>
      </c>
      <c r="E318" s="251">
        <v>3</v>
      </c>
      <c r="F318" s="251" t="s">
        <v>281</v>
      </c>
      <c r="G318" s="250">
        <v>13715</v>
      </c>
      <c r="H318" s="250">
        <v>4552</v>
      </c>
      <c r="I318" s="250">
        <v>28825</v>
      </c>
      <c r="J318" s="252">
        <v>-6.6000000000000003E-2</v>
      </c>
      <c r="K318" s="250">
        <v>10226</v>
      </c>
      <c r="L318" s="250">
        <v>3143</v>
      </c>
      <c r="M318" s="250">
        <v>22161</v>
      </c>
      <c r="N318" s="250">
        <v>3489</v>
      </c>
      <c r="O318" s="250">
        <v>1409</v>
      </c>
      <c r="P318" s="250">
        <v>6664</v>
      </c>
      <c r="Q318" s="253">
        <v>837959</v>
      </c>
      <c r="R318" s="254">
        <v>4.1636881828308105</v>
      </c>
      <c r="S318" s="254">
        <v>1.6814664602279663</v>
      </c>
      <c r="T318" s="255">
        <v>7.9526567459106445</v>
      </c>
      <c r="U318"/>
      <c r="V318"/>
      <c r="W318"/>
    </row>
    <row r="319" spans="2:23">
      <c r="B319" s="249" t="s">
        <v>514</v>
      </c>
      <c r="C319" s="250" t="s">
        <v>242</v>
      </c>
      <c r="D319" s="250" t="s">
        <v>502</v>
      </c>
      <c r="E319" s="251">
        <v>4</v>
      </c>
      <c r="F319" s="251" t="s">
        <v>281</v>
      </c>
      <c r="G319" s="250">
        <v>13715</v>
      </c>
      <c r="H319" s="250">
        <v>4552</v>
      </c>
      <c r="I319" s="250">
        <v>28825</v>
      </c>
      <c r="J319" s="252">
        <v>-6.6000000000000003E-2</v>
      </c>
      <c r="K319" s="250">
        <v>9566</v>
      </c>
      <c r="L319" s="250">
        <v>2942</v>
      </c>
      <c r="M319" s="250">
        <v>20673</v>
      </c>
      <c r="N319" s="250">
        <v>4149</v>
      </c>
      <c r="O319" s="250">
        <v>1610</v>
      </c>
      <c r="P319" s="250">
        <v>8152</v>
      </c>
      <c r="Q319" s="253">
        <v>855330</v>
      </c>
      <c r="R319" s="254">
        <v>4.8507590293884277</v>
      </c>
      <c r="S319" s="254">
        <v>1.8823144435882568</v>
      </c>
      <c r="T319" s="255">
        <v>9.5308246612548828</v>
      </c>
      <c r="U319"/>
      <c r="V319"/>
      <c r="W319"/>
    </row>
    <row r="320" spans="2:23">
      <c r="B320" s="249" t="s">
        <v>514</v>
      </c>
      <c r="C320" s="250" t="s">
        <v>242</v>
      </c>
      <c r="D320" s="250" t="s">
        <v>502</v>
      </c>
      <c r="E320" s="251">
        <v>5</v>
      </c>
      <c r="F320" s="251" t="s">
        <v>281</v>
      </c>
      <c r="G320" s="250">
        <v>13715</v>
      </c>
      <c r="H320" s="250">
        <v>4552</v>
      </c>
      <c r="I320" s="250">
        <v>28825</v>
      </c>
      <c r="J320" s="252">
        <v>-6.6000000000000003E-2</v>
      </c>
      <c r="K320" s="250">
        <v>8775</v>
      </c>
      <c r="L320" s="250">
        <v>2755</v>
      </c>
      <c r="M320" s="250">
        <v>19134</v>
      </c>
      <c r="N320" s="250">
        <v>4940</v>
      </c>
      <c r="O320" s="250">
        <v>1797</v>
      </c>
      <c r="P320" s="250">
        <v>9691</v>
      </c>
      <c r="Q320" s="253">
        <v>837959</v>
      </c>
      <c r="R320" s="254">
        <v>5.8952765464782715</v>
      </c>
      <c r="S320" s="254">
        <v>2.1444964408874512</v>
      </c>
      <c r="T320" s="255">
        <v>11.565005302429199</v>
      </c>
      <c r="U320"/>
      <c r="V320"/>
      <c r="W320"/>
    </row>
    <row r="321" spans="2:23">
      <c r="B321" s="249" t="s">
        <v>514</v>
      </c>
      <c r="C321" s="250" t="s">
        <v>242</v>
      </c>
      <c r="D321" s="250" t="s">
        <v>201</v>
      </c>
      <c r="E321" s="251">
        <v>6</v>
      </c>
      <c r="F321" s="251" t="s">
        <v>281</v>
      </c>
      <c r="G321" s="250">
        <v>13715</v>
      </c>
      <c r="H321" s="250">
        <v>4552</v>
      </c>
      <c r="I321" s="250">
        <v>28825</v>
      </c>
      <c r="J321" s="252">
        <v>-1.24E-2</v>
      </c>
      <c r="K321" s="250">
        <v>8716</v>
      </c>
      <c r="L321" s="250">
        <v>2742</v>
      </c>
      <c r="M321" s="250">
        <v>18985</v>
      </c>
      <c r="N321" s="250">
        <v>4999</v>
      </c>
      <c r="O321" s="250">
        <v>1810</v>
      </c>
      <c r="P321" s="250">
        <v>9840</v>
      </c>
      <c r="Q321" s="253">
        <v>661371</v>
      </c>
      <c r="R321" s="254">
        <v>7.5585412979125977</v>
      </c>
      <c r="S321" s="254">
        <v>2.7367393970489502</v>
      </c>
      <c r="T321" s="255">
        <v>14.87818431854248</v>
      </c>
      <c r="U321"/>
      <c r="V321"/>
      <c r="W321"/>
    </row>
    <row r="322" spans="2:23">
      <c r="B322" s="249" t="s">
        <v>514</v>
      </c>
      <c r="C322" s="250" t="s">
        <v>242</v>
      </c>
      <c r="D322" s="250" t="s">
        <v>201</v>
      </c>
      <c r="E322" s="251">
        <v>7</v>
      </c>
      <c r="F322" s="251" t="s">
        <v>281</v>
      </c>
      <c r="G322" s="250">
        <v>13715</v>
      </c>
      <c r="H322" s="250">
        <v>4552</v>
      </c>
      <c r="I322" s="250">
        <v>28825</v>
      </c>
      <c r="J322" s="252">
        <v>-1.24E-2</v>
      </c>
      <c r="K322" s="250">
        <v>8621</v>
      </c>
      <c r="L322" s="250">
        <v>2686</v>
      </c>
      <c r="M322" s="250">
        <v>18788</v>
      </c>
      <c r="N322" s="250">
        <v>5094</v>
      </c>
      <c r="O322" s="250">
        <v>1866</v>
      </c>
      <c r="P322" s="250">
        <v>10037</v>
      </c>
      <c r="Q322" s="253">
        <v>504727</v>
      </c>
      <c r="R322" s="254">
        <v>10.092584609985352</v>
      </c>
      <c r="S322" s="254">
        <v>3.6970481872558594</v>
      </c>
      <c r="T322" s="255">
        <v>19.885997772216797</v>
      </c>
      <c r="U322"/>
      <c r="V322"/>
      <c r="W322"/>
    </row>
    <row r="323" spans="2:23">
      <c r="B323" s="249" t="s">
        <v>514</v>
      </c>
      <c r="C323" s="250" t="s">
        <v>242</v>
      </c>
      <c r="D323" s="250" t="s">
        <v>201</v>
      </c>
      <c r="E323" s="251">
        <v>8</v>
      </c>
      <c r="F323" s="251" t="s">
        <v>281</v>
      </c>
      <c r="G323" s="250">
        <v>13715</v>
      </c>
      <c r="H323" s="250">
        <v>4552</v>
      </c>
      <c r="I323" s="250">
        <v>28825</v>
      </c>
      <c r="J323" s="252">
        <v>-1.24E-2</v>
      </c>
      <c r="K323" s="250">
        <v>8548</v>
      </c>
      <c r="L323" s="250">
        <v>2654</v>
      </c>
      <c r="M323" s="250">
        <v>18590</v>
      </c>
      <c r="N323" s="250">
        <v>5167</v>
      </c>
      <c r="O323" s="250">
        <v>1898</v>
      </c>
      <c r="P323" s="250">
        <v>10235</v>
      </c>
      <c r="Q323" s="253">
        <v>487356</v>
      </c>
      <c r="R323" s="254">
        <v>10.602106094360352</v>
      </c>
      <c r="S323" s="254">
        <v>3.8944835662841797</v>
      </c>
      <c r="T323" s="255">
        <v>21.001073837280273</v>
      </c>
      <c r="U323"/>
      <c r="V323"/>
      <c r="W323"/>
    </row>
    <row r="324" spans="2:23">
      <c r="B324" s="249" t="s">
        <v>514</v>
      </c>
      <c r="C324" s="250" t="s">
        <v>242</v>
      </c>
      <c r="D324" s="250" t="s">
        <v>201</v>
      </c>
      <c r="E324" s="251">
        <v>9</v>
      </c>
      <c r="F324" s="251" t="s">
        <v>281</v>
      </c>
      <c r="G324" s="250">
        <v>13715</v>
      </c>
      <c r="H324" s="250">
        <v>4552</v>
      </c>
      <c r="I324" s="250">
        <v>28825</v>
      </c>
      <c r="J324" s="252">
        <v>-1.24E-2</v>
      </c>
      <c r="K324" s="250">
        <v>8477</v>
      </c>
      <c r="L324" s="250">
        <v>2643</v>
      </c>
      <c r="M324" s="250">
        <v>18385</v>
      </c>
      <c r="N324" s="250">
        <v>5238</v>
      </c>
      <c r="O324" s="250">
        <v>1909</v>
      </c>
      <c r="P324" s="250">
        <v>10440</v>
      </c>
      <c r="Q324" s="253">
        <v>487356</v>
      </c>
      <c r="R324" s="254">
        <v>10.747790336608887</v>
      </c>
      <c r="S324" s="254">
        <v>3.9170541763305664</v>
      </c>
      <c r="T324" s="255">
        <v>21.421710968017578</v>
      </c>
      <c r="U324"/>
      <c r="V324"/>
      <c r="W324"/>
    </row>
    <row r="325" spans="2:23">
      <c r="B325" s="249" t="s">
        <v>514</v>
      </c>
      <c r="C325" s="250" t="s">
        <v>242</v>
      </c>
      <c r="D325" s="250" t="s">
        <v>201</v>
      </c>
      <c r="E325" s="251">
        <v>10</v>
      </c>
      <c r="F325" s="251" t="s">
        <v>281</v>
      </c>
      <c r="G325" s="250">
        <v>13715</v>
      </c>
      <c r="H325" s="250">
        <v>4552</v>
      </c>
      <c r="I325" s="250">
        <v>28825</v>
      </c>
      <c r="J325" s="252">
        <v>-1.24E-2</v>
      </c>
      <c r="K325" s="250">
        <v>8438</v>
      </c>
      <c r="L325" s="250">
        <v>2633</v>
      </c>
      <c r="M325" s="250">
        <v>18284</v>
      </c>
      <c r="N325" s="250">
        <v>5277</v>
      </c>
      <c r="O325" s="250">
        <v>1919</v>
      </c>
      <c r="P325" s="250">
        <v>10541</v>
      </c>
      <c r="Q325" s="253">
        <v>504727</v>
      </c>
      <c r="R325" s="254">
        <v>10.455156326293945</v>
      </c>
      <c r="S325" s="254">
        <v>3.8020553588867188</v>
      </c>
      <c r="T325" s="255">
        <v>20.884555816650391</v>
      </c>
      <c r="U325"/>
      <c r="V325"/>
      <c r="W325"/>
    </row>
    <row r="326" spans="2:23">
      <c r="B326" s="249" t="s">
        <v>514</v>
      </c>
      <c r="C326" s="250" t="s">
        <v>242</v>
      </c>
      <c r="D326" s="250" t="s">
        <v>201</v>
      </c>
      <c r="E326" s="251">
        <v>11</v>
      </c>
      <c r="F326" s="251" t="s">
        <v>281</v>
      </c>
      <c r="G326" s="250">
        <v>13715</v>
      </c>
      <c r="H326" s="250">
        <v>4552</v>
      </c>
      <c r="I326" s="250">
        <v>28825</v>
      </c>
      <c r="J326" s="252">
        <v>-1.24E-2</v>
      </c>
      <c r="K326" s="250">
        <v>8096</v>
      </c>
      <c r="L326" s="250">
        <v>2414</v>
      </c>
      <c r="M326" s="250">
        <v>17645</v>
      </c>
      <c r="N326" s="250">
        <v>5619</v>
      </c>
      <c r="O326" s="250">
        <v>2138</v>
      </c>
      <c r="P326" s="250">
        <v>11180</v>
      </c>
      <c r="Q326" s="253">
        <v>661371</v>
      </c>
      <c r="R326" s="254">
        <v>8.4959878921508789</v>
      </c>
      <c r="S326" s="254">
        <v>3.2326788902282715</v>
      </c>
      <c r="T326" s="255">
        <v>16.904279708862305</v>
      </c>
      <c r="U326"/>
      <c r="V326"/>
      <c r="W326"/>
    </row>
    <row r="327" spans="2:23">
      <c r="B327" s="249" t="s">
        <v>514</v>
      </c>
      <c r="C327" s="250" t="s">
        <v>242</v>
      </c>
      <c r="D327" s="250" t="s">
        <v>201</v>
      </c>
      <c r="E327" s="251">
        <v>12</v>
      </c>
      <c r="F327" s="251" t="s">
        <v>281</v>
      </c>
      <c r="G327" s="250">
        <v>13715</v>
      </c>
      <c r="H327" s="250">
        <v>4552</v>
      </c>
      <c r="I327" s="250">
        <v>28825</v>
      </c>
      <c r="J327" s="252">
        <v>-1.24E-2</v>
      </c>
      <c r="K327" s="250">
        <v>8059</v>
      </c>
      <c r="L327" s="250">
        <v>2386</v>
      </c>
      <c r="M327" s="250">
        <v>17545</v>
      </c>
      <c r="N327" s="250">
        <v>5656</v>
      </c>
      <c r="O327" s="250">
        <v>2166</v>
      </c>
      <c r="P327" s="250">
        <v>11280</v>
      </c>
      <c r="Q327" s="253">
        <v>487356</v>
      </c>
      <c r="R327" s="254">
        <v>11.605480194091797</v>
      </c>
      <c r="S327" s="254">
        <v>4.444389820098877</v>
      </c>
      <c r="T327" s="255">
        <v>23.145298004150391</v>
      </c>
      <c r="U327"/>
      <c r="V327"/>
      <c r="W327"/>
    </row>
    <row r="328" spans="2:23">
      <c r="B328" s="249" t="s">
        <v>514</v>
      </c>
      <c r="C328" s="250" t="s">
        <v>242</v>
      </c>
      <c r="D328" s="250" t="s">
        <v>201</v>
      </c>
      <c r="E328" s="251">
        <v>13</v>
      </c>
      <c r="F328" s="251" t="s">
        <v>281</v>
      </c>
      <c r="G328" s="250">
        <v>13715</v>
      </c>
      <c r="H328" s="250">
        <v>4552</v>
      </c>
      <c r="I328" s="250">
        <v>28825</v>
      </c>
      <c r="J328" s="252">
        <v>-1.24E-2</v>
      </c>
      <c r="K328" s="250">
        <v>8018</v>
      </c>
      <c r="L328" s="250">
        <v>2375</v>
      </c>
      <c r="M328" s="250">
        <v>17381</v>
      </c>
      <c r="N328" s="250">
        <v>5697</v>
      </c>
      <c r="O328" s="250">
        <v>2177</v>
      </c>
      <c r="P328" s="250">
        <v>11444</v>
      </c>
      <c r="Q328" s="253">
        <v>504727</v>
      </c>
      <c r="R328" s="254">
        <v>11.287289619445801</v>
      </c>
      <c r="S328" s="254">
        <v>4.3132224082946777</v>
      </c>
      <c r="T328" s="255">
        <v>22.67364501953125</v>
      </c>
      <c r="U328"/>
      <c r="V328"/>
      <c r="W328"/>
    </row>
    <row r="329" spans="2:23">
      <c r="B329" s="249" t="s">
        <v>514</v>
      </c>
      <c r="C329" s="250" t="s">
        <v>242</v>
      </c>
      <c r="D329" s="250" t="s">
        <v>201</v>
      </c>
      <c r="E329" s="251">
        <v>14</v>
      </c>
      <c r="F329" s="251" t="s">
        <v>281</v>
      </c>
      <c r="G329" s="250">
        <v>13715</v>
      </c>
      <c r="H329" s="250">
        <v>4552</v>
      </c>
      <c r="I329" s="250">
        <v>28825</v>
      </c>
      <c r="J329" s="252">
        <v>-1.24E-2</v>
      </c>
      <c r="K329" s="250">
        <v>7878</v>
      </c>
      <c r="L329" s="250">
        <v>2371</v>
      </c>
      <c r="M329" s="250">
        <v>17043</v>
      </c>
      <c r="N329" s="250">
        <v>5837</v>
      </c>
      <c r="O329" s="250">
        <v>2181</v>
      </c>
      <c r="P329" s="250">
        <v>11782</v>
      </c>
      <c r="Q329" s="253">
        <v>487356</v>
      </c>
      <c r="R329" s="254">
        <v>11.976870536804199</v>
      </c>
      <c r="S329" s="254">
        <v>4.4751677513122559</v>
      </c>
      <c r="T329" s="255">
        <v>24.175346374511719</v>
      </c>
      <c r="U329"/>
      <c r="V329"/>
      <c r="W329"/>
    </row>
    <row r="330" spans="2:23">
      <c r="B330" s="256" t="s">
        <v>514</v>
      </c>
      <c r="C330" s="257" t="s">
        <v>242</v>
      </c>
      <c r="D330" s="257" t="s">
        <v>201</v>
      </c>
      <c r="E330" s="258">
        <v>15</v>
      </c>
      <c r="F330" s="258" t="s">
        <v>281</v>
      </c>
      <c r="G330" s="257">
        <v>13715</v>
      </c>
      <c r="H330" s="257">
        <v>4552</v>
      </c>
      <c r="I330" s="257">
        <v>28825</v>
      </c>
      <c r="J330" s="259">
        <v>-1.24E-2</v>
      </c>
      <c r="K330" s="257">
        <v>7806</v>
      </c>
      <c r="L330" s="257">
        <v>2346</v>
      </c>
      <c r="M330" s="257">
        <v>16924</v>
      </c>
      <c r="N330" s="257">
        <v>5909</v>
      </c>
      <c r="O330" s="257">
        <v>2206</v>
      </c>
      <c r="P330" s="257">
        <v>11901</v>
      </c>
      <c r="Q330" s="260">
        <v>487356</v>
      </c>
      <c r="R330" s="261">
        <v>12.124607086181641</v>
      </c>
      <c r="S330" s="261">
        <v>4.5264654159545898</v>
      </c>
      <c r="T330" s="262">
        <v>24.419519424438477</v>
      </c>
      <c r="U330"/>
      <c r="V330"/>
      <c r="W330"/>
    </row>
    <row r="331" spans="2:23">
      <c r="B331" s="249" t="s">
        <v>514</v>
      </c>
      <c r="C331" s="250" t="s">
        <v>282</v>
      </c>
      <c r="D331" s="250" t="s">
        <v>502</v>
      </c>
      <c r="E331" s="251">
        <v>1</v>
      </c>
      <c r="F331" s="251" t="s">
        <v>281</v>
      </c>
      <c r="G331" s="250">
        <v>13715</v>
      </c>
      <c r="H331" s="250">
        <v>4552</v>
      </c>
      <c r="I331" s="250">
        <v>28825</v>
      </c>
      <c r="J331" s="252">
        <v>-3.6400000000000002E-2</v>
      </c>
      <c r="K331" s="250">
        <v>11919</v>
      </c>
      <c r="L331" s="250">
        <v>3593</v>
      </c>
      <c r="M331" s="250">
        <v>25976</v>
      </c>
      <c r="N331" s="250">
        <v>1796</v>
      </c>
      <c r="O331" s="250">
        <v>959</v>
      </c>
      <c r="P331" s="250">
        <v>2849</v>
      </c>
      <c r="Q331" s="253">
        <v>420165</v>
      </c>
      <c r="R331" s="254">
        <v>4.2745113372802734</v>
      </c>
      <c r="S331" s="254">
        <v>2.2824366092681885</v>
      </c>
      <c r="T331" s="255">
        <v>6.7806696891784668</v>
      </c>
    </row>
    <row r="332" spans="2:23">
      <c r="B332" s="249" t="s">
        <v>514</v>
      </c>
      <c r="C332" s="250" t="s">
        <v>282</v>
      </c>
      <c r="D332" s="250" t="s">
        <v>502</v>
      </c>
      <c r="E332" s="251">
        <v>2</v>
      </c>
      <c r="F332" s="251" t="s">
        <v>281</v>
      </c>
      <c r="G332" s="250">
        <v>13715</v>
      </c>
      <c r="H332" s="250">
        <v>4552</v>
      </c>
      <c r="I332" s="250">
        <v>28825</v>
      </c>
      <c r="J332" s="252">
        <v>-3.6400000000000002E-2</v>
      </c>
      <c r="K332" s="250">
        <v>11561</v>
      </c>
      <c r="L332" s="250">
        <v>3515</v>
      </c>
      <c r="M332" s="250">
        <v>25018</v>
      </c>
      <c r="N332" s="250">
        <v>2154</v>
      </c>
      <c r="O332" s="250">
        <v>1037</v>
      </c>
      <c r="P332" s="250">
        <v>3807</v>
      </c>
      <c r="Q332" s="253">
        <v>188719</v>
      </c>
      <c r="R332" s="254">
        <v>11.41379451751709</v>
      </c>
      <c r="S332" s="254">
        <v>5.4949421882629395</v>
      </c>
      <c r="T332" s="255">
        <v>20.172849655151367</v>
      </c>
    </row>
    <row r="333" spans="2:23">
      <c r="B333" s="249" t="s">
        <v>514</v>
      </c>
      <c r="C333" s="250" t="s">
        <v>282</v>
      </c>
      <c r="D333" s="250" t="s">
        <v>502</v>
      </c>
      <c r="E333" s="251">
        <v>3</v>
      </c>
      <c r="F333" s="251" t="s">
        <v>281</v>
      </c>
      <c r="G333" s="250">
        <v>13715</v>
      </c>
      <c r="H333" s="250">
        <v>4552</v>
      </c>
      <c r="I333" s="250">
        <v>28825</v>
      </c>
      <c r="J333" s="252">
        <v>-3.6400000000000002E-2</v>
      </c>
      <c r="K333" s="250">
        <v>11199</v>
      </c>
      <c r="L333" s="250">
        <v>3408</v>
      </c>
      <c r="M333" s="250">
        <v>24288</v>
      </c>
      <c r="N333" s="250">
        <v>2516</v>
      </c>
      <c r="O333" s="250">
        <v>1144</v>
      </c>
      <c r="P333" s="250">
        <v>4537</v>
      </c>
      <c r="Q333" s="253">
        <v>155920</v>
      </c>
      <c r="R333" s="254">
        <v>16.136480331420898</v>
      </c>
      <c r="S333" s="254">
        <v>7.3370962142944336</v>
      </c>
      <c r="T333" s="255">
        <v>29.098255157470703</v>
      </c>
    </row>
    <row r="334" spans="2:23">
      <c r="B334" s="249" t="s">
        <v>514</v>
      </c>
      <c r="C334" s="250" t="s">
        <v>282</v>
      </c>
      <c r="D334" s="250" t="s">
        <v>502</v>
      </c>
      <c r="E334" s="251">
        <v>4</v>
      </c>
      <c r="F334" s="251" t="s">
        <v>281</v>
      </c>
      <c r="G334" s="250">
        <v>13715</v>
      </c>
      <c r="H334" s="250">
        <v>4552</v>
      </c>
      <c r="I334" s="250">
        <v>28825</v>
      </c>
      <c r="J334" s="252">
        <v>-3.6400000000000002E-2</v>
      </c>
      <c r="K334" s="250">
        <v>10751</v>
      </c>
      <c r="L334" s="250">
        <v>3317</v>
      </c>
      <c r="M334" s="250">
        <v>23389</v>
      </c>
      <c r="N334" s="250">
        <v>2964</v>
      </c>
      <c r="O334" s="250">
        <v>1235</v>
      </c>
      <c r="P334" s="250">
        <v>5436</v>
      </c>
      <c r="Q334" s="253">
        <v>155920</v>
      </c>
      <c r="R334" s="254">
        <v>19.009748458862305</v>
      </c>
      <c r="S334" s="254">
        <v>7.9207291603088379</v>
      </c>
      <c r="T334" s="255">
        <v>34.864032745361328</v>
      </c>
    </row>
    <row r="335" spans="2:23">
      <c r="B335" s="249" t="s">
        <v>514</v>
      </c>
      <c r="C335" s="250" t="s">
        <v>282</v>
      </c>
      <c r="D335" s="250" t="s">
        <v>502</v>
      </c>
      <c r="E335" s="251">
        <v>5</v>
      </c>
      <c r="F335" s="251" t="s">
        <v>281</v>
      </c>
      <c r="G335" s="250">
        <v>13715</v>
      </c>
      <c r="H335" s="250">
        <v>4552</v>
      </c>
      <c r="I335" s="250">
        <v>28825</v>
      </c>
      <c r="J335" s="252">
        <v>-3.6400000000000002E-2</v>
      </c>
      <c r="K335" s="250">
        <v>10366</v>
      </c>
      <c r="L335" s="250">
        <v>3177</v>
      </c>
      <c r="M335" s="250">
        <v>22541</v>
      </c>
      <c r="N335" s="250">
        <v>3349</v>
      </c>
      <c r="O335" s="250">
        <v>1375</v>
      </c>
      <c r="P335" s="250">
        <v>6284</v>
      </c>
      <c r="Q335" s="253">
        <v>155920</v>
      </c>
      <c r="R335" s="254">
        <v>21.478963851928711</v>
      </c>
      <c r="S335" s="254">
        <v>8.8186244964599609</v>
      </c>
      <c r="T335" s="255">
        <v>40.302719116210938</v>
      </c>
    </row>
    <row r="336" spans="2:23">
      <c r="B336" s="249" t="s">
        <v>514</v>
      </c>
      <c r="C336" s="250" t="s">
        <v>282</v>
      </c>
      <c r="D336" s="250" t="s">
        <v>201</v>
      </c>
      <c r="E336" s="251">
        <v>6</v>
      </c>
      <c r="F336" s="251" t="s">
        <v>281</v>
      </c>
      <c r="G336" s="250">
        <v>13715</v>
      </c>
      <c r="H336" s="250">
        <v>4552</v>
      </c>
      <c r="I336" s="250">
        <v>28825</v>
      </c>
      <c r="J336" s="252">
        <v>-9.1000000000000004E-3</v>
      </c>
      <c r="K336" s="250">
        <v>10328</v>
      </c>
      <c r="L336" s="250">
        <v>3158</v>
      </c>
      <c r="M336" s="250">
        <v>22405</v>
      </c>
      <c r="N336" s="250">
        <v>3387</v>
      </c>
      <c r="O336" s="250">
        <v>1394</v>
      </c>
      <c r="P336" s="250">
        <v>6420</v>
      </c>
      <c r="Q336" s="253">
        <v>188016</v>
      </c>
      <c r="R336" s="254">
        <v>18.014423370361328</v>
      </c>
      <c r="S336" s="254">
        <v>7.4142627716064453</v>
      </c>
      <c r="T336" s="255">
        <v>34.146030426025391</v>
      </c>
    </row>
    <row r="337" spans="2:20">
      <c r="B337" s="249" t="s">
        <v>514</v>
      </c>
      <c r="C337" s="250" t="s">
        <v>282</v>
      </c>
      <c r="D337" s="250" t="s">
        <v>201</v>
      </c>
      <c r="E337" s="251">
        <v>7</v>
      </c>
      <c r="F337" s="251" t="s">
        <v>281</v>
      </c>
      <c r="G337" s="250">
        <v>13715</v>
      </c>
      <c r="H337" s="250">
        <v>4552</v>
      </c>
      <c r="I337" s="250">
        <v>28825</v>
      </c>
      <c r="J337" s="252">
        <v>-9.1000000000000004E-3</v>
      </c>
      <c r="K337" s="250">
        <v>10236</v>
      </c>
      <c r="L337" s="250">
        <v>3144</v>
      </c>
      <c r="M337" s="250">
        <v>22192</v>
      </c>
      <c r="N337" s="250">
        <v>3479</v>
      </c>
      <c r="O337" s="250">
        <v>1408</v>
      </c>
      <c r="P337" s="250">
        <v>6633</v>
      </c>
      <c r="Q337" s="253">
        <v>143207</v>
      </c>
      <c r="R337" s="254">
        <v>24.29350471496582</v>
      </c>
      <c r="S337" s="254">
        <v>9.8319215774536133</v>
      </c>
      <c r="T337" s="255">
        <v>46.317569732666016</v>
      </c>
    </row>
    <row r="338" spans="2:20">
      <c r="B338" s="249" t="s">
        <v>514</v>
      </c>
      <c r="C338" s="250" t="s">
        <v>282</v>
      </c>
      <c r="D338" s="250" t="s">
        <v>201</v>
      </c>
      <c r="E338" s="251">
        <v>8</v>
      </c>
      <c r="F338" s="251" t="s">
        <v>281</v>
      </c>
      <c r="G338" s="250">
        <v>13715</v>
      </c>
      <c r="H338" s="250">
        <v>4552</v>
      </c>
      <c r="I338" s="250">
        <v>28825</v>
      </c>
      <c r="J338" s="252">
        <v>-9.1000000000000004E-3</v>
      </c>
      <c r="K338" s="250">
        <v>10183</v>
      </c>
      <c r="L338" s="250">
        <v>3125</v>
      </c>
      <c r="M338" s="250">
        <v>21986</v>
      </c>
      <c r="N338" s="250">
        <v>3532</v>
      </c>
      <c r="O338" s="250">
        <v>1427</v>
      </c>
      <c r="P338" s="250">
        <v>6839</v>
      </c>
      <c r="Q338" s="253">
        <v>143207</v>
      </c>
      <c r="R338" s="254">
        <v>24.663599014282227</v>
      </c>
      <c r="S338" s="254">
        <v>9.9645967483520508</v>
      </c>
      <c r="T338" s="255">
        <v>47.756046295166016</v>
      </c>
    </row>
    <row r="339" spans="2:20">
      <c r="B339" s="249" t="s">
        <v>514</v>
      </c>
      <c r="C339" s="250" t="s">
        <v>282</v>
      </c>
      <c r="D339" s="250" t="s">
        <v>201</v>
      </c>
      <c r="E339" s="251">
        <v>9</v>
      </c>
      <c r="F339" s="251" t="s">
        <v>281</v>
      </c>
      <c r="G339" s="250">
        <v>13715</v>
      </c>
      <c r="H339" s="250">
        <v>4552</v>
      </c>
      <c r="I339" s="250">
        <v>28825</v>
      </c>
      <c r="J339" s="252">
        <v>-9.1000000000000004E-3</v>
      </c>
      <c r="K339" s="250">
        <v>10158</v>
      </c>
      <c r="L339" s="250">
        <v>3125</v>
      </c>
      <c r="M339" s="250">
        <v>21908</v>
      </c>
      <c r="N339" s="250">
        <v>3557</v>
      </c>
      <c r="O339" s="250">
        <v>1427</v>
      </c>
      <c r="P339" s="250">
        <v>6917</v>
      </c>
      <c r="Q339" s="253">
        <v>143207</v>
      </c>
      <c r="R339" s="254">
        <v>24.838171005249023</v>
      </c>
      <c r="S339" s="254">
        <v>9.9645967483520508</v>
      </c>
      <c r="T339" s="255">
        <v>48.300712585449219</v>
      </c>
    </row>
    <row r="340" spans="2:20">
      <c r="B340" s="249" t="s">
        <v>514</v>
      </c>
      <c r="C340" s="250" t="s">
        <v>282</v>
      </c>
      <c r="D340" s="250" t="s">
        <v>201</v>
      </c>
      <c r="E340" s="251">
        <v>10</v>
      </c>
      <c r="F340" s="251" t="s">
        <v>281</v>
      </c>
      <c r="G340" s="250">
        <v>13715</v>
      </c>
      <c r="H340" s="250">
        <v>4552</v>
      </c>
      <c r="I340" s="250">
        <v>28825</v>
      </c>
      <c r="J340" s="252">
        <v>-9.1000000000000004E-3</v>
      </c>
      <c r="K340" s="250">
        <v>9908</v>
      </c>
      <c r="L340" s="250">
        <v>3038</v>
      </c>
      <c r="M340" s="250">
        <v>21554</v>
      </c>
      <c r="N340" s="250">
        <v>3807</v>
      </c>
      <c r="O340" s="250">
        <v>1514</v>
      </c>
      <c r="P340" s="250">
        <v>7271</v>
      </c>
      <c r="Q340" s="253">
        <v>143207</v>
      </c>
      <c r="R340" s="254">
        <v>26.583896636962891</v>
      </c>
      <c r="S340" s="254">
        <v>10.572108268737793</v>
      </c>
      <c r="T340" s="255">
        <v>50.772659301757813</v>
      </c>
    </row>
    <row r="341" spans="2:20">
      <c r="B341" s="249" t="s">
        <v>514</v>
      </c>
      <c r="C341" s="250" t="s">
        <v>282</v>
      </c>
      <c r="D341" s="250" t="s">
        <v>201</v>
      </c>
      <c r="E341" s="251">
        <v>11</v>
      </c>
      <c r="F341" s="251" t="s">
        <v>281</v>
      </c>
      <c r="G341" s="250">
        <v>13715</v>
      </c>
      <c r="H341" s="250">
        <v>4552</v>
      </c>
      <c r="I341" s="250">
        <v>28825</v>
      </c>
      <c r="J341" s="252">
        <v>-9.1000000000000004E-3</v>
      </c>
      <c r="K341" s="250">
        <v>9837</v>
      </c>
      <c r="L341" s="250">
        <v>3017</v>
      </c>
      <c r="M341" s="250">
        <v>21419</v>
      </c>
      <c r="N341" s="250">
        <v>3878</v>
      </c>
      <c r="O341" s="250">
        <v>1535</v>
      </c>
      <c r="P341" s="250">
        <v>7406</v>
      </c>
      <c r="Q341" s="253">
        <v>188016</v>
      </c>
      <c r="R341" s="254">
        <v>20.625904083251953</v>
      </c>
      <c r="S341" s="254">
        <v>8.1641988754272461</v>
      </c>
      <c r="T341" s="255">
        <v>39.390266418457031</v>
      </c>
    </row>
    <row r="342" spans="2:20">
      <c r="B342" s="249" t="s">
        <v>514</v>
      </c>
      <c r="C342" s="250" t="s">
        <v>282</v>
      </c>
      <c r="D342" s="250" t="s">
        <v>201</v>
      </c>
      <c r="E342" s="251">
        <v>12</v>
      </c>
      <c r="F342" s="251" t="s">
        <v>281</v>
      </c>
      <c r="G342" s="250">
        <v>13715</v>
      </c>
      <c r="H342" s="250">
        <v>4552</v>
      </c>
      <c r="I342" s="250">
        <v>28825</v>
      </c>
      <c r="J342" s="252">
        <v>-9.1000000000000004E-3</v>
      </c>
      <c r="K342" s="250">
        <v>9780</v>
      </c>
      <c r="L342" s="250">
        <v>3006</v>
      </c>
      <c r="M342" s="250">
        <v>21150</v>
      </c>
      <c r="N342" s="250">
        <v>3935</v>
      </c>
      <c r="O342" s="250">
        <v>1546</v>
      </c>
      <c r="P342" s="250">
        <v>7675</v>
      </c>
      <c r="Q342" s="253">
        <v>143207</v>
      </c>
      <c r="R342" s="254">
        <v>27.477706909179688</v>
      </c>
      <c r="S342" s="254">
        <v>10.795561790466309</v>
      </c>
      <c r="T342" s="255">
        <v>53.593746185302734</v>
      </c>
    </row>
    <row r="343" spans="2:20">
      <c r="B343" s="249" t="s">
        <v>514</v>
      </c>
      <c r="C343" s="250" t="s">
        <v>282</v>
      </c>
      <c r="D343" s="250" t="s">
        <v>201</v>
      </c>
      <c r="E343" s="251">
        <v>13</v>
      </c>
      <c r="F343" s="251" t="s">
        <v>281</v>
      </c>
      <c r="G343" s="250">
        <v>13715</v>
      </c>
      <c r="H343" s="250">
        <v>4552</v>
      </c>
      <c r="I343" s="250">
        <v>28825</v>
      </c>
      <c r="J343" s="252">
        <v>-9.1000000000000004E-3</v>
      </c>
      <c r="K343" s="250">
        <v>9654</v>
      </c>
      <c r="L343" s="250">
        <v>2984</v>
      </c>
      <c r="M343" s="250">
        <v>20875</v>
      </c>
      <c r="N343" s="250">
        <v>4061</v>
      </c>
      <c r="O343" s="250">
        <v>1568</v>
      </c>
      <c r="P343" s="250">
        <v>7950</v>
      </c>
      <c r="Q343" s="253">
        <v>143207</v>
      </c>
      <c r="R343" s="254">
        <v>28.357551574707031</v>
      </c>
      <c r="S343" s="254">
        <v>10.949185371398926</v>
      </c>
      <c r="T343" s="255">
        <v>55.514045715332031</v>
      </c>
    </row>
    <row r="344" spans="2:20">
      <c r="B344" s="249" t="s">
        <v>514</v>
      </c>
      <c r="C344" s="250" t="s">
        <v>282</v>
      </c>
      <c r="D344" s="250" t="s">
        <v>201</v>
      </c>
      <c r="E344" s="251">
        <v>14</v>
      </c>
      <c r="F344" s="251" t="s">
        <v>281</v>
      </c>
      <c r="G344" s="250">
        <v>13715</v>
      </c>
      <c r="H344" s="250">
        <v>4552</v>
      </c>
      <c r="I344" s="250">
        <v>28825</v>
      </c>
      <c r="J344" s="252">
        <v>-9.1000000000000004E-3</v>
      </c>
      <c r="K344" s="250">
        <v>9597</v>
      </c>
      <c r="L344" s="250">
        <v>2953</v>
      </c>
      <c r="M344" s="250">
        <v>20774</v>
      </c>
      <c r="N344" s="250">
        <v>4118</v>
      </c>
      <c r="O344" s="250">
        <v>1599</v>
      </c>
      <c r="P344" s="250">
        <v>8051</v>
      </c>
      <c r="Q344" s="253">
        <v>143207</v>
      </c>
      <c r="R344" s="254">
        <v>28.755577087402344</v>
      </c>
      <c r="S344" s="254">
        <v>11.165655136108398</v>
      </c>
      <c r="T344" s="255">
        <v>56.219322204589844</v>
      </c>
    </row>
    <row r="345" spans="2:20">
      <c r="B345" s="256" t="s">
        <v>514</v>
      </c>
      <c r="C345" s="257" t="s">
        <v>282</v>
      </c>
      <c r="D345" s="257" t="s">
        <v>201</v>
      </c>
      <c r="E345" s="258">
        <v>15</v>
      </c>
      <c r="F345" s="258" t="s">
        <v>281</v>
      </c>
      <c r="G345" s="257">
        <v>13715</v>
      </c>
      <c r="H345" s="257">
        <v>4552</v>
      </c>
      <c r="I345" s="257">
        <v>28825</v>
      </c>
      <c r="J345" s="259">
        <v>-9.1000000000000004E-3</v>
      </c>
      <c r="K345" s="257">
        <v>9535</v>
      </c>
      <c r="L345" s="257">
        <v>2941</v>
      </c>
      <c r="M345" s="257">
        <v>20619</v>
      </c>
      <c r="N345" s="257">
        <v>4180</v>
      </c>
      <c r="O345" s="257">
        <v>1611</v>
      </c>
      <c r="P345" s="257">
        <v>8206</v>
      </c>
      <c r="Q345" s="260">
        <v>143207</v>
      </c>
      <c r="R345" s="261">
        <v>29.188516616821289</v>
      </c>
      <c r="S345" s="261">
        <v>11.249449729919434</v>
      </c>
      <c r="T345" s="262">
        <v>57.301666259765625</v>
      </c>
    </row>
    <row r="346" spans="2:20">
      <c r="B346" s="249" t="s">
        <v>514</v>
      </c>
      <c r="C346" s="250" t="s">
        <v>77</v>
      </c>
      <c r="D346" s="250" t="s">
        <v>502</v>
      </c>
      <c r="E346" s="251">
        <v>1</v>
      </c>
      <c r="F346" s="251" t="s">
        <v>281</v>
      </c>
      <c r="G346" s="250">
        <v>13715</v>
      </c>
      <c r="H346" s="250">
        <v>4552</v>
      </c>
      <c r="I346" s="250">
        <v>28825</v>
      </c>
      <c r="J346" s="252">
        <v>-1.0800000000000001E-2</v>
      </c>
      <c r="K346" s="250">
        <v>12064</v>
      </c>
      <c r="L346" s="250">
        <v>3622</v>
      </c>
      <c r="M346" s="250">
        <v>26425</v>
      </c>
      <c r="N346" s="250">
        <v>1651</v>
      </c>
      <c r="O346" s="250">
        <v>930</v>
      </c>
      <c r="P346" s="250">
        <v>2400</v>
      </c>
      <c r="Q346" s="253">
        <v>291952</v>
      </c>
      <c r="R346" s="254">
        <v>5.6550393104553223</v>
      </c>
      <c r="S346" s="254">
        <v>3.185455322265625</v>
      </c>
      <c r="T346" s="255">
        <v>8.2205295562744141</v>
      </c>
    </row>
    <row r="347" spans="2:20">
      <c r="B347" s="249" t="s">
        <v>514</v>
      </c>
      <c r="C347" s="250" t="s">
        <v>77</v>
      </c>
      <c r="D347" s="250" t="s">
        <v>502</v>
      </c>
      <c r="E347" s="251">
        <v>2</v>
      </c>
      <c r="F347" s="251" t="s">
        <v>281</v>
      </c>
      <c r="G347" s="250">
        <v>13715</v>
      </c>
      <c r="H347" s="250">
        <v>4552</v>
      </c>
      <c r="I347" s="250">
        <v>28825</v>
      </c>
      <c r="J347" s="252">
        <v>-1.0800000000000001E-2</v>
      </c>
      <c r="K347" s="250">
        <v>12020</v>
      </c>
      <c r="L347" s="250">
        <v>3620</v>
      </c>
      <c r="M347" s="250">
        <v>26275</v>
      </c>
      <c r="N347" s="250">
        <v>1695</v>
      </c>
      <c r="O347" s="250">
        <v>932</v>
      </c>
      <c r="P347" s="250">
        <v>2550</v>
      </c>
      <c r="Q347" s="253">
        <v>503800</v>
      </c>
      <c r="R347" s="254">
        <v>3.3644301891326904</v>
      </c>
      <c r="S347" s="254">
        <v>1.8499404191970825</v>
      </c>
      <c r="T347" s="255">
        <v>5.0615324974060059</v>
      </c>
    </row>
    <row r="348" spans="2:20">
      <c r="B348" s="249" t="s">
        <v>514</v>
      </c>
      <c r="C348" s="250" t="s">
        <v>77</v>
      </c>
      <c r="D348" s="250" t="s">
        <v>502</v>
      </c>
      <c r="E348" s="251">
        <v>3</v>
      </c>
      <c r="F348" s="251" t="s">
        <v>281</v>
      </c>
      <c r="G348" s="250">
        <v>13715</v>
      </c>
      <c r="H348" s="250">
        <v>4552</v>
      </c>
      <c r="I348" s="250">
        <v>28825</v>
      </c>
      <c r="J348" s="252">
        <v>-1.0800000000000001E-2</v>
      </c>
      <c r="K348" s="250">
        <v>11954</v>
      </c>
      <c r="L348" s="250">
        <v>3594</v>
      </c>
      <c r="M348" s="250">
        <v>26096</v>
      </c>
      <c r="N348" s="250">
        <v>1761</v>
      </c>
      <c r="O348" s="250">
        <v>958</v>
      </c>
      <c r="P348" s="250">
        <v>2729</v>
      </c>
      <c r="Q348" s="253">
        <v>336131</v>
      </c>
      <c r="R348" s="254">
        <v>5.2390289306640625</v>
      </c>
      <c r="S348" s="254">
        <v>2.8500792980194092</v>
      </c>
      <c r="T348" s="255">
        <v>8.1188583374023438</v>
      </c>
    </row>
    <row r="349" spans="2:20">
      <c r="B349" s="249" t="s">
        <v>514</v>
      </c>
      <c r="C349" s="250" t="s">
        <v>77</v>
      </c>
      <c r="D349" s="250" t="s">
        <v>502</v>
      </c>
      <c r="E349" s="251">
        <v>4</v>
      </c>
      <c r="F349" s="251" t="s">
        <v>281</v>
      </c>
      <c r="G349" s="250">
        <v>13715</v>
      </c>
      <c r="H349" s="250">
        <v>4552</v>
      </c>
      <c r="I349" s="250">
        <v>28825</v>
      </c>
      <c r="J349" s="252">
        <v>-1.0800000000000001E-2</v>
      </c>
      <c r="K349" s="250">
        <v>11839</v>
      </c>
      <c r="L349" s="250">
        <v>3591</v>
      </c>
      <c r="M349" s="250">
        <v>25859</v>
      </c>
      <c r="N349" s="250">
        <v>1876</v>
      </c>
      <c r="O349" s="250">
        <v>961</v>
      </c>
      <c r="P349" s="250">
        <v>2966</v>
      </c>
      <c r="Q349" s="253">
        <v>353502</v>
      </c>
      <c r="R349" s="254">
        <v>5.3069005012512207</v>
      </c>
      <c r="S349" s="254">
        <v>2.7185134887695313</v>
      </c>
      <c r="T349" s="255">
        <v>8.3903341293334961</v>
      </c>
    </row>
    <row r="350" spans="2:20">
      <c r="B350" s="249" t="s">
        <v>514</v>
      </c>
      <c r="C350" s="250" t="s">
        <v>77</v>
      </c>
      <c r="D350" s="250" t="s">
        <v>502</v>
      </c>
      <c r="E350" s="251">
        <v>5</v>
      </c>
      <c r="F350" s="251" t="s">
        <v>281</v>
      </c>
      <c r="G350" s="250">
        <v>13715</v>
      </c>
      <c r="H350" s="250">
        <v>4552</v>
      </c>
      <c r="I350" s="250">
        <v>28825</v>
      </c>
      <c r="J350" s="252">
        <v>-1.0800000000000001E-2</v>
      </c>
      <c r="K350" s="250">
        <v>11757</v>
      </c>
      <c r="L350" s="250">
        <v>3560</v>
      </c>
      <c r="M350" s="250">
        <v>25617</v>
      </c>
      <c r="N350" s="250">
        <v>1958</v>
      </c>
      <c r="O350" s="250">
        <v>992</v>
      </c>
      <c r="P350" s="250">
        <v>3208</v>
      </c>
      <c r="Q350" s="253">
        <v>336131</v>
      </c>
      <c r="R350" s="254">
        <v>5.8251099586486816</v>
      </c>
      <c r="S350" s="254">
        <v>2.9512302875518799</v>
      </c>
      <c r="T350" s="255">
        <v>9.5438985824584961</v>
      </c>
    </row>
    <row r="351" spans="2:20">
      <c r="B351" s="249" t="s">
        <v>514</v>
      </c>
      <c r="C351" s="250" t="s">
        <v>77</v>
      </c>
      <c r="D351" s="250" t="s">
        <v>201</v>
      </c>
      <c r="E351" s="251">
        <v>6</v>
      </c>
      <c r="F351" s="251" t="s">
        <v>281</v>
      </c>
      <c r="G351" s="250">
        <v>13715</v>
      </c>
      <c r="H351" s="250">
        <v>4552</v>
      </c>
      <c r="I351" s="250">
        <v>28825</v>
      </c>
      <c r="J351" s="252">
        <v>-8.0000000000000004E-4</v>
      </c>
      <c r="K351" s="250">
        <v>11757</v>
      </c>
      <c r="L351" s="250">
        <v>3560</v>
      </c>
      <c r="M351" s="250">
        <v>25616</v>
      </c>
      <c r="N351" s="250">
        <v>1958</v>
      </c>
      <c r="O351" s="250">
        <v>992</v>
      </c>
      <c r="P351" s="250">
        <v>3209</v>
      </c>
      <c r="Q351" s="253">
        <v>231478</v>
      </c>
      <c r="R351" s="254">
        <v>8.4586868286132813</v>
      </c>
      <c r="S351" s="254">
        <v>4.2855043411254883</v>
      </c>
      <c r="T351" s="255">
        <v>13.863088607788086</v>
      </c>
    </row>
    <row r="352" spans="2:20">
      <c r="B352" s="249" t="s">
        <v>514</v>
      </c>
      <c r="C352" s="250" t="s">
        <v>77</v>
      </c>
      <c r="D352" s="250" t="s">
        <v>201</v>
      </c>
      <c r="E352" s="251">
        <v>7</v>
      </c>
      <c r="F352" s="251" t="s">
        <v>281</v>
      </c>
      <c r="G352" s="250">
        <v>13715</v>
      </c>
      <c r="H352" s="250">
        <v>4552</v>
      </c>
      <c r="I352" s="250">
        <v>28825</v>
      </c>
      <c r="J352" s="252">
        <v>-8.0000000000000004E-4</v>
      </c>
      <c r="K352" s="250">
        <v>11754</v>
      </c>
      <c r="L352" s="250">
        <v>3560</v>
      </c>
      <c r="M352" s="250">
        <v>25585</v>
      </c>
      <c r="N352" s="250">
        <v>1961</v>
      </c>
      <c r="O352" s="250">
        <v>992</v>
      </c>
      <c r="P352" s="250">
        <v>3240</v>
      </c>
      <c r="Q352" s="253">
        <v>177294</v>
      </c>
      <c r="R352" s="254">
        <v>11.060724258422852</v>
      </c>
      <c r="S352" s="254">
        <v>5.5952258110046387</v>
      </c>
      <c r="T352" s="255">
        <v>18.274730682373047</v>
      </c>
    </row>
    <row r="353" spans="2:20">
      <c r="B353" s="249" t="s">
        <v>514</v>
      </c>
      <c r="C353" s="250" t="s">
        <v>77</v>
      </c>
      <c r="D353" s="250" t="s">
        <v>201</v>
      </c>
      <c r="E353" s="251">
        <v>8</v>
      </c>
      <c r="F353" s="251" t="s">
        <v>281</v>
      </c>
      <c r="G353" s="250">
        <v>13715</v>
      </c>
      <c r="H353" s="250">
        <v>4552</v>
      </c>
      <c r="I353" s="250">
        <v>28825</v>
      </c>
      <c r="J353" s="252">
        <v>-8.0000000000000004E-4</v>
      </c>
      <c r="K353" s="250">
        <v>11753</v>
      </c>
      <c r="L353" s="250">
        <v>3560</v>
      </c>
      <c r="M353" s="250">
        <v>25581</v>
      </c>
      <c r="N353" s="250">
        <v>1962</v>
      </c>
      <c r="O353" s="250">
        <v>992</v>
      </c>
      <c r="P353" s="250">
        <v>3244</v>
      </c>
      <c r="Q353" s="253">
        <v>159923</v>
      </c>
      <c r="R353" s="254">
        <v>12.268404006958008</v>
      </c>
      <c r="S353" s="254">
        <v>6.2029852867126465</v>
      </c>
      <c r="T353" s="255">
        <v>20.284763336181641</v>
      </c>
    </row>
    <row r="354" spans="2:20">
      <c r="B354" s="249" t="s">
        <v>514</v>
      </c>
      <c r="C354" s="250" t="s">
        <v>77</v>
      </c>
      <c r="D354" s="250" t="s">
        <v>201</v>
      </c>
      <c r="E354" s="251">
        <v>9</v>
      </c>
      <c r="F354" s="251" t="s">
        <v>281</v>
      </c>
      <c r="G354" s="250">
        <v>13715</v>
      </c>
      <c r="H354" s="250">
        <v>4552</v>
      </c>
      <c r="I354" s="250">
        <v>28825</v>
      </c>
      <c r="J354" s="252">
        <v>-8.0000000000000004E-4</v>
      </c>
      <c r="K354" s="250">
        <v>11731</v>
      </c>
      <c r="L354" s="250">
        <v>3546</v>
      </c>
      <c r="M354" s="250">
        <v>25533</v>
      </c>
      <c r="N354" s="250">
        <v>1984</v>
      </c>
      <c r="O354" s="250">
        <v>1006</v>
      </c>
      <c r="P354" s="250">
        <v>3292</v>
      </c>
      <c r="Q354" s="253">
        <v>159923</v>
      </c>
      <c r="R354" s="254">
        <v>12.405970573425293</v>
      </c>
      <c r="S354" s="254">
        <v>6.29052734375</v>
      </c>
      <c r="T354" s="255">
        <v>20.584907531738281</v>
      </c>
    </row>
    <row r="355" spans="2:20">
      <c r="B355" s="249" t="s">
        <v>514</v>
      </c>
      <c r="C355" s="250" t="s">
        <v>77</v>
      </c>
      <c r="D355" s="250" t="s">
        <v>201</v>
      </c>
      <c r="E355" s="251">
        <v>10</v>
      </c>
      <c r="F355" s="251" t="s">
        <v>281</v>
      </c>
      <c r="G355" s="250">
        <v>13715</v>
      </c>
      <c r="H355" s="250">
        <v>4552</v>
      </c>
      <c r="I355" s="250">
        <v>28825</v>
      </c>
      <c r="J355" s="252">
        <v>-8.0000000000000004E-4</v>
      </c>
      <c r="K355" s="250">
        <v>11723</v>
      </c>
      <c r="L355" s="250">
        <v>3546</v>
      </c>
      <c r="M355" s="250">
        <v>25497</v>
      </c>
      <c r="N355" s="250">
        <v>1992</v>
      </c>
      <c r="O355" s="250">
        <v>1006</v>
      </c>
      <c r="P355" s="250">
        <v>3328</v>
      </c>
      <c r="Q355" s="253">
        <v>177294</v>
      </c>
      <c r="R355" s="254">
        <v>11.235574722290039</v>
      </c>
      <c r="S355" s="254">
        <v>5.6741909980773926</v>
      </c>
      <c r="T355" s="255">
        <v>18.771080017089844</v>
      </c>
    </row>
    <row r="356" spans="2:20">
      <c r="B356" s="249" t="s">
        <v>514</v>
      </c>
      <c r="C356" s="250" t="s">
        <v>77</v>
      </c>
      <c r="D356" s="250" t="s">
        <v>201</v>
      </c>
      <c r="E356" s="251">
        <v>11</v>
      </c>
      <c r="F356" s="251" t="s">
        <v>281</v>
      </c>
      <c r="G356" s="250">
        <v>13715</v>
      </c>
      <c r="H356" s="250">
        <v>4552</v>
      </c>
      <c r="I356" s="250">
        <v>28825</v>
      </c>
      <c r="J356" s="252">
        <v>-8.0000000000000004E-4</v>
      </c>
      <c r="K356" s="250">
        <v>11718</v>
      </c>
      <c r="L356" s="250">
        <v>3541</v>
      </c>
      <c r="M356" s="250">
        <v>25495</v>
      </c>
      <c r="N356" s="250">
        <v>1997</v>
      </c>
      <c r="O356" s="250">
        <v>1011</v>
      </c>
      <c r="P356" s="250">
        <v>3330</v>
      </c>
      <c r="Q356" s="253">
        <v>231478</v>
      </c>
      <c r="R356" s="254">
        <v>8.6271696090698242</v>
      </c>
      <c r="S356" s="254">
        <v>4.3675856590270996</v>
      </c>
      <c r="T356" s="255">
        <v>14.38581657409668</v>
      </c>
    </row>
    <row r="357" spans="2:20">
      <c r="B357" s="249" t="s">
        <v>514</v>
      </c>
      <c r="C357" s="250" t="s">
        <v>77</v>
      </c>
      <c r="D357" s="250" t="s">
        <v>201</v>
      </c>
      <c r="E357" s="251">
        <v>12</v>
      </c>
      <c r="F357" s="251" t="s">
        <v>281</v>
      </c>
      <c r="G357" s="250">
        <v>13715</v>
      </c>
      <c r="H357" s="250">
        <v>4552</v>
      </c>
      <c r="I357" s="250">
        <v>28825</v>
      </c>
      <c r="J357" s="252">
        <v>-8.0000000000000004E-4</v>
      </c>
      <c r="K357" s="250">
        <v>11718</v>
      </c>
      <c r="L357" s="250">
        <v>3541</v>
      </c>
      <c r="M357" s="250">
        <v>25490</v>
      </c>
      <c r="N357" s="250">
        <v>1997</v>
      </c>
      <c r="O357" s="250">
        <v>1011</v>
      </c>
      <c r="P357" s="250">
        <v>3335</v>
      </c>
      <c r="Q357" s="253">
        <v>159923</v>
      </c>
      <c r="R357" s="254">
        <v>12.487259864807129</v>
      </c>
      <c r="S357" s="254">
        <v>6.3217926025390625</v>
      </c>
      <c r="T357" s="255">
        <v>20.853786468505859</v>
      </c>
    </row>
    <row r="358" spans="2:20">
      <c r="B358" s="249" t="s">
        <v>514</v>
      </c>
      <c r="C358" s="250" t="s">
        <v>77</v>
      </c>
      <c r="D358" s="250" t="s">
        <v>201</v>
      </c>
      <c r="E358" s="251">
        <v>13</v>
      </c>
      <c r="F358" s="251" t="s">
        <v>281</v>
      </c>
      <c r="G358" s="250">
        <v>13715</v>
      </c>
      <c r="H358" s="250">
        <v>4552</v>
      </c>
      <c r="I358" s="250">
        <v>28825</v>
      </c>
      <c r="J358" s="252">
        <v>-8.0000000000000004E-4</v>
      </c>
      <c r="K358" s="250">
        <v>11717</v>
      </c>
      <c r="L358" s="250">
        <v>3540</v>
      </c>
      <c r="M358" s="250">
        <v>25464</v>
      </c>
      <c r="N358" s="250">
        <v>1998</v>
      </c>
      <c r="O358" s="250">
        <v>1012</v>
      </c>
      <c r="P358" s="250">
        <v>3361</v>
      </c>
      <c r="Q358" s="253">
        <v>177294</v>
      </c>
      <c r="R358" s="254">
        <v>11.269416809082031</v>
      </c>
      <c r="S358" s="254">
        <v>5.7080326080322266</v>
      </c>
      <c r="T358" s="255">
        <v>18.957212448120117</v>
      </c>
    </row>
    <row r="359" spans="2:20">
      <c r="B359" s="249" t="s">
        <v>514</v>
      </c>
      <c r="C359" s="250" t="s">
        <v>77</v>
      </c>
      <c r="D359" s="250" t="s">
        <v>201</v>
      </c>
      <c r="E359" s="251">
        <v>14</v>
      </c>
      <c r="F359" s="251" t="s">
        <v>281</v>
      </c>
      <c r="G359" s="250">
        <v>13715</v>
      </c>
      <c r="H359" s="250">
        <v>4552</v>
      </c>
      <c r="I359" s="250">
        <v>28825</v>
      </c>
      <c r="J359" s="252">
        <v>-8.0000000000000004E-4</v>
      </c>
      <c r="K359" s="250">
        <v>11716</v>
      </c>
      <c r="L359" s="250">
        <v>3540</v>
      </c>
      <c r="M359" s="250">
        <v>25458</v>
      </c>
      <c r="N359" s="250">
        <v>1999</v>
      </c>
      <c r="O359" s="250">
        <v>1012</v>
      </c>
      <c r="P359" s="250">
        <v>3367</v>
      </c>
      <c r="Q359" s="253">
        <v>159923</v>
      </c>
      <c r="R359" s="254">
        <v>12.499765396118164</v>
      </c>
      <c r="S359" s="254">
        <v>6.3280453681945801</v>
      </c>
      <c r="T359" s="255">
        <v>21.053882598876953</v>
      </c>
    </row>
    <row r="360" spans="2:20">
      <c r="B360" s="256" t="s">
        <v>514</v>
      </c>
      <c r="C360" s="257" t="s">
        <v>77</v>
      </c>
      <c r="D360" s="257" t="s">
        <v>201</v>
      </c>
      <c r="E360" s="258">
        <v>15</v>
      </c>
      <c r="F360" s="258" t="s">
        <v>281</v>
      </c>
      <c r="G360" s="257">
        <v>13715</v>
      </c>
      <c r="H360" s="257">
        <v>4552</v>
      </c>
      <c r="I360" s="257">
        <v>28825</v>
      </c>
      <c r="J360" s="259">
        <v>-8.0000000000000004E-4</v>
      </c>
      <c r="K360" s="257">
        <v>11712</v>
      </c>
      <c r="L360" s="257">
        <v>3540</v>
      </c>
      <c r="M360" s="257">
        <v>25458</v>
      </c>
      <c r="N360" s="257">
        <v>2003</v>
      </c>
      <c r="O360" s="257">
        <v>1012</v>
      </c>
      <c r="P360" s="257">
        <v>3367</v>
      </c>
      <c r="Q360" s="260">
        <v>159923</v>
      </c>
      <c r="R360" s="261">
        <v>12.524777412414551</v>
      </c>
      <c r="S360" s="261">
        <v>6.3280453681945801</v>
      </c>
      <c r="T360" s="262">
        <v>21.053882598876953</v>
      </c>
    </row>
    <row r="361" spans="2:20">
      <c r="B361" s="249" t="s">
        <v>514</v>
      </c>
      <c r="C361" s="250" t="s">
        <v>121</v>
      </c>
      <c r="D361" s="250" t="s">
        <v>502</v>
      </c>
      <c r="E361" s="251">
        <v>1</v>
      </c>
      <c r="F361" s="251" t="s">
        <v>281</v>
      </c>
      <c r="G361" s="250">
        <v>13715</v>
      </c>
      <c r="H361" s="250">
        <v>4552</v>
      </c>
      <c r="I361" s="250">
        <v>28825</v>
      </c>
      <c r="J361" s="252">
        <v>-0.02</v>
      </c>
      <c r="K361" s="250">
        <v>12026</v>
      </c>
      <c r="L361" s="250">
        <v>3622</v>
      </c>
      <c r="M361" s="250">
        <v>26302</v>
      </c>
      <c r="N361" s="250">
        <v>1689</v>
      </c>
      <c r="O361" s="250">
        <v>930</v>
      </c>
      <c r="P361" s="250">
        <v>2523</v>
      </c>
      <c r="Q361" s="253">
        <v>133969</v>
      </c>
      <c r="R361" s="254">
        <v>12.607394218444824</v>
      </c>
      <c r="S361" s="254">
        <v>6.9419045448303223</v>
      </c>
      <c r="T361" s="255">
        <v>18.83271598815918</v>
      </c>
    </row>
    <row r="362" spans="2:20">
      <c r="B362" s="249" t="s">
        <v>514</v>
      </c>
      <c r="C362" s="250" t="s">
        <v>121</v>
      </c>
      <c r="D362" s="250" t="s">
        <v>502</v>
      </c>
      <c r="E362" s="251">
        <v>2</v>
      </c>
      <c r="F362" s="251" t="s">
        <v>281</v>
      </c>
      <c r="G362" s="250">
        <v>13715</v>
      </c>
      <c r="H362" s="250">
        <v>4552</v>
      </c>
      <c r="I362" s="250">
        <v>28825</v>
      </c>
      <c r="J362" s="252">
        <v>-0.02</v>
      </c>
      <c r="K362" s="250">
        <v>11889</v>
      </c>
      <c r="L362" s="250">
        <v>3592</v>
      </c>
      <c r="M362" s="250">
        <v>25915</v>
      </c>
      <c r="N362" s="250">
        <v>1826</v>
      </c>
      <c r="O362" s="250">
        <v>960</v>
      </c>
      <c r="P362" s="250">
        <v>2910</v>
      </c>
      <c r="Q362" s="253">
        <v>273304</v>
      </c>
      <c r="R362" s="254">
        <v>6.6812047958374023</v>
      </c>
      <c r="S362" s="254">
        <v>3.5125720500946045</v>
      </c>
      <c r="T362" s="255">
        <v>10.647483825683594</v>
      </c>
    </row>
    <row r="363" spans="2:20">
      <c r="B363" s="249" t="s">
        <v>514</v>
      </c>
      <c r="C363" s="250" t="s">
        <v>121</v>
      </c>
      <c r="D363" s="250" t="s">
        <v>502</v>
      </c>
      <c r="E363" s="251">
        <v>3</v>
      </c>
      <c r="F363" s="251" t="s">
        <v>281</v>
      </c>
      <c r="G363" s="250">
        <v>13715</v>
      </c>
      <c r="H363" s="250">
        <v>4552</v>
      </c>
      <c r="I363" s="250">
        <v>28825</v>
      </c>
      <c r="J363" s="252">
        <v>-0.02</v>
      </c>
      <c r="K363" s="250">
        <v>11718</v>
      </c>
      <c r="L363" s="250">
        <v>3541</v>
      </c>
      <c r="M363" s="250">
        <v>25480</v>
      </c>
      <c r="N363" s="250">
        <v>1997</v>
      </c>
      <c r="O363" s="250">
        <v>1011</v>
      </c>
      <c r="P363" s="250">
        <v>3345</v>
      </c>
      <c r="Q363" s="253">
        <v>170998</v>
      </c>
      <c r="R363" s="254">
        <v>11.678499221801758</v>
      </c>
      <c r="S363" s="254">
        <v>5.9123501777648926</v>
      </c>
      <c r="T363" s="255">
        <v>19.56163215637207</v>
      </c>
    </row>
    <row r="364" spans="2:20">
      <c r="B364" s="249" t="s">
        <v>514</v>
      </c>
      <c r="C364" s="250" t="s">
        <v>121</v>
      </c>
      <c r="D364" s="250" t="s">
        <v>502</v>
      </c>
      <c r="E364" s="251">
        <v>4</v>
      </c>
      <c r="F364" s="251" t="s">
        <v>281</v>
      </c>
      <c r="G364" s="250">
        <v>13715</v>
      </c>
      <c r="H364" s="250">
        <v>4552</v>
      </c>
      <c r="I364" s="250">
        <v>28825</v>
      </c>
      <c r="J364" s="252">
        <v>-0.02</v>
      </c>
      <c r="K364" s="250">
        <v>11510</v>
      </c>
      <c r="L364" s="250">
        <v>3496</v>
      </c>
      <c r="M364" s="250">
        <v>24916</v>
      </c>
      <c r="N364" s="250">
        <v>2205</v>
      </c>
      <c r="O364" s="250">
        <v>1056</v>
      </c>
      <c r="P364" s="250">
        <v>3909</v>
      </c>
      <c r="Q364" s="253">
        <v>170998</v>
      </c>
      <c r="R364" s="254">
        <v>12.894887924194336</v>
      </c>
      <c r="S364" s="254">
        <v>6.1755108833312988</v>
      </c>
      <c r="T364" s="255">
        <v>22.859916687011719</v>
      </c>
    </row>
    <row r="365" spans="2:20">
      <c r="B365" s="249" t="s">
        <v>514</v>
      </c>
      <c r="C365" s="250" t="s">
        <v>121</v>
      </c>
      <c r="D365" s="250" t="s">
        <v>502</v>
      </c>
      <c r="E365" s="251">
        <v>5</v>
      </c>
      <c r="F365" s="251" t="s">
        <v>281</v>
      </c>
      <c r="G365" s="250">
        <v>13715</v>
      </c>
      <c r="H365" s="250">
        <v>4552</v>
      </c>
      <c r="I365" s="250">
        <v>28825</v>
      </c>
      <c r="J365" s="252">
        <v>-0.02</v>
      </c>
      <c r="K365" s="250">
        <v>11309</v>
      </c>
      <c r="L365" s="250">
        <v>3456</v>
      </c>
      <c r="M365" s="250">
        <v>24505</v>
      </c>
      <c r="N365" s="250">
        <v>2406</v>
      </c>
      <c r="O365" s="250">
        <v>1096</v>
      </c>
      <c r="P365" s="250">
        <v>4320</v>
      </c>
      <c r="Q365" s="253">
        <v>170998</v>
      </c>
      <c r="R365" s="254">
        <v>14.070340156555176</v>
      </c>
      <c r="S365" s="254">
        <v>6.4094319343566895</v>
      </c>
      <c r="T365" s="255">
        <v>25.263452529907227</v>
      </c>
    </row>
    <row r="366" spans="2:20">
      <c r="B366" s="249" t="s">
        <v>514</v>
      </c>
      <c r="C366" s="250" t="s">
        <v>121</v>
      </c>
      <c r="D366" s="250" t="s">
        <v>201</v>
      </c>
      <c r="E366" s="251">
        <v>6</v>
      </c>
      <c r="F366" s="251" t="s">
        <v>281</v>
      </c>
      <c r="G366" s="250">
        <v>13715</v>
      </c>
      <c r="H366" s="250">
        <v>4552</v>
      </c>
      <c r="I366" s="250">
        <v>28825</v>
      </c>
      <c r="J366" s="252">
        <v>-2E-3</v>
      </c>
      <c r="K366" s="250">
        <v>11294</v>
      </c>
      <c r="L366" s="250">
        <v>3456</v>
      </c>
      <c r="M366" s="250">
        <v>24461</v>
      </c>
      <c r="N366" s="250">
        <v>2421</v>
      </c>
      <c r="O366" s="250">
        <v>1096</v>
      </c>
      <c r="P366" s="250">
        <v>4364</v>
      </c>
      <c r="Q366" s="253">
        <v>123966</v>
      </c>
      <c r="R366" s="254">
        <v>19.529546737670898</v>
      </c>
      <c r="S366" s="254">
        <v>8.8411340713500977</v>
      </c>
      <c r="T366" s="255">
        <v>35.203201293945313</v>
      </c>
    </row>
    <row r="367" spans="2:20">
      <c r="B367" s="249" t="s">
        <v>514</v>
      </c>
      <c r="C367" s="250" t="s">
        <v>121</v>
      </c>
      <c r="D367" s="250" t="s">
        <v>201</v>
      </c>
      <c r="E367" s="251">
        <v>7</v>
      </c>
      <c r="F367" s="251" t="s">
        <v>281</v>
      </c>
      <c r="G367" s="250">
        <v>13715</v>
      </c>
      <c r="H367" s="250">
        <v>4552</v>
      </c>
      <c r="I367" s="250">
        <v>28825</v>
      </c>
      <c r="J367" s="252">
        <v>-2E-3</v>
      </c>
      <c r="K367" s="250">
        <v>11292</v>
      </c>
      <c r="L367" s="250">
        <v>3456</v>
      </c>
      <c r="M367" s="250">
        <v>24446</v>
      </c>
      <c r="N367" s="250">
        <v>2423</v>
      </c>
      <c r="O367" s="250">
        <v>1096</v>
      </c>
      <c r="P367" s="250">
        <v>4379</v>
      </c>
      <c r="Q367" s="253">
        <v>93727</v>
      </c>
      <c r="R367" s="254">
        <v>25.851676940917969</v>
      </c>
      <c r="S367" s="254">
        <v>11.693535804748535</v>
      </c>
      <c r="T367" s="255">
        <v>46.720794677734375</v>
      </c>
    </row>
    <row r="368" spans="2:20">
      <c r="B368" s="249" t="s">
        <v>514</v>
      </c>
      <c r="C368" s="250" t="s">
        <v>121</v>
      </c>
      <c r="D368" s="250" t="s">
        <v>201</v>
      </c>
      <c r="E368" s="251">
        <v>8</v>
      </c>
      <c r="F368" s="251" t="s">
        <v>281</v>
      </c>
      <c r="G368" s="250">
        <v>13715</v>
      </c>
      <c r="H368" s="250">
        <v>4552</v>
      </c>
      <c r="I368" s="250">
        <v>28825</v>
      </c>
      <c r="J368" s="252">
        <v>-2E-3</v>
      </c>
      <c r="K368" s="250">
        <v>11216</v>
      </c>
      <c r="L368" s="250">
        <v>3420</v>
      </c>
      <c r="M368" s="250">
        <v>24369</v>
      </c>
      <c r="N368" s="250">
        <v>2499</v>
      </c>
      <c r="O368" s="250">
        <v>1132</v>
      </c>
      <c r="P368" s="250">
        <v>4456</v>
      </c>
      <c r="Q368" s="253">
        <v>93727</v>
      </c>
      <c r="R368" s="254">
        <v>26.662542343139648</v>
      </c>
      <c r="S368" s="254">
        <v>12.077629089355469</v>
      </c>
      <c r="T368" s="255">
        <v>47.542331695556641</v>
      </c>
    </row>
    <row r="369" spans="2:20">
      <c r="B369" s="249" t="s">
        <v>514</v>
      </c>
      <c r="C369" s="250" t="s">
        <v>121</v>
      </c>
      <c r="D369" s="250" t="s">
        <v>201</v>
      </c>
      <c r="E369" s="251">
        <v>9</v>
      </c>
      <c r="F369" s="251" t="s">
        <v>281</v>
      </c>
      <c r="G369" s="250">
        <v>13715</v>
      </c>
      <c r="H369" s="250">
        <v>4552</v>
      </c>
      <c r="I369" s="250">
        <v>28825</v>
      </c>
      <c r="J369" s="252">
        <v>-2E-3</v>
      </c>
      <c r="K369" s="250">
        <v>11215</v>
      </c>
      <c r="L369" s="250">
        <v>3419</v>
      </c>
      <c r="M369" s="250">
        <v>24357</v>
      </c>
      <c r="N369" s="250">
        <v>2500</v>
      </c>
      <c r="O369" s="250">
        <v>1133</v>
      </c>
      <c r="P369" s="250">
        <v>4468</v>
      </c>
      <c r="Q369" s="253">
        <v>93727</v>
      </c>
      <c r="R369" s="254">
        <v>26.673210144042969</v>
      </c>
      <c r="S369" s="254">
        <v>12.088298797607422</v>
      </c>
      <c r="T369" s="255">
        <v>47.670360565185547</v>
      </c>
    </row>
    <row r="370" spans="2:20">
      <c r="B370" s="249" t="s">
        <v>514</v>
      </c>
      <c r="C370" s="250" t="s">
        <v>121</v>
      </c>
      <c r="D370" s="250" t="s">
        <v>201</v>
      </c>
      <c r="E370" s="251">
        <v>10</v>
      </c>
      <c r="F370" s="251" t="s">
        <v>281</v>
      </c>
      <c r="G370" s="250">
        <v>13715</v>
      </c>
      <c r="H370" s="250">
        <v>4552</v>
      </c>
      <c r="I370" s="250">
        <v>28825</v>
      </c>
      <c r="J370" s="252">
        <v>-2E-3</v>
      </c>
      <c r="K370" s="250">
        <v>11214</v>
      </c>
      <c r="L370" s="250">
        <v>3418</v>
      </c>
      <c r="M370" s="250">
        <v>24311</v>
      </c>
      <c r="N370" s="250">
        <v>2501</v>
      </c>
      <c r="O370" s="250">
        <v>1134</v>
      </c>
      <c r="P370" s="250">
        <v>4514</v>
      </c>
      <c r="Q370" s="253">
        <v>93727</v>
      </c>
      <c r="R370" s="254">
        <v>26.683879852294922</v>
      </c>
      <c r="S370" s="254">
        <v>12.098968505859375</v>
      </c>
      <c r="T370" s="255">
        <v>48.161148071289063</v>
      </c>
    </row>
    <row r="371" spans="2:20">
      <c r="B371" s="249" t="s">
        <v>514</v>
      </c>
      <c r="C371" s="250" t="s">
        <v>121</v>
      </c>
      <c r="D371" s="250" t="s">
        <v>201</v>
      </c>
      <c r="E371" s="251">
        <v>11</v>
      </c>
      <c r="F371" s="251" t="s">
        <v>281</v>
      </c>
      <c r="G371" s="250">
        <v>13715</v>
      </c>
      <c r="H371" s="250">
        <v>4552</v>
      </c>
      <c r="I371" s="250">
        <v>28825</v>
      </c>
      <c r="J371" s="252">
        <v>-2E-3</v>
      </c>
      <c r="K371" s="250">
        <v>11199</v>
      </c>
      <c r="L371" s="250">
        <v>3407</v>
      </c>
      <c r="M371" s="250">
        <v>24273</v>
      </c>
      <c r="N371" s="250">
        <v>2516</v>
      </c>
      <c r="O371" s="250">
        <v>1145</v>
      </c>
      <c r="P371" s="250">
        <v>4552</v>
      </c>
      <c r="Q371" s="253">
        <v>123966</v>
      </c>
      <c r="R371" s="254">
        <v>20.295888900756836</v>
      </c>
      <c r="S371" s="254">
        <v>9.2364034652709961</v>
      </c>
      <c r="T371" s="255">
        <v>36.719745635986328</v>
      </c>
    </row>
    <row r="372" spans="2:20">
      <c r="B372" s="249" t="s">
        <v>514</v>
      </c>
      <c r="C372" s="250" t="s">
        <v>121</v>
      </c>
      <c r="D372" s="250" t="s">
        <v>201</v>
      </c>
      <c r="E372" s="251">
        <v>12</v>
      </c>
      <c r="F372" s="251" t="s">
        <v>281</v>
      </c>
      <c r="G372" s="250">
        <v>13715</v>
      </c>
      <c r="H372" s="250">
        <v>4552</v>
      </c>
      <c r="I372" s="250">
        <v>28825</v>
      </c>
      <c r="J372" s="252">
        <v>-2E-3</v>
      </c>
      <c r="K372" s="250">
        <v>11194</v>
      </c>
      <c r="L372" s="250">
        <v>3407</v>
      </c>
      <c r="M372" s="250">
        <v>24200</v>
      </c>
      <c r="N372" s="250">
        <v>2521</v>
      </c>
      <c r="O372" s="250">
        <v>1145</v>
      </c>
      <c r="P372" s="250">
        <v>4625</v>
      </c>
      <c r="Q372" s="253">
        <v>93727</v>
      </c>
      <c r="R372" s="254">
        <v>26.89726448059082</v>
      </c>
      <c r="S372" s="254">
        <v>12.216330528259277</v>
      </c>
      <c r="T372" s="255">
        <v>49.345439910888672</v>
      </c>
    </row>
    <row r="373" spans="2:20">
      <c r="B373" s="249" t="s">
        <v>514</v>
      </c>
      <c r="C373" s="250" t="s">
        <v>121</v>
      </c>
      <c r="D373" s="250" t="s">
        <v>201</v>
      </c>
      <c r="E373" s="251">
        <v>13</v>
      </c>
      <c r="F373" s="251" t="s">
        <v>281</v>
      </c>
      <c r="G373" s="250">
        <v>13715</v>
      </c>
      <c r="H373" s="250">
        <v>4552</v>
      </c>
      <c r="I373" s="250">
        <v>28825</v>
      </c>
      <c r="J373" s="252">
        <v>-2E-3</v>
      </c>
      <c r="K373" s="250">
        <v>11181</v>
      </c>
      <c r="L373" s="250">
        <v>3407</v>
      </c>
      <c r="M373" s="250">
        <v>24186</v>
      </c>
      <c r="N373" s="250">
        <v>2534</v>
      </c>
      <c r="O373" s="250">
        <v>1145</v>
      </c>
      <c r="P373" s="250">
        <v>4639</v>
      </c>
      <c r="Q373" s="253">
        <v>93727</v>
      </c>
      <c r="R373" s="254">
        <v>27.035966873168945</v>
      </c>
      <c r="S373" s="254">
        <v>12.216330528259277</v>
      </c>
      <c r="T373" s="255">
        <v>49.49481201171875</v>
      </c>
    </row>
    <row r="374" spans="2:20">
      <c r="B374" s="249" t="s">
        <v>514</v>
      </c>
      <c r="C374" s="250" t="s">
        <v>121</v>
      </c>
      <c r="D374" s="250" t="s">
        <v>201</v>
      </c>
      <c r="E374" s="251">
        <v>14</v>
      </c>
      <c r="F374" s="251" t="s">
        <v>281</v>
      </c>
      <c r="G374" s="250">
        <v>13715</v>
      </c>
      <c r="H374" s="250">
        <v>4552</v>
      </c>
      <c r="I374" s="250">
        <v>28825</v>
      </c>
      <c r="J374" s="252">
        <v>-2E-3</v>
      </c>
      <c r="K374" s="250">
        <v>11094</v>
      </c>
      <c r="L374" s="250">
        <v>3387</v>
      </c>
      <c r="M374" s="250">
        <v>24019</v>
      </c>
      <c r="N374" s="250">
        <v>2621</v>
      </c>
      <c r="O374" s="250">
        <v>1165</v>
      </c>
      <c r="P374" s="250">
        <v>4806</v>
      </c>
      <c r="Q374" s="253">
        <v>93727</v>
      </c>
      <c r="R374" s="254">
        <v>27.964193344116211</v>
      </c>
      <c r="S374" s="254">
        <v>12.429716110229492</v>
      </c>
      <c r="T374" s="255">
        <v>51.276580810546875</v>
      </c>
    </row>
    <row r="375" spans="2:20">
      <c r="B375" s="256" t="s">
        <v>514</v>
      </c>
      <c r="C375" s="257" t="s">
        <v>121</v>
      </c>
      <c r="D375" s="257" t="s">
        <v>201</v>
      </c>
      <c r="E375" s="258">
        <v>15</v>
      </c>
      <c r="F375" s="258" t="s">
        <v>281</v>
      </c>
      <c r="G375" s="257">
        <v>13715</v>
      </c>
      <c r="H375" s="257">
        <v>4552</v>
      </c>
      <c r="I375" s="257">
        <v>28825</v>
      </c>
      <c r="J375" s="259">
        <v>-2E-3</v>
      </c>
      <c r="K375" s="257">
        <v>11080</v>
      </c>
      <c r="L375" s="257">
        <v>3387</v>
      </c>
      <c r="M375" s="257">
        <v>23980</v>
      </c>
      <c r="N375" s="257">
        <v>2635</v>
      </c>
      <c r="O375" s="257">
        <v>1165</v>
      </c>
      <c r="P375" s="257">
        <v>4845</v>
      </c>
      <c r="Q375" s="260">
        <v>93727</v>
      </c>
      <c r="R375" s="261">
        <v>28.113563537597656</v>
      </c>
      <c r="S375" s="261">
        <v>12.429716110229492</v>
      </c>
      <c r="T375" s="262">
        <v>51.692684173583984</v>
      </c>
    </row>
    <row r="376" spans="2:20">
      <c r="B376" s="249" t="s">
        <v>514</v>
      </c>
      <c r="C376" s="250" t="s">
        <v>122</v>
      </c>
      <c r="D376" s="250" t="s">
        <v>502</v>
      </c>
      <c r="E376" s="251">
        <v>1</v>
      </c>
      <c r="F376" s="251" t="s">
        <v>281</v>
      </c>
      <c r="G376" s="250">
        <v>13715</v>
      </c>
      <c r="H376" s="250">
        <v>4552</v>
      </c>
      <c r="I376" s="250">
        <v>28825</v>
      </c>
      <c r="J376" s="252">
        <v>-1.2E-2</v>
      </c>
      <c r="K376" s="250">
        <v>12055</v>
      </c>
      <c r="L376" s="250">
        <v>3622</v>
      </c>
      <c r="M376" s="250">
        <v>26419</v>
      </c>
      <c r="N376" s="250">
        <v>1660</v>
      </c>
      <c r="O376" s="250">
        <v>930</v>
      </c>
      <c r="P376" s="250">
        <v>2406</v>
      </c>
      <c r="Q376" s="253">
        <v>131759</v>
      </c>
      <c r="R376" s="254">
        <v>12.598759651184082</v>
      </c>
      <c r="S376" s="254">
        <v>7.0583415031433105</v>
      </c>
      <c r="T376" s="255">
        <v>18.260612487792969</v>
      </c>
    </row>
    <row r="377" spans="2:20">
      <c r="B377" s="249" t="s">
        <v>514</v>
      </c>
      <c r="C377" s="250" t="s">
        <v>122</v>
      </c>
      <c r="D377" s="250" t="s">
        <v>502</v>
      </c>
      <c r="E377" s="251">
        <v>2</v>
      </c>
      <c r="F377" s="251" t="s">
        <v>281</v>
      </c>
      <c r="G377" s="250">
        <v>13715</v>
      </c>
      <c r="H377" s="250">
        <v>4552</v>
      </c>
      <c r="I377" s="250">
        <v>28825</v>
      </c>
      <c r="J377" s="252">
        <v>-1.2E-2</v>
      </c>
      <c r="K377" s="250">
        <v>11994</v>
      </c>
      <c r="L377" s="250">
        <v>3612</v>
      </c>
      <c r="M377" s="250">
        <v>26201</v>
      </c>
      <c r="N377" s="250">
        <v>1721</v>
      </c>
      <c r="O377" s="250">
        <v>940</v>
      </c>
      <c r="P377" s="250">
        <v>2624</v>
      </c>
      <c r="Q377" s="253">
        <v>273529</v>
      </c>
      <c r="R377" s="254">
        <v>6.291837215423584</v>
      </c>
      <c r="S377" s="254">
        <v>3.4365642070770264</v>
      </c>
      <c r="T377" s="255">
        <v>9.5931329727172852</v>
      </c>
    </row>
    <row r="378" spans="2:20">
      <c r="B378" s="249" t="s">
        <v>514</v>
      </c>
      <c r="C378" s="250" t="s">
        <v>122</v>
      </c>
      <c r="D378" s="250" t="s">
        <v>502</v>
      </c>
      <c r="E378" s="251">
        <v>3</v>
      </c>
      <c r="F378" s="251" t="s">
        <v>281</v>
      </c>
      <c r="G378" s="250">
        <v>13715</v>
      </c>
      <c r="H378" s="250">
        <v>4552</v>
      </c>
      <c r="I378" s="250">
        <v>28825</v>
      </c>
      <c r="J378" s="252">
        <v>-1.2E-2</v>
      </c>
      <c r="K378" s="250">
        <v>11923</v>
      </c>
      <c r="L378" s="250">
        <v>3593</v>
      </c>
      <c r="M378" s="250">
        <v>26017</v>
      </c>
      <c r="N378" s="250">
        <v>1792</v>
      </c>
      <c r="O378" s="250">
        <v>959</v>
      </c>
      <c r="P378" s="250">
        <v>2808</v>
      </c>
      <c r="Q378" s="253">
        <v>174910</v>
      </c>
      <c r="R378" s="254">
        <v>10.245268821716309</v>
      </c>
      <c r="S378" s="254">
        <v>5.4828200340270996</v>
      </c>
      <c r="T378" s="255">
        <v>16.053970336914063</v>
      </c>
    </row>
    <row r="379" spans="2:20">
      <c r="B379" s="249" t="s">
        <v>514</v>
      </c>
      <c r="C379" s="250" t="s">
        <v>122</v>
      </c>
      <c r="D379" s="250" t="s">
        <v>502</v>
      </c>
      <c r="E379" s="251">
        <v>4</v>
      </c>
      <c r="F379" s="251" t="s">
        <v>281</v>
      </c>
      <c r="G379" s="250">
        <v>13715</v>
      </c>
      <c r="H379" s="250">
        <v>4552</v>
      </c>
      <c r="I379" s="250">
        <v>28825</v>
      </c>
      <c r="J379" s="252">
        <v>-1.2E-2</v>
      </c>
      <c r="K379" s="250">
        <v>11815</v>
      </c>
      <c r="L379" s="250">
        <v>3572</v>
      </c>
      <c r="M379" s="250">
        <v>25777</v>
      </c>
      <c r="N379" s="250">
        <v>1900</v>
      </c>
      <c r="O379" s="250">
        <v>980</v>
      </c>
      <c r="P379" s="250">
        <v>3048</v>
      </c>
      <c r="Q379" s="253">
        <v>174910</v>
      </c>
      <c r="R379" s="254">
        <v>10.862729072570801</v>
      </c>
      <c r="S379" s="254">
        <v>5.6028814315795898</v>
      </c>
      <c r="T379" s="255">
        <v>17.426105499267578</v>
      </c>
    </row>
    <row r="380" spans="2:20">
      <c r="B380" s="249" t="s">
        <v>514</v>
      </c>
      <c r="C380" s="250" t="s">
        <v>122</v>
      </c>
      <c r="D380" s="250" t="s">
        <v>502</v>
      </c>
      <c r="E380" s="251">
        <v>5</v>
      </c>
      <c r="F380" s="251" t="s">
        <v>281</v>
      </c>
      <c r="G380" s="250">
        <v>13715</v>
      </c>
      <c r="H380" s="250">
        <v>4552</v>
      </c>
      <c r="I380" s="250">
        <v>28825</v>
      </c>
      <c r="J380" s="252">
        <v>-1.2E-2</v>
      </c>
      <c r="K380" s="250">
        <v>11718</v>
      </c>
      <c r="L380" s="250">
        <v>3541</v>
      </c>
      <c r="M380" s="250">
        <v>25480</v>
      </c>
      <c r="N380" s="250">
        <v>1997</v>
      </c>
      <c r="O380" s="250">
        <v>1011</v>
      </c>
      <c r="P380" s="250">
        <v>3345</v>
      </c>
      <c r="Q380" s="253">
        <v>174910</v>
      </c>
      <c r="R380" s="254">
        <v>11.417300224304199</v>
      </c>
      <c r="S380" s="254">
        <v>5.7801151275634766</v>
      </c>
      <c r="T380" s="255">
        <v>19.124120712280273</v>
      </c>
    </row>
    <row r="381" spans="2:20">
      <c r="B381" s="249" t="s">
        <v>514</v>
      </c>
      <c r="C381" s="250" t="s">
        <v>122</v>
      </c>
      <c r="D381" s="250" t="s">
        <v>201</v>
      </c>
      <c r="E381" s="251">
        <v>6</v>
      </c>
      <c r="F381" s="251" t="s">
        <v>281</v>
      </c>
      <c r="G381" s="250">
        <v>13715</v>
      </c>
      <c r="H381" s="250">
        <v>4552</v>
      </c>
      <c r="I381" s="250">
        <v>28825</v>
      </c>
      <c r="J381" s="252">
        <v>-3.0000000000000001E-3</v>
      </c>
      <c r="K381" s="250">
        <v>11698</v>
      </c>
      <c r="L381" s="250">
        <v>3538</v>
      </c>
      <c r="M381" s="250">
        <v>25442</v>
      </c>
      <c r="N381" s="250">
        <v>2017</v>
      </c>
      <c r="O381" s="250">
        <v>1014</v>
      </c>
      <c r="P381" s="250">
        <v>3383</v>
      </c>
      <c r="Q381" s="253">
        <v>117911</v>
      </c>
      <c r="R381" s="254">
        <v>17.106122970581055</v>
      </c>
      <c r="S381" s="254">
        <v>8.5997066497802734</v>
      </c>
      <c r="T381" s="255">
        <v>28.691131591796875</v>
      </c>
    </row>
    <row r="382" spans="2:20">
      <c r="B382" s="249" t="s">
        <v>514</v>
      </c>
      <c r="C382" s="250" t="s">
        <v>122</v>
      </c>
      <c r="D382" s="250" t="s">
        <v>201</v>
      </c>
      <c r="E382" s="251">
        <v>7</v>
      </c>
      <c r="F382" s="251" t="s">
        <v>281</v>
      </c>
      <c r="G382" s="250">
        <v>13715</v>
      </c>
      <c r="H382" s="250">
        <v>4552</v>
      </c>
      <c r="I382" s="250">
        <v>28825</v>
      </c>
      <c r="J382" s="252">
        <v>-3.0000000000000001E-3</v>
      </c>
      <c r="K382" s="250">
        <v>11677</v>
      </c>
      <c r="L382" s="250">
        <v>3528</v>
      </c>
      <c r="M382" s="250">
        <v>25389</v>
      </c>
      <c r="N382" s="250">
        <v>2038</v>
      </c>
      <c r="O382" s="250">
        <v>1024</v>
      </c>
      <c r="P382" s="250">
        <v>3436</v>
      </c>
      <c r="Q382" s="253">
        <v>90500</v>
      </c>
      <c r="R382" s="254">
        <v>22.519336700439453</v>
      </c>
      <c r="S382" s="254">
        <v>11.31491756439209</v>
      </c>
      <c r="T382" s="255">
        <v>37.966850280761719</v>
      </c>
    </row>
    <row r="383" spans="2:20">
      <c r="B383" s="249" t="s">
        <v>514</v>
      </c>
      <c r="C383" s="250" t="s">
        <v>122</v>
      </c>
      <c r="D383" s="250" t="s">
        <v>201</v>
      </c>
      <c r="E383" s="251">
        <v>8</v>
      </c>
      <c r="F383" s="251" t="s">
        <v>281</v>
      </c>
      <c r="G383" s="250">
        <v>13715</v>
      </c>
      <c r="H383" s="250">
        <v>4552</v>
      </c>
      <c r="I383" s="250">
        <v>28825</v>
      </c>
      <c r="J383" s="252">
        <v>-3.0000000000000001E-3</v>
      </c>
      <c r="K383" s="250">
        <v>11609</v>
      </c>
      <c r="L383" s="250">
        <v>3524</v>
      </c>
      <c r="M383" s="250">
        <v>25255</v>
      </c>
      <c r="N383" s="250">
        <v>2106</v>
      </c>
      <c r="O383" s="250">
        <v>1028</v>
      </c>
      <c r="P383" s="250">
        <v>3570</v>
      </c>
      <c r="Q383" s="253">
        <v>90500</v>
      </c>
      <c r="R383" s="254">
        <v>23.270719528198242</v>
      </c>
      <c r="S383" s="254">
        <v>11.359115600585938</v>
      </c>
      <c r="T383" s="255">
        <v>39.447513580322266</v>
      </c>
    </row>
    <row r="384" spans="2:20">
      <c r="B384" s="249" t="s">
        <v>514</v>
      </c>
      <c r="C384" s="250" t="s">
        <v>122</v>
      </c>
      <c r="D384" s="250" t="s">
        <v>201</v>
      </c>
      <c r="E384" s="251">
        <v>9</v>
      </c>
      <c r="F384" s="251" t="s">
        <v>281</v>
      </c>
      <c r="G384" s="250">
        <v>13715</v>
      </c>
      <c r="H384" s="250">
        <v>4552</v>
      </c>
      <c r="I384" s="250">
        <v>28825</v>
      </c>
      <c r="J384" s="252">
        <v>-3.0000000000000001E-3</v>
      </c>
      <c r="K384" s="250">
        <v>11599</v>
      </c>
      <c r="L384" s="250">
        <v>3515</v>
      </c>
      <c r="M384" s="250">
        <v>25199</v>
      </c>
      <c r="N384" s="250">
        <v>2116</v>
      </c>
      <c r="O384" s="250">
        <v>1037</v>
      </c>
      <c r="P384" s="250">
        <v>3626</v>
      </c>
      <c r="Q384" s="253">
        <v>90500</v>
      </c>
      <c r="R384" s="254">
        <v>23.381214141845703</v>
      </c>
      <c r="S384" s="254">
        <v>11.458563804626465</v>
      </c>
      <c r="T384" s="255">
        <v>40.066299438476563</v>
      </c>
    </row>
    <row r="385" spans="2:23">
      <c r="B385" s="249" t="s">
        <v>514</v>
      </c>
      <c r="C385" s="250" t="s">
        <v>122</v>
      </c>
      <c r="D385" s="250" t="s">
        <v>201</v>
      </c>
      <c r="E385" s="251">
        <v>10</v>
      </c>
      <c r="F385" s="251" t="s">
        <v>281</v>
      </c>
      <c r="G385" s="250">
        <v>13715</v>
      </c>
      <c r="H385" s="250">
        <v>4552</v>
      </c>
      <c r="I385" s="250">
        <v>28825</v>
      </c>
      <c r="J385" s="252">
        <v>-3.0000000000000001E-3</v>
      </c>
      <c r="K385" s="250">
        <v>11560</v>
      </c>
      <c r="L385" s="250">
        <v>3515</v>
      </c>
      <c r="M385" s="250">
        <v>25017</v>
      </c>
      <c r="N385" s="250">
        <v>2155</v>
      </c>
      <c r="O385" s="250">
        <v>1037</v>
      </c>
      <c r="P385" s="250">
        <v>3808</v>
      </c>
      <c r="Q385" s="253">
        <v>90500</v>
      </c>
      <c r="R385" s="254">
        <v>23.812154769897461</v>
      </c>
      <c r="S385" s="254">
        <v>11.458563804626465</v>
      </c>
      <c r="T385" s="255">
        <v>42.077346801757813</v>
      </c>
    </row>
    <row r="386" spans="2:23">
      <c r="B386" s="249" t="s">
        <v>514</v>
      </c>
      <c r="C386" s="250" t="s">
        <v>122</v>
      </c>
      <c r="D386" s="250" t="s">
        <v>201</v>
      </c>
      <c r="E386" s="251">
        <v>11</v>
      </c>
      <c r="F386" s="251" t="s">
        <v>281</v>
      </c>
      <c r="G386" s="250">
        <v>13715</v>
      </c>
      <c r="H386" s="250">
        <v>4552</v>
      </c>
      <c r="I386" s="250">
        <v>28825</v>
      </c>
      <c r="J386" s="252">
        <v>-3.0000000000000001E-3</v>
      </c>
      <c r="K386" s="250">
        <v>11526</v>
      </c>
      <c r="L386" s="250">
        <v>3513</v>
      </c>
      <c r="M386" s="250">
        <v>24980</v>
      </c>
      <c r="N386" s="250">
        <v>2189</v>
      </c>
      <c r="O386" s="250">
        <v>1039</v>
      </c>
      <c r="P386" s="250">
        <v>3845</v>
      </c>
      <c r="Q386" s="253">
        <v>117911</v>
      </c>
      <c r="R386" s="254">
        <v>18.564849853515625</v>
      </c>
      <c r="S386" s="254">
        <v>8.8117313385009766</v>
      </c>
      <c r="T386" s="255">
        <v>32.609340667724609</v>
      </c>
    </row>
    <row r="387" spans="2:23">
      <c r="B387" s="249" t="s">
        <v>514</v>
      </c>
      <c r="C387" s="250" t="s">
        <v>122</v>
      </c>
      <c r="D387" s="250" t="s">
        <v>201</v>
      </c>
      <c r="E387" s="251">
        <v>12</v>
      </c>
      <c r="F387" s="251" t="s">
        <v>281</v>
      </c>
      <c r="G387" s="250">
        <v>13715</v>
      </c>
      <c r="H387" s="250">
        <v>4552</v>
      </c>
      <c r="I387" s="250">
        <v>28825</v>
      </c>
      <c r="J387" s="252">
        <v>-3.0000000000000001E-3</v>
      </c>
      <c r="K387" s="250">
        <v>11510</v>
      </c>
      <c r="L387" s="250">
        <v>3496</v>
      </c>
      <c r="M387" s="250">
        <v>24906</v>
      </c>
      <c r="N387" s="250">
        <v>2205</v>
      </c>
      <c r="O387" s="250">
        <v>1056</v>
      </c>
      <c r="P387" s="250">
        <v>3919</v>
      </c>
      <c r="Q387" s="253">
        <v>90500</v>
      </c>
      <c r="R387" s="254">
        <v>24.364641189575195</v>
      </c>
      <c r="S387" s="254">
        <v>11.66850757598877</v>
      </c>
      <c r="T387" s="255">
        <v>43.303867340087891</v>
      </c>
    </row>
    <row r="388" spans="2:23">
      <c r="B388" s="249" t="s">
        <v>514</v>
      </c>
      <c r="C388" s="250" t="s">
        <v>122</v>
      </c>
      <c r="D388" s="250" t="s">
        <v>201</v>
      </c>
      <c r="E388" s="251">
        <v>13</v>
      </c>
      <c r="F388" s="251" t="s">
        <v>281</v>
      </c>
      <c r="G388" s="250">
        <v>13715</v>
      </c>
      <c r="H388" s="250">
        <v>4552</v>
      </c>
      <c r="I388" s="250">
        <v>28825</v>
      </c>
      <c r="J388" s="252">
        <v>-3.0000000000000001E-3</v>
      </c>
      <c r="K388" s="250">
        <v>11478</v>
      </c>
      <c r="L388" s="250">
        <v>3486</v>
      </c>
      <c r="M388" s="250">
        <v>24897</v>
      </c>
      <c r="N388" s="250">
        <v>2237</v>
      </c>
      <c r="O388" s="250">
        <v>1066</v>
      </c>
      <c r="P388" s="250">
        <v>3928</v>
      </c>
      <c r="Q388" s="253">
        <v>90500</v>
      </c>
      <c r="R388" s="254">
        <v>24.718233108520508</v>
      </c>
      <c r="S388" s="254">
        <v>11.779006004333496</v>
      </c>
      <c r="T388" s="255">
        <v>43.403316497802734</v>
      </c>
    </row>
    <row r="389" spans="2:23">
      <c r="B389" s="249" t="s">
        <v>514</v>
      </c>
      <c r="C389" s="250" t="s">
        <v>122</v>
      </c>
      <c r="D389" s="250" t="s">
        <v>201</v>
      </c>
      <c r="E389" s="251">
        <v>14</v>
      </c>
      <c r="F389" s="251" t="s">
        <v>281</v>
      </c>
      <c r="G389" s="250">
        <v>13715</v>
      </c>
      <c r="H389" s="250">
        <v>4552</v>
      </c>
      <c r="I389" s="250">
        <v>28825</v>
      </c>
      <c r="J389" s="252">
        <v>-3.0000000000000001E-3</v>
      </c>
      <c r="K389" s="250">
        <v>11431</v>
      </c>
      <c r="L389" s="250">
        <v>3484</v>
      </c>
      <c r="M389" s="250">
        <v>24806</v>
      </c>
      <c r="N389" s="250">
        <v>2284</v>
      </c>
      <c r="O389" s="250">
        <v>1068</v>
      </c>
      <c r="P389" s="250">
        <v>4019</v>
      </c>
      <c r="Q389" s="253">
        <v>90500</v>
      </c>
      <c r="R389" s="254">
        <v>25.237569808959961</v>
      </c>
      <c r="S389" s="254">
        <v>11.801104545593262</v>
      </c>
      <c r="T389" s="255">
        <v>44.408840179443359</v>
      </c>
    </row>
    <row r="390" spans="2:23">
      <c r="B390" s="249" t="s">
        <v>514</v>
      </c>
      <c r="C390" s="250" t="s">
        <v>122</v>
      </c>
      <c r="D390" s="250" t="s">
        <v>201</v>
      </c>
      <c r="E390" s="251">
        <v>15</v>
      </c>
      <c r="F390" s="251" t="s">
        <v>281</v>
      </c>
      <c r="G390" s="250">
        <v>13715</v>
      </c>
      <c r="H390" s="250">
        <v>4552</v>
      </c>
      <c r="I390" s="250">
        <v>28825</v>
      </c>
      <c r="J390" s="252">
        <v>-3.0000000000000001E-3</v>
      </c>
      <c r="K390" s="250">
        <v>11413</v>
      </c>
      <c r="L390" s="250">
        <v>3478</v>
      </c>
      <c r="M390" s="250">
        <v>24774</v>
      </c>
      <c r="N390" s="250">
        <v>2302</v>
      </c>
      <c r="O390" s="250">
        <v>1074</v>
      </c>
      <c r="P390" s="250">
        <v>4051</v>
      </c>
      <c r="Q390" s="253">
        <v>90500</v>
      </c>
      <c r="R390" s="254">
        <v>25.436464309692383</v>
      </c>
      <c r="S390" s="254">
        <v>11.867403030395508</v>
      </c>
      <c r="T390" s="255">
        <v>44.762432098388672</v>
      </c>
    </row>
    <row r="391" spans="2:23">
      <c r="B391" s="240"/>
      <c r="C391" s="240"/>
      <c r="D391" s="240"/>
      <c r="E391" s="241"/>
      <c r="F391" s="241"/>
      <c r="G391" s="240"/>
      <c r="H391" s="240"/>
      <c r="I391" s="240"/>
      <c r="J391" s="240"/>
      <c r="K391" s="240"/>
      <c r="L391" s="240"/>
      <c r="M391" s="242"/>
      <c r="N391" s="240"/>
      <c r="O391" s="240"/>
      <c r="P391" s="240"/>
      <c r="Q391" s="240"/>
      <c r="R391" s="240"/>
      <c r="S391" s="240"/>
      <c r="T391" s="243"/>
      <c r="U391" s="244"/>
      <c r="V391" s="244"/>
      <c r="W391" s="244"/>
    </row>
    <row r="392" spans="2:23">
      <c r="B392" s="240"/>
      <c r="C392" s="240"/>
      <c r="D392" s="240"/>
      <c r="E392" s="241"/>
      <c r="F392" s="241"/>
      <c r="G392" s="240"/>
      <c r="H392" s="240"/>
      <c r="I392" s="240"/>
      <c r="J392" s="240"/>
      <c r="K392" s="240"/>
      <c r="L392" s="240"/>
      <c r="M392" s="242"/>
      <c r="N392" s="240"/>
      <c r="O392" s="240"/>
      <c r="P392" s="240"/>
      <c r="Q392" s="240"/>
      <c r="R392" s="240"/>
      <c r="S392" s="240"/>
      <c r="T392" s="243"/>
      <c r="U392" s="244"/>
      <c r="V392" s="244"/>
      <c r="W392" s="244"/>
    </row>
    <row r="393" spans="2:23" ht="19.5">
      <c r="B393" s="273" t="s">
        <v>636</v>
      </c>
      <c r="C393" s="240"/>
      <c r="D393" s="240"/>
      <c r="E393" s="241"/>
      <c r="F393" s="241"/>
      <c r="G393" s="240"/>
      <c r="H393" s="240"/>
      <c r="I393" s="240"/>
      <c r="J393" s="240"/>
      <c r="K393" s="240"/>
      <c r="L393" s="240"/>
      <c r="M393" s="242"/>
      <c r="N393" s="240"/>
      <c r="O393" s="240"/>
      <c r="P393" s="240"/>
      <c r="Q393" s="240"/>
      <c r="R393" s="240"/>
      <c r="S393" s="240"/>
      <c r="T393" s="243"/>
      <c r="U393" s="244"/>
      <c r="V393" s="244"/>
      <c r="W393" s="244"/>
    </row>
    <row r="394" spans="2:23" ht="19.5">
      <c r="B394" s="273"/>
      <c r="C394" s="240"/>
      <c r="D394" s="240"/>
      <c r="E394" s="241"/>
      <c r="F394" s="241"/>
      <c r="G394" s="240"/>
      <c r="H394" s="240"/>
      <c r="I394" s="240"/>
      <c r="J394" s="240"/>
      <c r="K394" s="240"/>
      <c r="L394" s="240"/>
      <c r="M394" s="242"/>
      <c r="N394" s="240"/>
      <c r="O394" s="240"/>
      <c r="P394" s="240"/>
      <c r="Q394" s="240"/>
      <c r="R394" s="240"/>
      <c r="S394" s="240"/>
      <c r="T394" s="243"/>
      <c r="U394" s="244"/>
      <c r="V394" s="244"/>
      <c r="W394" s="244"/>
    </row>
    <row r="395" spans="2:23" ht="19.5">
      <c r="B395" s="273"/>
      <c r="C395" s="240"/>
      <c r="D395" s="240"/>
      <c r="E395" s="241"/>
      <c r="F395" s="241"/>
      <c r="G395" s="240"/>
      <c r="H395" s="240"/>
      <c r="I395" s="240"/>
      <c r="J395" s="240"/>
      <c r="K395" s="240"/>
      <c r="L395" s="240"/>
      <c r="M395" s="242"/>
      <c r="N395" s="240"/>
      <c r="O395" s="240"/>
      <c r="P395" s="240"/>
      <c r="Q395" s="240"/>
      <c r="R395" s="240"/>
      <c r="S395" s="240"/>
      <c r="T395" s="243"/>
      <c r="U395" s="244"/>
      <c r="V395" s="244"/>
      <c r="W395" s="244"/>
    </row>
    <row r="396" spans="2:23" ht="19.5">
      <c r="B396" s="273"/>
      <c r="C396" s="240"/>
      <c r="D396" s="240"/>
      <c r="E396" s="241"/>
      <c r="F396" s="241"/>
      <c r="G396" s="240"/>
      <c r="H396" s="240"/>
      <c r="I396" s="240"/>
      <c r="J396" s="240"/>
      <c r="K396" s="240"/>
      <c r="L396" s="240"/>
      <c r="M396" s="242"/>
      <c r="N396" s="240"/>
      <c r="O396" s="240"/>
      <c r="P396" s="240"/>
      <c r="Q396" s="240"/>
      <c r="R396" s="240"/>
      <c r="S396" s="240"/>
      <c r="T396" s="243"/>
      <c r="U396" s="244"/>
      <c r="V396" s="244"/>
      <c r="W396" s="244"/>
    </row>
    <row r="397" spans="2:23" ht="19.5">
      <c r="B397" s="273"/>
      <c r="C397" s="240"/>
      <c r="D397" s="240"/>
      <c r="E397" s="241"/>
      <c r="F397" s="241"/>
      <c r="G397" s="240"/>
      <c r="H397" s="240"/>
      <c r="I397" s="240"/>
      <c r="J397" s="240"/>
      <c r="K397" s="240"/>
      <c r="L397" s="240"/>
      <c r="M397" s="242"/>
      <c r="N397" s="240"/>
      <c r="O397" s="240"/>
      <c r="P397" s="240"/>
      <c r="Q397" s="240"/>
      <c r="R397" s="240"/>
      <c r="S397" s="240"/>
      <c r="T397" s="243"/>
      <c r="U397" s="244"/>
      <c r="V397" s="244"/>
      <c r="W397" s="244"/>
    </row>
    <row r="398" spans="2:23" ht="19.5">
      <c r="B398" s="273"/>
      <c r="C398" s="240"/>
      <c r="D398" s="240"/>
      <c r="E398" s="241"/>
      <c r="F398" s="241"/>
      <c r="G398" s="240"/>
      <c r="H398" s="240"/>
      <c r="I398" s="240"/>
      <c r="J398" s="240"/>
      <c r="K398" s="240"/>
      <c r="L398" s="240"/>
      <c r="M398" s="242"/>
      <c r="N398" s="240"/>
      <c r="O398" s="240"/>
      <c r="P398" s="240"/>
      <c r="Q398" s="240"/>
      <c r="R398" s="240"/>
      <c r="S398" s="240"/>
      <c r="T398" s="243"/>
      <c r="U398" s="244"/>
      <c r="V398" s="244"/>
      <c r="W398" s="244"/>
    </row>
    <row r="399" spans="2:23">
      <c r="B399" s="240"/>
      <c r="C399" s="240"/>
      <c r="D399" s="240"/>
      <c r="E399" s="241"/>
      <c r="F399" s="241"/>
      <c r="G399" s="240"/>
      <c r="H399" s="240"/>
      <c r="I399" s="240"/>
      <c r="J399" s="240"/>
      <c r="K399" s="240"/>
      <c r="L399" s="240"/>
      <c r="M399" s="242"/>
      <c r="N399" s="240"/>
      <c r="O399" s="240"/>
      <c r="P399" s="240"/>
      <c r="Q399" s="240"/>
      <c r="R399" s="240"/>
      <c r="S399" s="240"/>
      <c r="T399" s="243"/>
      <c r="U399" s="244"/>
      <c r="V399" s="244"/>
      <c r="W399" s="244"/>
    </row>
    <row r="400" spans="2:23" ht="84.95" customHeight="1">
      <c r="B400" s="266" t="s">
        <v>499</v>
      </c>
      <c r="C400" s="266" t="s">
        <v>120</v>
      </c>
      <c r="D400" s="266" t="s">
        <v>500</v>
      </c>
      <c r="E400" s="266" t="s">
        <v>198</v>
      </c>
      <c r="F400" s="245" t="s">
        <v>519</v>
      </c>
      <c r="G400" s="246" t="s">
        <v>586</v>
      </c>
      <c r="H400" s="246" t="s">
        <v>591</v>
      </c>
      <c r="I400" s="246" t="s">
        <v>587</v>
      </c>
      <c r="J400" s="246" t="s">
        <v>506</v>
      </c>
      <c r="K400" s="246" t="s">
        <v>588</v>
      </c>
      <c r="L400" s="246" t="s">
        <v>589</v>
      </c>
      <c r="M400" s="246" t="s">
        <v>590</v>
      </c>
      <c r="N400" s="246" t="s">
        <v>566</v>
      </c>
      <c r="O400" s="247" t="s">
        <v>567</v>
      </c>
      <c r="P400" s="247" t="s">
        <v>568</v>
      </c>
      <c r="Q400" s="246" t="s">
        <v>364</v>
      </c>
      <c r="R400" s="246" t="s">
        <v>569</v>
      </c>
      <c r="S400" s="246" t="s">
        <v>570</v>
      </c>
      <c r="T400" s="248" t="s">
        <v>571</v>
      </c>
    </row>
    <row r="401" spans="2:20">
      <c r="B401" s="240" t="s">
        <v>501</v>
      </c>
      <c r="C401" s="240" t="s">
        <v>242</v>
      </c>
      <c r="D401" s="240" t="s">
        <v>502</v>
      </c>
      <c r="E401" s="272" t="s">
        <v>522</v>
      </c>
      <c r="F401" s="241" t="s">
        <v>281</v>
      </c>
      <c r="G401" s="240">
        <v>584220</v>
      </c>
      <c r="H401" s="240">
        <v>297185</v>
      </c>
      <c r="I401" s="240">
        <v>1042665</v>
      </c>
      <c r="J401" s="271">
        <v>-0.33</v>
      </c>
      <c r="K401" s="2">
        <v>453845</v>
      </c>
      <c r="L401" s="240">
        <v>227457</v>
      </c>
      <c r="M401" s="240">
        <v>818505</v>
      </c>
      <c r="N401" s="240">
        <v>130375</v>
      </c>
      <c r="O401" s="240">
        <v>69728</v>
      </c>
      <c r="P401" s="240">
        <v>224160</v>
      </c>
      <c r="Q401" s="243">
        <v>4748445</v>
      </c>
      <c r="R401" s="244">
        <v>27.456356048583984</v>
      </c>
      <c r="S401" s="244">
        <v>14.684386253356934</v>
      </c>
      <c r="T401" s="244">
        <v>47.20703125</v>
      </c>
    </row>
    <row r="402" spans="2:20">
      <c r="B402" s="240" t="s">
        <v>501</v>
      </c>
      <c r="C402" s="240" t="s">
        <v>242</v>
      </c>
      <c r="D402" s="240" t="s">
        <v>201</v>
      </c>
      <c r="E402" s="240" t="s">
        <v>524</v>
      </c>
      <c r="F402" s="241" t="s">
        <v>281</v>
      </c>
      <c r="G402" s="240">
        <v>1168440</v>
      </c>
      <c r="H402" s="240">
        <v>594370</v>
      </c>
      <c r="I402" s="240">
        <v>2085330</v>
      </c>
      <c r="J402" s="271">
        <v>-0.12399999999999997</v>
      </c>
      <c r="K402" s="2">
        <v>733532</v>
      </c>
      <c r="L402" s="240">
        <v>367885</v>
      </c>
      <c r="M402" s="240">
        <v>1324163</v>
      </c>
      <c r="N402" s="240">
        <v>434908</v>
      </c>
      <c r="O402" s="240">
        <v>226485</v>
      </c>
      <c r="P402" s="240">
        <v>761167</v>
      </c>
      <c r="Q402" s="243">
        <v>5273703</v>
      </c>
      <c r="R402" s="244">
        <v>82.467292785644531</v>
      </c>
      <c r="S402" s="244">
        <v>42.94610595703125</v>
      </c>
      <c r="T402" s="244">
        <v>144.33255004882813</v>
      </c>
    </row>
    <row r="403" spans="2:20">
      <c r="B403" s="240" t="s">
        <v>501</v>
      </c>
      <c r="C403" s="240" t="s">
        <v>242</v>
      </c>
      <c r="D403" s="240" t="s">
        <v>520</v>
      </c>
      <c r="E403" s="240" t="s">
        <v>523</v>
      </c>
      <c r="F403" s="241" t="s">
        <v>281</v>
      </c>
      <c r="G403" s="240">
        <v>1752660</v>
      </c>
      <c r="H403" s="240">
        <v>891555</v>
      </c>
      <c r="I403" s="240">
        <v>3127995</v>
      </c>
      <c r="J403" s="271">
        <v>-0.45400000000000024</v>
      </c>
      <c r="K403" s="2">
        <v>1187377</v>
      </c>
      <c r="L403" s="240">
        <v>595342</v>
      </c>
      <c r="M403" s="240">
        <v>2142668</v>
      </c>
      <c r="N403" s="240">
        <v>565283</v>
      </c>
      <c r="O403" s="240">
        <v>296213</v>
      </c>
      <c r="P403" s="240">
        <v>985327</v>
      </c>
      <c r="Q403" s="243">
        <v>10022148</v>
      </c>
      <c r="R403" s="244">
        <v>56.403377532958984</v>
      </c>
      <c r="S403" s="244">
        <v>29.555839538574219</v>
      </c>
      <c r="T403" s="244">
        <v>98.314949035644531</v>
      </c>
    </row>
    <row r="404" spans="2:20">
      <c r="B404" s="240" t="s">
        <v>501</v>
      </c>
      <c r="C404" s="240" t="s">
        <v>282</v>
      </c>
      <c r="D404" s="240" t="s">
        <v>502</v>
      </c>
      <c r="E404" s="272" t="s">
        <v>522</v>
      </c>
      <c r="F404" s="241" t="s">
        <v>281</v>
      </c>
      <c r="G404" s="240">
        <v>584220</v>
      </c>
      <c r="H404" s="240">
        <v>297185</v>
      </c>
      <c r="I404" s="240">
        <v>1042665</v>
      </c>
      <c r="J404" s="271">
        <v>-0.182</v>
      </c>
      <c r="K404" s="2">
        <v>495913</v>
      </c>
      <c r="L404" s="240">
        <v>248369</v>
      </c>
      <c r="M404" s="240">
        <v>894881</v>
      </c>
      <c r="N404" s="240">
        <v>88307</v>
      </c>
      <c r="O404" s="240">
        <v>48816</v>
      </c>
      <c r="P404" s="240">
        <v>147784</v>
      </c>
      <c r="Q404" s="243">
        <v>1076644</v>
      </c>
      <c r="R404" s="244">
        <v>82.020614624023438</v>
      </c>
      <c r="S404" s="244">
        <v>45.340892791748047</v>
      </c>
      <c r="T404" s="244">
        <v>137.26356506347656</v>
      </c>
    </row>
    <row r="405" spans="2:20">
      <c r="B405" s="240" t="s">
        <v>501</v>
      </c>
      <c r="C405" s="240" t="s">
        <v>282</v>
      </c>
      <c r="D405" s="240" t="s">
        <v>201</v>
      </c>
      <c r="E405" s="240" t="s">
        <v>524</v>
      </c>
      <c r="F405" s="241" t="s">
        <v>281</v>
      </c>
      <c r="G405" s="240">
        <v>1168440</v>
      </c>
      <c r="H405" s="240">
        <v>594370</v>
      </c>
      <c r="I405" s="240">
        <v>2085330</v>
      </c>
      <c r="J405" s="271">
        <v>-9.0999999999999984E-2</v>
      </c>
      <c r="K405" s="2">
        <v>878177</v>
      </c>
      <c r="L405" s="240">
        <v>439494</v>
      </c>
      <c r="M405" s="240">
        <v>1582129</v>
      </c>
      <c r="N405" s="240">
        <v>290263</v>
      </c>
      <c r="O405" s="240">
        <v>154876</v>
      </c>
      <c r="P405" s="240">
        <v>503201</v>
      </c>
      <c r="Q405" s="243">
        <v>1521688</v>
      </c>
      <c r="R405" s="244">
        <v>190.75067138671875</v>
      </c>
      <c r="S405" s="244">
        <v>101.77907562255859</v>
      </c>
      <c r="T405" s="244">
        <v>330.68606567382813</v>
      </c>
    </row>
    <row r="406" spans="2:20">
      <c r="B406" s="240" t="s">
        <v>501</v>
      </c>
      <c r="C406" s="240" t="s">
        <v>282</v>
      </c>
      <c r="D406" s="240" t="s">
        <v>520</v>
      </c>
      <c r="E406" s="240" t="s">
        <v>523</v>
      </c>
      <c r="F406" s="241" t="s">
        <v>281</v>
      </c>
      <c r="G406" s="240">
        <v>1752660</v>
      </c>
      <c r="H406" s="240">
        <v>891555</v>
      </c>
      <c r="I406" s="240">
        <v>3127995</v>
      </c>
      <c r="J406" s="271">
        <v>-0.27299999999999996</v>
      </c>
      <c r="K406" s="2">
        <v>1374090</v>
      </c>
      <c r="L406" s="240">
        <v>687863</v>
      </c>
      <c r="M406" s="240">
        <v>2477010</v>
      </c>
      <c r="N406" s="240">
        <v>378570</v>
      </c>
      <c r="O406" s="240">
        <v>203692</v>
      </c>
      <c r="P406" s="240">
        <v>650985</v>
      </c>
      <c r="Q406" s="243">
        <v>2598332</v>
      </c>
      <c r="R406" s="244">
        <v>145.69731140136719</v>
      </c>
      <c r="S406" s="244">
        <v>78.39337158203125</v>
      </c>
      <c r="T406" s="244">
        <v>250.53958129882813</v>
      </c>
    </row>
    <row r="407" spans="2:20">
      <c r="B407" s="240" t="s">
        <v>501</v>
      </c>
      <c r="C407" s="240" t="s">
        <v>77</v>
      </c>
      <c r="D407" s="240" t="s">
        <v>502</v>
      </c>
      <c r="E407" s="272" t="s">
        <v>522</v>
      </c>
      <c r="F407" s="241" t="s">
        <v>281</v>
      </c>
      <c r="G407" s="240">
        <v>584220</v>
      </c>
      <c r="H407" s="240">
        <v>297185</v>
      </c>
      <c r="I407" s="240">
        <v>1042665</v>
      </c>
      <c r="J407" s="271">
        <v>-5.4000000000000006E-2</v>
      </c>
      <c r="K407" s="2">
        <v>532167</v>
      </c>
      <c r="L407" s="240">
        <v>266359</v>
      </c>
      <c r="M407" s="240">
        <v>962798</v>
      </c>
      <c r="N407" s="240">
        <v>52053</v>
      </c>
      <c r="O407" s="240">
        <v>30826</v>
      </c>
      <c r="P407" s="240">
        <v>79867</v>
      </c>
      <c r="Q407" s="243">
        <v>1821516</v>
      </c>
      <c r="R407" s="244">
        <v>28.576745986938477</v>
      </c>
      <c r="S407" s="244">
        <v>16.92326545715332</v>
      </c>
      <c r="T407" s="244">
        <v>43.846443176269531</v>
      </c>
    </row>
    <row r="408" spans="2:20">
      <c r="B408" s="240" t="s">
        <v>501</v>
      </c>
      <c r="C408" s="240" t="s">
        <v>77</v>
      </c>
      <c r="D408" s="240" t="s">
        <v>201</v>
      </c>
      <c r="E408" s="240" t="s">
        <v>524</v>
      </c>
      <c r="F408" s="241" t="s">
        <v>281</v>
      </c>
      <c r="G408" s="240">
        <v>1168440</v>
      </c>
      <c r="H408" s="240">
        <v>594370</v>
      </c>
      <c r="I408" s="240">
        <v>2085330</v>
      </c>
      <c r="J408" s="271">
        <v>-8.0000000000000019E-3</v>
      </c>
      <c r="K408" s="2">
        <v>1041981</v>
      </c>
      <c r="L408" s="240">
        <v>521341</v>
      </c>
      <c r="M408" s="240">
        <v>1882943</v>
      </c>
      <c r="N408" s="240">
        <v>126459</v>
      </c>
      <c r="O408" s="240">
        <v>73029</v>
      </c>
      <c r="P408" s="240">
        <v>202387</v>
      </c>
      <c r="Q408" s="243">
        <v>1794453</v>
      </c>
      <c r="R408" s="244">
        <v>70.47216796875</v>
      </c>
      <c r="S408" s="244">
        <v>40.69708251953125</v>
      </c>
      <c r="T408" s="244">
        <v>112.7847900390625</v>
      </c>
    </row>
    <row r="409" spans="2:20">
      <c r="B409" s="240" t="s">
        <v>501</v>
      </c>
      <c r="C409" s="240" t="s">
        <v>77</v>
      </c>
      <c r="D409" s="240" t="s">
        <v>520</v>
      </c>
      <c r="E409" s="240" t="s">
        <v>523</v>
      </c>
      <c r="F409" s="241" t="s">
        <v>281</v>
      </c>
      <c r="G409" s="240">
        <v>1752660</v>
      </c>
      <c r="H409" s="240">
        <v>891555</v>
      </c>
      <c r="I409" s="240">
        <v>3127995</v>
      </c>
      <c r="J409" s="271">
        <v>-6.2000000000000027E-2</v>
      </c>
      <c r="K409" s="2">
        <v>1574148</v>
      </c>
      <c r="L409" s="240">
        <v>787700</v>
      </c>
      <c r="M409" s="240">
        <v>2845741</v>
      </c>
      <c r="N409" s="240">
        <v>178512</v>
      </c>
      <c r="O409" s="240">
        <v>103855</v>
      </c>
      <c r="P409" s="240">
        <v>282254</v>
      </c>
      <c r="Q409" s="243">
        <v>3615969</v>
      </c>
      <c r="R409" s="244">
        <v>49.367679595947266</v>
      </c>
      <c r="S409" s="244">
        <v>28.721208572387695</v>
      </c>
      <c r="T409" s="244">
        <v>78.057640075683594</v>
      </c>
    </row>
    <row r="410" spans="2:20">
      <c r="B410" s="240" t="s">
        <v>501</v>
      </c>
      <c r="C410" s="240" t="s">
        <v>121</v>
      </c>
      <c r="D410" s="240" t="s">
        <v>502</v>
      </c>
      <c r="E410" s="272" t="s">
        <v>522</v>
      </c>
      <c r="F410" s="241" t="s">
        <v>281</v>
      </c>
      <c r="G410" s="240">
        <v>584220</v>
      </c>
      <c r="H410" s="240">
        <v>297185</v>
      </c>
      <c r="I410" s="240">
        <v>1042665</v>
      </c>
      <c r="J410" s="271">
        <v>-0.1</v>
      </c>
      <c r="K410" s="2">
        <v>519974</v>
      </c>
      <c r="L410" s="240">
        <v>260336</v>
      </c>
      <c r="M410" s="240">
        <v>939236</v>
      </c>
      <c r="N410" s="240">
        <v>64246</v>
      </c>
      <c r="O410" s="240">
        <v>36849</v>
      </c>
      <c r="P410" s="240">
        <v>103429</v>
      </c>
      <c r="Q410" s="243">
        <v>920267</v>
      </c>
      <c r="R410" s="244">
        <v>69.812347412109375</v>
      </c>
      <c r="S410" s="244">
        <v>40.041641235351563</v>
      </c>
      <c r="T410" s="244">
        <v>112.39020538330078</v>
      </c>
    </row>
    <row r="411" spans="2:20">
      <c r="B411" s="240" t="s">
        <v>501</v>
      </c>
      <c r="C411" s="240" t="s">
        <v>121</v>
      </c>
      <c r="D411" s="240" t="s">
        <v>201</v>
      </c>
      <c r="E411" s="240" t="s">
        <v>524</v>
      </c>
      <c r="F411" s="241" t="s">
        <v>281</v>
      </c>
      <c r="G411" s="240">
        <v>1168440</v>
      </c>
      <c r="H411" s="240">
        <v>594370</v>
      </c>
      <c r="I411" s="240">
        <v>2085330</v>
      </c>
      <c r="J411" s="271">
        <v>-2.0000000000000004E-2</v>
      </c>
      <c r="K411" s="2">
        <v>991598</v>
      </c>
      <c r="L411" s="240">
        <v>497269</v>
      </c>
      <c r="M411" s="240">
        <v>1789850</v>
      </c>
      <c r="N411" s="240">
        <v>176842</v>
      </c>
      <c r="O411" s="240">
        <v>97101</v>
      </c>
      <c r="P411" s="240">
        <v>295480</v>
      </c>
      <c r="Q411" s="243">
        <v>997748</v>
      </c>
      <c r="R411" s="244">
        <v>177.24114990234375</v>
      </c>
      <c r="S411" s="244">
        <v>97.320167541503906</v>
      </c>
      <c r="T411" s="244">
        <v>296.14691162109375</v>
      </c>
    </row>
    <row r="412" spans="2:20">
      <c r="B412" s="240" t="s">
        <v>501</v>
      </c>
      <c r="C412" s="240" t="s">
        <v>121</v>
      </c>
      <c r="D412" s="240" t="s">
        <v>520</v>
      </c>
      <c r="E412" s="240" t="s">
        <v>523</v>
      </c>
      <c r="F412" s="241" t="s">
        <v>281</v>
      </c>
      <c r="G412" s="240">
        <v>1752660</v>
      </c>
      <c r="H412" s="240">
        <v>891555</v>
      </c>
      <c r="I412" s="240">
        <v>3127995</v>
      </c>
      <c r="J412" s="271">
        <v>-0.12000000000000002</v>
      </c>
      <c r="K412" s="2">
        <v>1511572</v>
      </c>
      <c r="L412" s="240">
        <v>757605</v>
      </c>
      <c r="M412" s="240">
        <v>2729086</v>
      </c>
      <c r="N412" s="240">
        <v>241088</v>
      </c>
      <c r="O412" s="240">
        <v>133950</v>
      </c>
      <c r="P412" s="240">
        <v>398909</v>
      </c>
      <c r="Q412" s="243">
        <v>1918015</v>
      </c>
      <c r="R412" s="244">
        <v>125.69661712646484</v>
      </c>
      <c r="S412" s="244">
        <v>69.83782958984375</v>
      </c>
      <c r="T412" s="244">
        <v>207.98011779785156</v>
      </c>
    </row>
    <row r="413" spans="2:20">
      <c r="B413" s="240" t="s">
        <v>501</v>
      </c>
      <c r="C413" s="240" t="s">
        <v>122</v>
      </c>
      <c r="D413" s="240" t="s">
        <v>502</v>
      </c>
      <c r="E413" s="272" t="s">
        <v>522</v>
      </c>
      <c r="F413" s="241" t="s">
        <v>281</v>
      </c>
      <c r="G413" s="240">
        <v>584220</v>
      </c>
      <c r="H413" s="240">
        <v>297185</v>
      </c>
      <c r="I413" s="240">
        <v>1042665</v>
      </c>
      <c r="J413" s="271">
        <v>-0.06</v>
      </c>
      <c r="K413" s="2">
        <v>530805</v>
      </c>
      <c r="L413" s="240">
        <v>265596</v>
      </c>
      <c r="M413" s="240">
        <v>959987</v>
      </c>
      <c r="N413" s="240">
        <v>53415</v>
      </c>
      <c r="O413" s="240">
        <v>31589</v>
      </c>
      <c r="P413" s="240">
        <v>82678</v>
      </c>
      <c r="Q413" s="243">
        <v>930018</v>
      </c>
      <c r="R413" s="244">
        <v>57.434371948242188</v>
      </c>
      <c r="S413" s="244">
        <v>33.966011047363281</v>
      </c>
      <c r="T413" s="244">
        <v>88.89935302734375</v>
      </c>
    </row>
    <row r="414" spans="2:20">
      <c r="B414" s="240" t="s">
        <v>501</v>
      </c>
      <c r="C414" s="240" t="s">
        <v>122</v>
      </c>
      <c r="D414" s="240" t="s">
        <v>201</v>
      </c>
      <c r="E414" s="240" t="s">
        <v>524</v>
      </c>
      <c r="F414" s="241" t="s">
        <v>281</v>
      </c>
      <c r="G414" s="240">
        <v>1168440</v>
      </c>
      <c r="H414" s="240">
        <v>594370</v>
      </c>
      <c r="I414" s="240">
        <v>2085330</v>
      </c>
      <c r="J414" s="271">
        <v>-2.9999999999999995E-2</v>
      </c>
      <c r="K414" s="2">
        <v>1025537</v>
      </c>
      <c r="L414" s="240">
        <v>513398</v>
      </c>
      <c r="M414" s="240">
        <v>1850466</v>
      </c>
      <c r="N414" s="240">
        <v>142903</v>
      </c>
      <c r="O414" s="240">
        <v>80972</v>
      </c>
      <c r="P414" s="240">
        <v>234864</v>
      </c>
      <c r="Q414" s="243">
        <v>959822</v>
      </c>
      <c r="R414" s="244">
        <v>148.88490295410156</v>
      </c>
      <c r="S414" s="244">
        <v>84.361473083496094</v>
      </c>
      <c r="T414" s="244">
        <v>244.69537353515625</v>
      </c>
    </row>
    <row r="415" spans="2:20">
      <c r="B415" s="240" t="s">
        <v>501</v>
      </c>
      <c r="C415" s="240" t="s">
        <v>122</v>
      </c>
      <c r="D415" s="240" t="s">
        <v>520</v>
      </c>
      <c r="E415" s="240" t="s">
        <v>523</v>
      </c>
      <c r="F415" s="241" t="s">
        <v>281</v>
      </c>
      <c r="G415" s="240">
        <v>1752660</v>
      </c>
      <c r="H415" s="240">
        <v>891555</v>
      </c>
      <c r="I415" s="240">
        <v>3127995</v>
      </c>
      <c r="J415" s="271">
        <v>-9.0000000000000024E-2</v>
      </c>
      <c r="K415" s="2">
        <v>1556342</v>
      </c>
      <c r="L415" s="240">
        <v>778994</v>
      </c>
      <c r="M415" s="240">
        <v>2810453</v>
      </c>
      <c r="N415" s="240">
        <v>196318</v>
      </c>
      <c r="O415" s="240">
        <v>112561</v>
      </c>
      <c r="P415" s="240">
        <v>317542</v>
      </c>
      <c r="Q415" s="243">
        <v>1889840</v>
      </c>
      <c r="R415" s="244">
        <v>103.88075256347656</v>
      </c>
      <c r="S415" s="244">
        <v>59.561126708984375</v>
      </c>
      <c r="T415" s="244">
        <v>168.02586364746094</v>
      </c>
    </row>
    <row r="416" spans="2:20">
      <c r="B416" s="240" t="s">
        <v>513</v>
      </c>
      <c r="C416" s="240" t="s">
        <v>242</v>
      </c>
      <c r="D416" s="240" t="s">
        <v>502</v>
      </c>
      <c r="E416" s="272" t="s">
        <v>522</v>
      </c>
      <c r="F416" s="241" t="s">
        <v>281</v>
      </c>
      <c r="G416" s="240">
        <v>515645</v>
      </c>
      <c r="H416" s="240">
        <v>274425</v>
      </c>
      <c r="I416" s="240">
        <v>898540</v>
      </c>
      <c r="J416" s="271">
        <v>-0.33</v>
      </c>
      <c r="K416" s="2">
        <v>402737</v>
      </c>
      <c r="L416" s="240">
        <v>211747</v>
      </c>
      <c r="M416" s="240">
        <v>707509</v>
      </c>
      <c r="N416" s="240">
        <v>112908</v>
      </c>
      <c r="O416" s="240">
        <v>62678</v>
      </c>
      <c r="P416" s="240">
        <v>191031</v>
      </c>
      <c r="Q416" s="243">
        <v>4748445</v>
      </c>
      <c r="R416" s="244">
        <v>23.777889251708984</v>
      </c>
      <c r="S416" s="244">
        <v>13.199689865112305</v>
      </c>
      <c r="T416" s="244">
        <v>40.230224609375</v>
      </c>
    </row>
    <row r="417" spans="2:20">
      <c r="B417" s="240" t="s">
        <v>513</v>
      </c>
      <c r="C417" s="240" t="s">
        <v>242</v>
      </c>
      <c r="D417" s="240" t="s">
        <v>201</v>
      </c>
      <c r="E417" s="240" t="s">
        <v>524</v>
      </c>
      <c r="F417" s="241" t="s">
        <v>281</v>
      </c>
      <c r="G417" s="240">
        <v>1031290</v>
      </c>
      <c r="H417" s="240">
        <v>548850</v>
      </c>
      <c r="I417" s="240">
        <v>1797080</v>
      </c>
      <c r="J417" s="271">
        <v>-0.12399999999999997</v>
      </c>
      <c r="K417" s="2">
        <v>650875</v>
      </c>
      <c r="L417" s="240">
        <v>342635</v>
      </c>
      <c r="M417" s="240">
        <v>1144593</v>
      </c>
      <c r="N417" s="240">
        <v>380415</v>
      </c>
      <c r="O417" s="240">
        <v>206215</v>
      </c>
      <c r="P417" s="240">
        <v>652487</v>
      </c>
      <c r="Q417" s="243">
        <v>5273703</v>
      </c>
      <c r="R417" s="244">
        <v>72.134323120117188</v>
      </c>
      <c r="S417" s="244">
        <v>39.102504730224609</v>
      </c>
      <c r="T417" s="244">
        <v>123.72463989257813</v>
      </c>
    </row>
    <row r="418" spans="2:20">
      <c r="B418" s="240" t="s">
        <v>513</v>
      </c>
      <c r="C418" s="240" t="s">
        <v>242</v>
      </c>
      <c r="D418" s="240" t="s">
        <v>520</v>
      </c>
      <c r="E418" s="240" t="s">
        <v>523</v>
      </c>
      <c r="F418" s="241" t="s">
        <v>281</v>
      </c>
      <c r="G418" s="240">
        <v>1546935</v>
      </c>
      <c r="H418" s="240">
        <v>823275</v>
      </c>
      <c r="I418" s="240">
        <v>2695620</v>
      </c>
      <c r="J418" s="271">
        <v>-0.45400000000000024</v>
      </c>
      <c r="K418" s="2">
        <v>1053612</v>
      </c>
      <c r="L418" s="240">
        <v>554382</v>
      </c>
      <c r="M418" s="240">
        <v>1852102</v>
      </c>
      <c r="N418" s="240">
        <v>493323</v>
      </c>
      <c r="O418" s="240">
        <v>268893</v>
      </c>
      <c r="P418" s="240">
        <v>843518</v>
      </c>
      <c r="Q418" s="243">
        <v>10022148</v>
      </c>
      <c r="R418" s="244">
        <v>49.223281860351563</v>
      </c>
      <c r="S418" s="244">
        <v>26.829877853393555</v>
      </c>
      <c r="T418" s="244">
        <v>84.165390014648438</v>
      </c>
    </row>
    <row r="419" spans="2:20">
      <c r="B419" s="240" t="s">
        <v>513</v>
      </c>
      <c r="C419" s="240" t="s">
        <v>282</v>
      </c>
      <c r="D419" s="240" t="s">
        <v>502</v>
      </c>
      <c r="E419" s="272" t="s">
        <v>522</v>
      </c>
      <c r="F419" s="241" t="s">
        <v>281</v>
      </c>
      <c r="G419" s="240">
        <v>515645</v>
      </c>
      <c r="H419" s="240">
        <v>274425</v>
      </c>
      <c r="I419" s="240">
        <v>898540</v>
      </c>
      <c r="J419" s="271">
        <v>-0.182</v>
      </c>
      <c r="K419" s="2">
        <v>440117</v>
      </c>
      <c r="L419" s="240">
        <v>231359</v>
      </c>
      <c r="M419" s="240">
        <v>773669</v>
      </c>
      <c r="N419" s="240">
        <v>75528</v>
      </c>
      <c r="O419" s="240">
        <v>43066</v>
      </c>
      <c r="P419" s="240">
        <v>124871</v>
      </c>
      <c r="Q419" s="243">
        <v>1076644</v>
      </c>
      <c r="R419" s="244">
        <v>70.151321411132813</v>
      </c>
      <c r="S419" s="244">
        <v>40.000221252441406</v>
      </c>
      <c r="T419" s="244">
        <v>115.98169708251953</v>
      </c>
    </row>
    <row r="420" spans="2:20">
      <c r="B420" s="240" t="s">
        <v>513</v>
      </c>
      <c r="C420" s="240" t="s">
        <v>282</v>
      </c>
      <c r="D420" s="240" t="s">
        <v>201</v>
      </c>
      <c r="E420" s="240" t="s">
        <v>524</v>
      </c>
      <c r="F420" s="241" t="s">
        <v>281</v>
      </c>
      <c r="G420" s="240">
        <v>1031290</v>
      </c>
      <c r="H420" s="240">
        <v>548850</v>
      </c>
      <c r="I420" s="240">
        <v>1797080</v>
      </c>
      <c r="J420" s="271">
        <v>-9.0999999999999984E-2</v>
      </c>
      <c r="K420" s="2">
        <v>778961</v>
      </c>
      <c r="L420" s="240">
        <v>409003</v>
      </c>
      <c r="M420" s="240">
        <v>1367247</v>
      </c>
      <c r="N420" s="240">
        <v>252329</v>
      </c>
      <c r="O420" s="240">
        <v>139847</v>
      </c>
      <c r="P420" s="240">
        <v>429833</v>
      </c>
      <c r="Q420" s="243">
        <v>1521688</v>
      </c>
      <c r="R420" s="244">
        <v>165.82177734375</v>
      </c>
      <c r="S420" s="244">
        <v>91.902542114257813</v>
      </c>
      <c r="T420" s="244">
        <v>282.47119140625</v>
      </c>
    </row>
    <row r="421" spans="2:20">
      <c r="B421" s="240" t="s">
        <v>513</v>
      </c>
      <c r="C421" s="240" t="s">
        <v>282</v>
      </c>
      <c r="D421" s="240" t="s">
        <v>520</v>
      </c>
      <c r="E421" s="240" t="s">
        <v>523</v>
      </c>
      <c r="F421" s="241" t="s">
        <v>281</v>
      </c>
      <c r="G421" s="240">
        <v>1546935</v>
      </c>
      <c r="H421" s="240">
        <v>823275</v>
      </c>
      <c r="I421" s="240">
        <v>2695620</v>
      </c>
      <c r="J421" s="271">
        <v>-0.27299999999999996</v>
      </c>
      <c r="K421" s="2">
        <v>1219078</v>
      </c>
      <c r="L421" s="240">
        <v>640362</v>
      </c>
      <c r="M421" s="240">
        <v>2140916</v>
      </c>
      <c r="N421" s="240">
        <v>327857</v>
      </c>
      <c r="O421" s="240">
        <v>182913</v>
      </c>
      <c r="P421" s="240">
        <v>554704</v>
      </c>
      <c r="Q421" s="243">
        <v>2598332</v>
      </c>
      <c r="R421" s="244">
        <v>126.17979431152344</v>
      </c>
      <c r="S421" s="244">
        <v>70.396316528320313</v>
      </c>
      <c r="T421" s="244">
        <v>213.48464965820313</v>
      </c>
    </row>
    <row r="422" spans="2:20">
      <c r="B422" s="240" t="s">
        <v>513</v>
      </c>
      <c r="C422" s="240" t="s">
        <v>77</v>
      </c>
      <c r="D422" s="240" t="s">
        <v>502</v>
      </c>
      <c r="E422" s="272" t="s">
        <v>522</v>
      </c>
      <c r="F422" s="241" t="s">
        <v>281</v>
      </c>
      <c r="G422" s="240">
        <v>515645</v>
      </c>
      <c r="H422" s="240">
        <v>274425</v>
      </c>
      <c r="I422" s="240">
        <v>898540</v>
      </c>
      <c r="J422" s="271">
        <v>-5.4000000000000006E-2</v>
      </c>
      <c r="K422" s="2">
        <v>472533</v>
      </c>
      <c r="L422" s="240">
        <v>248372</v>
      </c>
      <c r="M422" s="240">
        <v>832526</v>
      </c>
      <c r="N422" s="240">
        <v>43112</v>
      </c>
      <c r="O422" s="240">
        <v>26053</v>
      </c>
      <c r="P422" s="240">
        <v>66014</v>
      </c>
      <c r="Q422" s="243">
        <v>1821516</v>
      </c>
      <c r="R422" s="244">
        <v>23.668197631835938</v>
      </c>
      <c r="S422" s="244">
        <v>14.302921295166016</v>
      </c>
      <c r="T422" s="244">
        <v>36.241241455078125</v>
      </c>
    </row>
    <row r="423" spans="2:20">
      <c r="B423" s="240" t="s">
        <v>513</v>
      </c>
      <c r="C423" s="240" t="s">
        <v>77</v>
      </c>
      <c r="D423" s="240" t="s">
        <v>201</v>
      </c>
      <c r="E423" s="240" t="s">
        <v>524</v>
      </c>
      <c r="F423" s="241" t="s">
        <v>281</v>
      </c>
      <c r="G423" s="240">
        <v>1031290</v>
      </c>
      <c r="H423" s="240">
        <v>548850</v>
      </c>
      <c r="I423" s="240">
        <v>1797080</v>
      </c>
      <c r="J423" s="271">
        <v>-8.0000000000000019E-3</v>
      </c>
      <c r="K423" s="2">
        <v>924682</v>
      </c>
      <c r="L423" s="240">
        <v>485867</v>
      </c>
      <c r="M423" s="240">
        <v>1627766</v>
      </c>
      <c r="N423" s="240">
        <v>106608</v>
      </c>
      <c r="O423" s="240">
        <v>62983</v>
      </c>
      <c r="P423" s="240">
        <v>169314</v>
      </c>
      <c r="Q423" s="243">
        <v>1794453</v>
      </c>
      <c r="R423" s="244">
        <v>59.409748077392578</v>
      </c>
      <c r="S423" s="244">
        <v>35.098716735839844</v>
      </c>
      <c r="T423" s="244">
        <v>94.354103088378906</v>
      </c>
    </row>
    <row r="424" spans="2:20">
      <c r="B424" s="240" t="s">
        <v>513</v>
      </c>
      <c r="C424" s="240" t="s">
        <v>77</v>
      </c>
      <c r="D424" s="240" t="s">
        <v>520</v>
      </c>
      <c r="E424" s="240" t="s">
        <v>523</v>
      </c>
      <c r="F424" s="241" t="s">
        <v>281</v>
      </c>
      <c r="G424" s="240">
        <v>1546935</v>
      </c>
      <c r="H424" s="240">
        <v>823275</v>
      </c>
      <c r="I424" s="240">
        <v>2695620</v>
      </c>
      <c r="J424" s="271">
        <v>-6.2000000000000027E-2</v>
      </c>
      <c r="K424" s="2">
        <v>1397215</v>
      </c>
      <c r="L424" s="240">
        <v>734239</v>
      </c>
      <c r="M424" s="240">
        <v>2460292</v>
      </c>
      <c r="N424" s="240">
        <v>149720</v>
      </c>
      <c r="O424" s="240">
        <v>89036</v>
      </c>
      <c r="P424" s="240">
        <v>235328</v>
      </c>
      <c r="Q424" s="243">
        <v>3615969</v>
      </c>
      <c r="R424" s="244">
        <v>41.405223846435547</v>
      </c>
      <c r="S424" s="244">
        <v>24.62299919128418</v>
      </c>
      <c r="T424" s="244">
        <v>65.0802001953125</v>
      </c>
    </row>
    <row r="425" spans="2:20">
      <c r="B425" s="240" t="s">
        <v>513</v>
      </c>
      <c r="C425" s="240" t="s">
        <v>121</v>
      </c>
      <c r="D425" s="240" t="s">
        <v>502</v>
      </c>
      <c r="E425" s="272" t="s">
        <v>522</v>
      </c>
      <c r="F425" s="241" t="s">
        <v>281</v>
      </c>
      <c r="G425" s="240">
        <v>515645</v>
      </c>
      <c r="H425" s="240">
        <v>274425</v>
      </c>
      <c r="I425" s="240">
        <v>898540</v>
      </c>
      <c r="J425" s="271">
        <v>-0.1</v>
      </c>
      <c r="K425" s="2">
        <v>461522</v>
      </c>
      <c r="L425" s="240">
        <v>242629</v>
      </c>
      <c r="M425" s="240">
        <v>812118</v>
      </c>
      <c r="N425" s="240">
        <v>54123</v>
      </c>
      <c r="O425" s="240">
        <v>31796</v>
      </c>
      <c r="P425" s="240">
        <v>86422</v>
      </c>
      <c r="Q425" s="243">
        <v>920267</v>
      </c>
      <c r="R425" s="244">
        <v>58.812278747558594</v>
      </c>
      <c r="S425" s="244">
        <v>34.55084228515625</v>
      </c>
      <c r="T425" s="244">
        <v>93.909698486328125</v>
      </c>
    </row>
    <row r="426" spans="2:20">
      <c r="B426" s="240" t="s">
        <v>513</v>
      </c>
      <c r="C426" s="240" t="s">
        <v>121</v>
      </c>
      <c r="D426" s="240" t="s">
        <v>201</v>
      </c>
      <c r="E426" s="240" t="s">
        <v>524</v>
      </c>
      <c r="F426" s="241" t="s">
        <v>281</v>
      </c>
      <c r="G426" s="240">
        <v>1031290</v>
      </c>
      <c r="H426" s="240">
        <v>548850</v>
      </c>
      <c r="I426" s="240">
        <v>1797080</v>
      </c>
      <c r="J426" s="271">
        <v>-2.0000000000000004E-2</v>
      </c>
      <c r="K426" s="2">
        <v>879619</v>
      </c>
      <c r="L426" s="240">
        <v>463105</v>
      </c>
      <c r="M426" s="240">
        <v>1547248</v>
      </c>
      <c r="N426" s="240">
        <v>151671</v>
      </c>
      <c r="O426" s="240">
        <v>85745</v>
      </c>
      <c r="P426" s="240">
        <v>249832</v>
      </c>
      <c r="Q426" s="243">
        <v>997748</v>
      </c>
      <c r="R426" s="244">
        <v>152.01333618164063</v>
      </c>
      <c r="S426" s="244">
        <v>85.938529968261719</v>
      </c>
      <c r="T426" s="244">
        <v>250.39588928222656</v>
      </c>
    </row>
    <row r="427" spans="2:20">
      <c r="B427" s="240" t="s">
        <v>513</v>
      </c>
      <c r="C427" s="240" t="s">
        <v>121</v>
      </c>
      <c r="D427" s="240" t="s">
        <v>520</v>
      </c>
      <c r="E427" s="240" t="s">
        <v>523</v>
      </c>
      <c r="F427" s="241" t="s">
        <v>281</v>
      </c>
      <c r="G427" s="240">
        <v>1546935</v>
      </c>
      <c r="H427" s="240">
        <v>823275</v>
      </c>
      <c r="I427" s="240">
        <v>2695620</v>
      </c>
      <c r="J427" s="271">
        <v>-0.12000000000000002</v>
      </c>
      <c r="K427" s="2">
        <v>1341141</v>
      </c>
      <c r="L427" s="240">
        <v>705734</v>
      </c>
      <c r="M427" s="240">
        <v>2359366</v>
      </c>
      <c r="N427" s="240">
        <v>205794</v>
      </c>
      <c r="O427" s="240">
        <v>117541</v>
      </c>
      <c r="P427" s="240">
        <v>336254</v>
      </c>
      <c r="Q427" s="243">
        <v>1918015</v>
      </c>
      <c r="R427" s="244">
        <v>107.29530334472656</v>
      </c>
      <c r="S427" s="244">
        <v>61.282627105712891</v>
      </c>
      <c r="T427" s="244">
        <v>175.31353759765625</v>
      </c>
    </row>
    <row r="428" spans="2:20">
      <c r="B428" s="240" t="s">
        <v>513</v>
      </c>
      <c r="C428" s="240" t="s">
        <v>122</v>
      </c>
      <c r="D428" s="240" t="s">
        <v>502</v>
      </c>
      <c r="E428" s="272" t="s">
        <v>522</v>
      </c>
      <c r="F428" s="241" t="s">
        <v>281</v>
      </c>
      <c r="G428" s="240">
        <v>515645</v>
      </c>
      <c r="H428" s="240">
        <v>274425</v>
      </c>
      <c r="I428" s="240">
        <v>898540</v>
      </c>
      <c r="J428" s="271">
        <v>-0.06</v>
      </c>
      <c r="K428" s="2">
        <v>471300</v>
      </c>
      <c r="L428" s="240">
        <v>247656</v>
      </c>
      <c r="M428" s="240">
        <v>830093</v>
      </c>
      <c r="N428" s="240">
        <v>44345</v>
      </c>
      <c r="O428" s="240">
        <v>26769</v>
      </c>
      <c r="P428" s="240">
        <v>68447</v>
      </c>
      <c r="Q428" s="243">
        <v>930018</v>
      </c>
      <c r="R428" s="244">
        <v>47.681873321533203</v>
      </c>
      <c r="S428" s="244">
        <v>28.783313751220703</v>
      </c>
      <c r="T428" s="244">
        <v>73.597503662109375</v>
      </c>
    </row>
    <row r="429" spans="2:20">
      <c r="B429" s="240" t="s">
        <v>513</v>
      </c>
      <c r="C429" s="240" t="s">
        <v>122</v>
      </c>
      <c r="D429" s="240" t="s">
        <v>201</v>
      </c>
      <c r="E429" s="240" t="s">
        <v>524</v>
      </c>
      <c r="F429" s="241" t="s">
        <v>281</v>
      </c>
      <c r="G429" s="240">
        <v>1031290</v>
      </c>
      <c r="H429" s="240">
        <v>548850</v>
      </c>
      <c r="I429" s="240">
        <v>1797080</v>
      </c>
      <c r="J429" s="271">
        <v>-2.9999999999999995E-2</v>
      </c>
      <c r="K429" s="2">
        <v>910036</v>
      </c>
      <c r="L429" s="240">
        <v>478321</v>
      </c>
      <c r="M429" s="240">
        <v>1599801</v>
      </c>
      <c r="N429" s="240">
        <v>121254</v>
      </c>
      <c r="O429" s="240">
        <v>70529</v>
      </c>
      <c r="P429" s="240">
        <v>197279</v>
      </c>
      <c r="Q429" s="243">
        <v>959822</v>
      </c>
      <c r="R429" s="244">
        <v>126.32967376708984</v>
      </c>
      <c r="S429" s="244">
        <v>73.481330871582031</v>
      </c>
      <c r="T429" s="244">
        <v>205.53706359863281</v>
      </c>
    </row>
    <row r="430" spans="2:20">
      <c r="B430" s="240" t="s">
        <v>513</v>
      </c>
      <c r="C430" s="240" t="s">
        <v>122</v>
      </c>
      <c r="D430" s="240" t="s">
        <v>520</v>
      </c>
      <c r="E430" s="240" t="s">
        <v>523</v>
      </c>
      <c r="F430" s="241" t="s">
        <v>281</v>
      </c>
      <c r="G430" s="240">
        <v>1546935</v>
      </c>
      <c r="H430" s="240">
        <v>823275</v>
      </c>
      <c r="I430" s="240">
        <v>2695620</v>
      </c>
      <c r="J430" s="271">
        <v>-9.0000000000000024E-2</v>
      </c>
      <c r="K430" s="2">
        <v>1381336</v>
      </c>
      <c r="L430" s="240">
        <v>725977</v>
      </c>
      <c r="M430" s="240">
        <v>2429894</v>
      </c>
      <c r="N430" s="240">
        <v>165599</v>
      </c>
      <c r="O430" s="240">
        <v>97298</v>
      </c>
      <c r="P430" s="240">
        <v>265726</v>
      </c>
      <c r="Q430" s="243">
        <v>1889840</v>
      </c>
      <c r="R430" s="244">
        <v>87.625938415527344</v>
      </c>
      <c r="S430" s="244">
        <v>51.484783172607422</v>
      </c>
      <c r="T430" s="244">
        <v>140.607666015625</v>
      </c>
    </row>
    <row r="431" spans="2:20">
      <c r="B431" s="240" t="s">
        <v>514</v>
      </c>
      <c r="C431" s="240" t="s">
        <v>242</v>
      </c>
      <c r="D431" s="240" t="s">
        <v>502</v>
      </c>
      <c r="E431" s="272" t="s">
        <v>522</v>
      </c>
      <c r="F431" s="241" t="s">
        <v>281</v>
      </c>
      <c r="G431" s="240">
        <v>68575</v>
      </c>
      <c r="H431" s="240">
        <v>22760</v>
      </c>
      <c r="I431" s="240">
        <v>144125</v>
      </c>
      <c r="J431" s="271">
        <v>-0.33</v>
      </c>
      <c r="K431" s="2">
        <v>51108</v>
      </c>
      <c r="L431" s="240">
        <v>15710</v>
      </c>
      <c r="M431" s="240">
        <v>110996</v>
      </c>
      <c r="N431" s="240">
        <v>17467</v>
      </c>
      <c r="O431" s="240">
        <v>7050</v>
      </c>
      <c r="P431" s="240">
        <v>33129</v>
      </c>
      <c r="Q431" s="243">
        <v>4748445</v>
      </c>
      <c r="R431" s="244">
        <v>3.6784672737121582</v>
      </c>
      <c r="S431" s="244">
        <v>1.484696626663208</v>
      </c>
      <c r="T431" s="244">
        <v>6.9768104553222656</v>
      </c>
    </row>
    <row r="432" spans="2:20">
      <c r="B432" s="240" t="s">
        <v>514</v>
      </c>
      <c r="C432" s="240" t="s">
        <v>242</v>
      </c>
      <c r="D432" s="240" t="s">
        <v>201</v>
      </c>
      <c r="E432" s="240" t="s">
        <v>524</v>
      </c>
      <c r="F432" s="241" t="s">
        <v>281</v>
      </c>
      <c r="G432" s="240">
        <v>137150</v>
      </c>
      <c r="H432" s="240">
        <v>45520</v>
      </c>
      <c r="I432" s="240">
        <v>288250</v>
      </c>
      <c r="J432" s="271">
        <v>-0.12399999999999997</v>
      </c>
      <c r="K432" s="2">
        <v>82657</v>
      </c>
      <c r="L432" s="240">
        <v>25250</v>
      </c>
      <c r="M432" s="240">
        <v>179570</v>
      </c>
      <c r="N432" s="240">
        <v>54493</v>
      </c>
      <c r="O432" s="240">
        <v>20270</v>
      </c>
      <c r="P432" s="240">
        <v>108680</v>
      </c>
      <c r="Q432" s="243">
        <v>5273703</v>
      </c>
      <c r="R432" s="244">
        <v>10.332966804504395</v>
      </c>
      <c r="S432" s="244">
        <v>3.8435990810394287</v>
      </c>
      <c r="T432" s="244">
        <v>20.60791015625</v>
      </c>
    </row>
    <row r="433" spans="2:23">
      <c r="B433" s="240" t="s">
        <v>514</v>
      </c>
      <c r="C433" s="240" t="s">
        <v>242</v>
      </c>
      <c r="D433" s="240" t="s">
        <v>520</v>
      </c>
      <c r="E433" s="240" t="s">
        <v>523</v>
      </c>
      <c r="F433" s="241" t="s">
        <v>281</v>
      </c>
      <c r="G433" s="240">
        <v>205725</v>
      </c>
      <c r="H433" s="240">
        <v>68280</v>
      </c>
      <c r="I433" s="240">
        <v>432375</v>
      </c>
      <c r="J433" s="271">
        <v>-0.45400000000000024</v>
      </c>
      <c r="K433" s="2">
        <v>133765</v>
      </c>
      <c r="L433" s="240">
        <v>40960</v>
      </c>
      <c r="M433" s="240">
        <v>290566</v>
      </c>
      <c r="N433" s="240">
        <v>71960</v>
      </c>
      <c r="O433" s="240">
        <v>27320</v>
      </c>
      <c r="P433" s="240">
        <v>141809</v>
      </c>
      <c r="Q433" s="243">
        <v>10022148</v>
      </c>
      <c r="R433" s="244">
        <v>7.1800975799560547</v>
      </c>
      <c r="S433" s="244">
        <v>2.7259626388549805</v>
      </c>
      <c r="T433" s="244">
        <v>14.149561882019043</v>
      </c>
    </row>
    <row r="434" spans="2:23">
      <c r="B434" s="240" t="s">
        <v>514</v>
      </c>
      <c r="C434" s="240" t="s">
        <v>282</v>
      </c>
      <c r="D434" s="240" t="s">
        <v>502</v>
      </c>
      <c r="E434" s="272" t="s">
        <v>522</v>
      </c>
      <c r="F434" s="241" t="s">
        <v>281</v>
      </c>
      <c r="G434" s="240">
        <v>68575</v>
      </c>
      <c r="H434" s="240">
        <v>22760</v>
      </c>
      <c r="I434" s="240">
        <v>144125</v>
      </c>
      <c r="J434" s="271">
        <v>-0.182</v>
      </c>
      <c r="K434" s="2">
        <v>55796</v>
      </c>
      <c r="L434" s="240">
        <v>17010</v>
      </c>
      <c r="M434" s="240">
        <v>121212</v>
      </c>
      <c r="N434" s="240">
        <v>12779</v>
      </c>
      <c r="O434" s="240">
        <v>5750</v>
      </c>
      <c r="P434" s="240">
        <v>22913</v>
      </c>
      <c r="Q434" s="243">
        <v>1076644</v>
      </c>
      <c r="R434" s="244">
        <v>11.869290351867676</v>
      </c>
      <c r="S434" s="244">
        <v>5.3406696319580078</v>
      </c>
      <c r="T434" s="244">
        <v>21.281871795654297</v>
      </c>
    </row>
    <row r="435" spans="2:23">
      <c r="B435" s="240" t="s">
        <v>514</v>
      </c>
      <c r="C435" s="240" t="s">
        <v>282</v>
      </c>
      <c r="D435" s="240" t="s">
        <v>201</v>
      </c>
      <c r="E435" s="240" t="s">
        <v>524</v>
      </c>
      <c r="F435" s="241" t="s">
        <v>281</v>
      </c>
      <c r="G435" s="240">
        <v>137150</v>
      </c>
      <c r="H435" s="240">
        <v>45520</v>
      </c>
      <c r="I435" s="240">
        <v>288250</v>
      </c>
      <c r="J435" s="271">
        <v>-9.0999999999999984E-2</v>
      </c>
      <c r="K435" s="2">
        <v>99216</v>
      </c>
      <c r="L435" s="240">
        <v>30491</v>
      </c>
      <c r="M435" s="240">
        <v>214882</v>
      </c>
      <c r="N435" s="240">
        <v>37934</v>
      </c>
      <c r="O435" s="240">
        <v>15029</v>
      </c>
      <c r="P435" s="240">
        <v>73368</v>
      </c>
      <c r="Q435" s="243">
        <v>1521688</v>
      </c>
      <c r="R435" s="244">
        <v>24.92889404296875</v>
      </c>
      <c r="S435" s="244">
        <v>9.8765316009521484</v>
      </c>
      <c r="T435" s="244">
        <v>48.214878082275391</v>
      </c>
    </row>
    <row r="436" spans="2:23">
      <c r="B436" s="240" t="s">
        <v>514</v>
      </c>
      <c r="C436" s="240" t="s">
        <v>282</v>
      </c>
      <c r="D436" s="240" t="s">
        <v>520</v>
      </c>
      <c r="E436" s="240" t="s">
        <v>523</v>
      </c>
      <c r="F436" s="241" t="s">
        <v>281</v>
      </c>
      <c r="G436" s="240">
        <v>205725</v>
      </c>
      <c r="H436" s="240">
        <v>68280</v>
      </c>
      <c r="I436" s="240">
        <v>432375</v>
      </c>
      <c r="J436" s="271">
        <v>-0.27299999999999996</v>
      </c>
      <c r="K436" s="2">
        <v>155012</v>
      </c>
      <c r="L436" s="240">
        <v>47501</v>
      </c>
      <c r="M436" s="240">
        <v>336094</v>
      </c>
      <c r="N436" s="240">
        <v>50713</v>
      </c>
      <c r="O436" s="240">
        <v>20779</v>
      </c>
      <c r="P436" s="240">
        <v>96281</v>
      </c>
      <c r="Q436" s="243">
        <v>2598332</v>
      </c>
      <c r="R436" s="244">
        <v>19.517520904541016</v>
      </c>
      <c r="S436" s="244">
        <v>7.9970536231994629</v>
      </c>
      <c r="T436" s="244">
        <v>37.054927825927734</v>
      </c>
    </row>
    <row r="437" spans="2:23">
      <c r="B437" s="240" t="s">
        <v>514</v>
      </c>
      <c r="C437" s="240" t="s">
        <v>77</v>
      </c>
      <c r="D437" s="240" t="s">
        <v>502</v>
      </c>
      <c r="E437" s="272" t="s">
        <v>522</v>
      </c>
      <c r="F437" s="241" t="s">
        <v>281</v>
      </c>
      <c r="G437" s="240">
        <v>68575</v>
      </c>
      <c r="H437" s="240">
        <v>22760</v>
      </c>
      <c r="I437" s="240">
        <v>144125</v>
      </c>
      <c r="J437" s="271">
        <v>-5.4000000000000006E-2</v>
      </c>
      <c r="K437" s="2">
        <v>59634</v>
      </c>
      <c r="L437" s="240">
        <v>17987</v>
      </c>
      <c r="M437" s="240">
        <v>130272</v>
      </c>
      <c r="N437" s="240">
        <v>8941</v>
      </c>
      <c r="O437" s="240">
        <v>4773</v>
      </c>
      <c r="P437" s="240">
        <v>13853</v>
      </c>
      <c r="Q437" s="243">
        <v>1821516</v>
      </c>
      <c r="R437" s="244">
        <v>4.9085488319396973</v>
      </c>
      <c r="S437" s="244">
        <v>2.620344877243042</v>
      </c>
      <c r="T437" s="244">
        <v>7.6052036285400391</v>
      </c>
    </row>
    <row r="438" spans="2:23">
      <c r="B438" s="240" t="s">
        <v>514</v>
      </c>
      <c r="C438" s="240" t="s">
        <v>77</v>
      </c>
      <c r="D438" s="240" t="s">
        <v>201</v>
      </c>
      <c r="E438" s="240" t="s">
        <v>524</v>
      </c>
      <c r="F438" s="241" t="s">
        <v>281</v>
      </c>
      <c r="G438" s="240">
        <v>137150</v>
      </c>
      <c r="H438" s="240">
        <v>45520</v>
      </c>
      <c r="I438" s="240">
        <v>288250</v>
      </c>
      <c r="J438" s="271">
        <v>-8.0000000000000019E-3</v>
      </c>
      <c r="K438" s="2">
        <v>117299</v>
      </c>
      <c r="L438" s="240">
        <v>35474</v>
      </c>
      <c r="M438" s="240">
        <v>255177</v>
      </c>
      <c r="N438" s="240">
        <v>19851</v>
      </c>
      <c r="O438" s="240">
        <v>10046</v>
      </c>
      <c r="P438" s="240">
        <v>33073</v>
      </c>
      <c r="Q438" s="243">
        <v>1794453</v>
      </c>
      <c r="R438" s="244">
        <v>11.062423706054688</v>
      </c>
      <c r="S438" s="244">
        <v>5.5983633995056152</v>
      </c>
      <c r="T438" s="244">
        <v>18.430686950683594</v>
      </c>
    </row>
    <row r="439" spans="2:23">
      <c r="B439" s="240" t="s">
        <v>514</v>
      </c>
      <c r="C439" s="240" t="s">
        <v>77</v>
      </c>
      <c r="D439" s="240" t="s">
        <v>520</v>
      </c>
      <c r="E439" s="240" t="s">
        <v>523</v>
      </c>
      <c r="F439" s="241" t="s">
        <v>281</v>
      </c>
      <c r="G439" s="240">
        <v>205725</v>
      </c>
      <c r="H439" s="240">
        <v>68280</v>
      </c>
      <c r="I439" s="240">
        <v>432375</v>
      </c>
      <c r="J439" s="271">
        <v>-6.2000000000000027E-2</v>
      </c>
      <c r="K439" s="2">
        <v>176933</v>
      </c>
      <c r="L439" s="240">
        <v>53461</v>
      </c>
      <c r="M439" s="240">
        <v>385449</v>
      </c>
      <c r="N439" s="240">
        <v>28792</v>
      </c>
      <c r="O439" s="240">
        <v>14819</v>
      </c>
      <c r="P439" s="240">
        <v>46926</v>
      </c>
      <c r="Q439" s="243">
        <v>3615969</v>
      </c>
      <c r="R439" s="244">
        <v>7.9624576568603516</v>
      </c>
      <c r="S439" s="244">
        <v>4.0982098579406738</v>
      </c>
      <c r="T439" s="244">
        <v>12.977434158325195</v>
      </c>
    </row>
    <row r="440" spans="2:23">
      <c r="B440" s="240" t="s">
        <v>514</v>
      </c>
      <c r="C440" s="240" t="s">
        <v>121</v>
      </c>
      <c r="D440" s="240" t="s">
        <v>502</v>
      </c>
      <c r="E440" s="272" t="s">
        <v>522</v>
      </c>
      <c r="F440" s="241" t="s">
        <v>281</v>
      </c>
      <c r="G440" s="240">
        <v>68575</v>
      </c>
      <c r="H440" s="240">
        <v>22760</v>
      </c>
      <c r="I440" s="240">
        <v>144125</v>
      </c>
      <c r="J440" s="271">
        <v>-0.1</v>
      </c>
      <c r="K440" s="2">
        <v>58452</v>
      </c>
      <c r="L440" s="240">
        <v>17707</v>
      </c>
      <c r="M440" s="240">
        <v>127118</v>
      </c>
      <c r="N440" s="240">
        <v>10123</v>
      </c>
      <c r="O440" s="240">
        <v>5053</v>
      </c>
      <c r="P440" s="240">
        <v>17007</v>
      </c>
      <c r="Q440" s="243">
        <v>920267</v>
      </c>
      <c r="R440" s="244">
        <v>11.000068664550781</v>
      </c>
      <c r="S440" s="244">
        <v>5.4907979965209961</v>
      </c>
      <c r="T440" s="244">
        <v>18.480506896972656</v>
      </c>
    </row>
    <row r="441" spans="2:23">
      <c r="B441" s="240" t="s">
        <v>514</v>
      </c>
      <c r="C441" s="240" t="s">
        <v>121</v>
      </c>
      <c r="D441" s="240" t="s">
        <v>201</v>
      </c>
      <c r="E441" s="240" t="s">
        <v>524</v>
      </c>
      <c r="F441" s="241" t="s">
        <v>281</v>
      </c>
      <c r="G441" s="240">
        <v>137150</v>
      </c>
      <c r="H441" s="240">
        <v>45520</v>
      </c>
      <c r="I441" s="240">
        <v>288250</v>
      </c>
      <c r="J441" s="271">
        <v>-2.0000000000000004E-2</v>
      </c>
      <c r="K441" s="2">
        <v>111979</v>
      </c>
      <c r="L441" s="240">
        <v>34164</v>
      </c>
      <c r="M441" s="240">
        <v>242602</v>
      </c>
      <c r="N441" s="240">
        <v>25171</v>
      </c>
      <c r="O441" s="240">
        <v>11356</v>
      </c>
      <c r="P441" s="240">
        <v>45648</v>
      </c>
      <c r="Q441" s="243">
        <v>997748</v>
      </c>
      <c r="R441" s="244">
        <v>25.227813720703125</v>
      </c>
      <c r="S441" s="244">
        <v>11.381631851196289</v>
      </c>
      <c r="T441" s="244">
        <v>45.751029968261719</v>
      </c>
    </row>
    <row r="442" spans="2:23">
      <c r="B442" s="240" t="s">
        <v>514</v>
      </c>
      <c r="C442" s="240" t="s">
        <v>121</v>
      </c>
      <c r="D442" s="240" t="s">
        <v>520</v>
      </c>
      <c r="E442" s="240" t="s">
        <v>523</v>
      </c>
      <c r="F442" s="241" t="s">
        <v>281</v>
      </c>
      <c r="G442" s="240">
        <v>205725</v>
      </c>
      <c r="H442" s="240">
        <v>68280</v>
      </c>
      <c r="I442" s="240">
        <v>432375</v>
      </c>
      <c r="J442" s="271">
        <v>-0.12000000000000002</v>
      </c>
      <c r="K442" s="2">
        <v>170431</v>
      </c>
      <c r="L442" s="240">
        <v>51871</v>
      </c>
      <c r="M442" s="240">
        <v>369720</v>
      </c>
      <c r="N442" s="240">
        <v>35294</v>
      </c>
      <c r="O442" s="240">
        <v>16409</v>
      </c>
      <c r="P442" s="240">
        <v>62655</v>
      </c>
      <c r="Q442" s="243">
        <v>1918015</v>
      </c>
      <c r="R442" s="244">
        <v>18.401315689086914</v>
      </c>
      <c r="S442" s="244">
        <v>8.5551986694335938</v>
      </c>
      <c r="T442" s="244">
        <v>32.666584014892578</v>
      </c>
    </row>
    <row r="443" spans="2:23">
      <c r="B443" s="240" t="s">
        <v>514</v>
      </c>
      <c r="C443" s="240" t="s">
        <v>122</v>
      </c>
      <c r="D443" s="240" t="s">
        <v>502</v>
      </c>
      <c r="E443" s="272" t="s">
        <v>522</v>
      </c>
      <c r="F443" s="241" t="s">
        <v>281</v>
      </c>
      <c r="G443" s="240">
        <v>68575</v>
      </c>
      <c r="H443" s="240">
        <v>22760</v>
      </c>
      <c r="I443" s="240">
        <v>144125</v>
      </c>
      <c r="J443" s="271">
        <v>-0.06</v>
      </c>
      <c r="K443" s="2">
        <v>59505</v>
      </c>
      <c r="L443" s="240">
        <v>17940</v>
      </c>
      <c r="M443" s="240">
        <v>129894</v>
      </c>
      <c r="N443" s="240">
        <v>9070</v>
      </c>
      <c r="O443" s="240">
        <v>4820</v>
      </c>
      <c r="P443" s="240">
        <v>14231</v>
      </c>
      <c r="Q443" s="243">
        <v>930018</v>
      </c>
      <c r="R443" s="244">
        <v>9.7524995803833008</v>
      </c>
      <c r="S443" s="244">
        <v>5.1826953887939453</v>
      </c>
      <c r="T443" s="244">
        <v>15.301854133605957</v>
      </c>
    </row>
    <row r="444" spans="2:23">
      <c r="B444" s="240" t="s">
        <v>514</v>
      </c>
      <c r="C444" s="240" t="s">
        <v>122</v>
      </c>
      <c r="D444" s="240" t="s">
        <v>201</v>
      </c>
      <c r="E444" s="240" t="s">
        <v>524</v>
      </c>
      <c r="F444" s="241" t="s">
        <v>281</v>
      </c>
      <c r="G444" s="240">
        <v>137150</v>
      </c>
      <c r="H444" s="240">
        <v>45520</v>
      </c>
      <c r="I444" s="240">
        <v>288250</v>
      </c>
      <c r="J444" s="271">
        <v>-2.9999999999999995E-2</v>
      </c>
      <c r="K444" s="2">
        <v>115501</v>
      </c>
      <c r="L444" s="240">
        <v>35077</v>
      </c>
      <c r="M444" s="240">
        <v>250665</v>
      </c>
      <c r="N444" s="240">
        <v>21649</v>
      </c>
      <c r="O444" s="240">
        <v>10443</v>
      </c>
      <c r="P444" s="240">
        <v>37585</v>
      </c>
      <c r="Q444" s="243">
        <v>959822</v>
      </c>
      <c r="R444" s="244">
        <v>22.55522346496582</v>
      </c>
      <c r="S444" s="244">
        <v>10.880142211914063</v>
      </c>
      <c r="T444" s="244">
        <v>39.158302307128906</v>
      </c>
    </row>
    <row r="445" spans="2:23">
      <c r="B445" s="240" t="s">
        <v>514</v>
      </c>
      <c r="C445" s="240" t="s">
        <v>122</v>
      </c>
      <c r="D445" s="240" t="s">
        <v>520</v>
      </c>
      <c r="E445" s="240" t="s">
        <v>523</v>
      </c>
      <c r="F445" s="241" t="s">
        <v>281</v>
      </c>
      <c r="G445" s="240">
        <v>205725</v>
      </c>
      <c r="H445" s="240">
        <v>68280</v>
      </c>
      <c r="I445" s="240">
        <v>432375</v>
      </c>
      <c r="J445" s="271">
        <v>-9.0000000000000024E-2</v>
      </c>
      <c r="K445" s="2">
        <v>175006</v>
      </c>
      <c r="L445" s="240">
        <v>53017</v>
      </c>
      <c r="M445" s="240">
        <v>380559</v>
      </c>
      <c r="N445" s="240">
        <v>30719</v>
      </c>
      <c r="O445" s="240">
        <v>15263</v>
      </c>
      <c r="P445" s="240">
        <v>51816</v>
      </c>
      <c r="Q445" s="243">
        <v>1889840</v>
      </c>
      <c r="R445" s="244">
        <v>16.254816055297852</v>
      </c>
      <c r="S445" s="244">
        <v>8.0763454437255859</v>
      </c>
      <c r="T445" s="244">
        <v>27.418193817138672</v>
      </c>
    </row>
    <row r="446" spans="2:23">
      <c r="B446" s="240"/>
      <c r="C446" s="240"/>
      <c r="D446" s="240"/>
      <c r="E446" s="241"/>
      <c r="F446" s="241"/>
      <c r="G446" s="240"/>
      <c r="H446" s="240"/>
      <c r="I446" s="240"/>
      <c r="J446" s="240"/>
      <c r="K446" s="240"/>
      <c r="L446" s="240"/>
      <c r="M446" s="242"/>
      <c r="N446" s="240"/>
      <c r="O446" s="240"/>
      <c r="P446" s="240"/>
      <c r="Q446" s="240"/>
      <c r="R446" s="240"/>
      <c r="S446" s="240"/>
      <c r="T446" s="243"/>
      <c r="U446" s="244"/>
      <c r="V446" s="244"/>
      <c r="W446" s="244"/>
    </row>
    <row r="447" spans="2:23">
      <c r="B447" s="240"/>
      <c r="C447" s="240"/>
      <c r="D447" s="240"/>
      <c r="E447" s="241"/>
      <c r="F447" s="241"/>
      <c r="G447" s="240"/>
      <c r="H447" s="240"/>
      <c r="I447" s="240"/>
      <c r="J447" s="240"/>
      <c r="K447" s="240"/>
      <c r="L447" s="240"/>
      <c r="M447" s="242"/>
      <c r="N447" s="240"/>
      <c r="O447" s="240"/>
      <c r="P447" s="240"/>
      <c r="Q447" s="240"/>
      <c r="R447" s="240"/>
      <c r="S447" s="240"/>
      <c r="T447" s="243"/>
      <c r="U447" s="244"/>
      <c r="V447" s="244"/>
      <c r="W447" s="244"/>
    </row>
  </sheetData>
  <pageMargins left="0.7" right="0.7" top="0.75" bottom="0.75" header="0.3" footer="0.3"/>
  <pageSetup orientation="portrait" horizontalDpi="0" verticalDpi="0"/>
  <drawing r:id="rId1"/>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88"/>
  <sheetViews>
    <sheetView topLeftCell="A46" workbookViewId="0"/>
  </sheetViews>
  <sheetFormatPr defaultColWidth="8.85546875" defaultRowHeight="15"/>
  <cols>
    <col min="1" max="1" width="8.85546875" style="6"/>
    <col min="2" max="2" width="50" style="6" customWidth="1"/>
    <col min="3" max="3" width="26.28515625" style="6" customWidth="1"/>
    <col min="4" max="4" width="28" style="6" customWidth="1"/>
    <col min="5" max="5" width="25.42578125" style="6" customWidth="1"/>
    <col min="6" max="6" width="90.85546875" style="6" customWidth="1"/>
    <col min="7" max="7" width="21.85546875" style="6" customWidth="1"/>
    <col min="8" max="8" width="23" style="6" customWidth="1"/>
    <col min="9" max="9" width="22.7109375" style="6" customWidth="1"/>
    <col min="10" max="10" width="21.85546875" style="6" customWidth="1"/>
    <col min="11" max="11" width="22.7109375" style="6" customWidth="1"/>
    <col min="12" max="12" width="43.140625" style="6" customWidth="1"/>
    <col min="13" max="13" width="35.7109375" style="6" customWidth="1"/>
    <col min="14" max="14" width="30.85546875" style="6" customWidth="1"/>
    <col min="15" max="15" width="33.140625" style="6" customWidth="1"/>
    <col min="16" max="16" width="23" style="6" customWidth="1"/>
    <col min="17" max="17" width="22.7109375" style="6" customWidth="1"/>
    <col min="18" max="18" width="21.85546875" style="6" customWidth="1"/>
    <col min="19" max="19" width="22.7109375" style="6" customWidth="1"/>
    <col min="20" max="20" width="34" style="6" customWidth="1"/>
    <col min="21" max="21" width="21.85546875" style="6" customWidth="1"/>
    <col min="22" max="22" width="27.7109375" style="6" customWidth="1"/>
    <col min="23" max="16384" width="8.85546875" style="6"/>
  </cols>
  <sheetData>
    <row r="2" spans="2:6" ht="21">
      <c r="B2" s="97" t="s">
        <v>142</v>
      </c>
    </row>
    <row r="3" spans="2:6">
      <c r="B3" s="11"/>
    </row>
    <row r="4" spans="2:6">
      <c r="B4" s="148" t="s">
        <v>192</v>
      </c>
    </row>
    <row r="5" spans="2:6">
      <c r="B5" s="19"/>
    </row>
    <row r="6" spans="2:6" ht="15.75">
      <c r="B6" s="98" t="s">
        <v>143</v>
      </c>
    </row>
    <row r="8" spans="2:6">
      <c r="B8" s="86" t="s">
        <v>132</v>
      </c>
      <c r="C8" s="87" t="s">
        <v>133</v>
      </c>
      <c r="D8" s="87" t="s">
        <v>134</v>
      </c>
      <c r="E8" s="87" t="s">
        <v>135</v>
      </c>
      <c r="F8" s="6" t="s">
        <v>4</v>
      </c>
    </row>
    <row r="9" spans="2:6" ht="20.100000000000001" customHeight="1">
      <c r="B9" s="90" t="s">
        <v>139</v>
      </c>
      <c r="C9" s="93">
        <v>2.6</v>
      </c>
      <c r="D9" s="93">
        <v>2</v>
      </c>
      <c r="E9" s="93">
        <v>4</v>
      </c>
      <c r="F9" s="91" t="s">
        <v>137</v>
      </c>
    </row>
    <row r="10" spans="2:6" ht="20.100000000000001" customHeight="1">
      <c r="B10" s="90" t="s">
        <v>138</v>
      </c>
      <c r="C10" s="94">
        <v>0.01</v>
      </c>
      <c r="D10" s="94">
        <v>0.01</v>
      </c>
      <c r="E10" s="94">
        <v>0.04</v>
      </c>
      <c r="F10" s="91" t="s">
        <v>137</v>
      </c>
    </row>
    <row r="11" spans="2:6" ht="20.100000000000001" customHeight="1">
      <c r="B11" s="90" t="s">
        <v>140</v>
      </c>
      <c r="C11" s="95">
        <v>15</v>
      </c>
      <c r="D11" s="96">
        <v>8</v>
      </c>
      <c r="E11" s="95">
        <v>15</v>
      </c>
      <c r="F11" s="88" t="s">
        <v>137</v>
      </c>
    </row>
    <row r="12" spans="2:6" ht="20.100000000000001" customHeight="1">
      <c r="B12" s="89" t="s">
        <v>141</v>
      </c>
      <c r="C12" s="95"/>
      <c r="D12" s="95"/>
      <c r="E12" s="95"/>
      <c r="F12" s="92" t="s">
        <v>137</v>
      </c>
    </row>
    <row r="13" spans="2:6" ht="20.100000000000001" customHeight="1">
      <c r="B13" s="101" t="s">
        <v>148</v>
      </c>
      <c r="C13" s="95">
        <v>21</v>
      </c>
      <c r="D13" s="95"/>
      <c r="E13" s="102"/>
      <c r="F13" s="106" t="s">
        <v>137</v>
      </c>
    </row>
    <row r="14" spans="2:6" ht="20.100000000000001" customHeight="1">
      <c r="B14" s="103" t="s">
        <v>145</v>
      </c>
      <c r="C14" s="104">
        <v>7.5</v>
      </c>
      <c r="D14" s="104"/>
      <c r="E14" s="105"/>
      <c r="F14" s="106" t="s">
        <v>137</v>
      </c>
    </row>
    <row r="15" spans="2:6" ht="20.100000000000001" customHeight="1">
      <c r="B15" s="103" t="s">
        <v>146</v>
      </c>
      <c r="C15" s="104">
        <v>249</v>
      </c>
      <c r="D15" s="104"/>
      <c r="E15" s="105"/>
      <c r="F15" s="106" t="s">
        <v>137</v>
      </c>
    </row>
    <row r="16" spans="2:6" ht="41.1" customHeight="1">
      <c r="B16" s="103" t="s">
        <v>152</v>
      </c>
      <c r="C16" s="147">
        <f>(($C$11*$C$15)/60/$C$14)</f>
        <v>8.3000000000000007</v>
      </c>
      <c r="D16" s="146"/>
      <c r="E16" s="105"/>
      <c r="F16" s="106"/>
    </row>
    <row r="18" spans="2:6">
      <c r="B18" s="6" t="s">
        <v>136</v>
      </c>
    </row>
    <row r="21" spans="2:6" ht="15.75">
      <c r="B21" s="99" t="s">
        <v>144</v>
      </c>
    </row>
    <row r="23" spans="2:6">
      <c r="B23" s="107" t="s">
        <v>3</v>
      </c>
      <c r="C23" s="108" t="s">
        <v>0</v>
      </c>
      <c r="D23" s="108" t="s">
        <v>8</v>
      </c>
      <c r="E23" s="108" t="s">
        <v>9</v>
      </c>
      <c r="F23" s="108" t="s">
        <v>4</v>
      </c>
    </row>
    <row r="24" spans="2:6">
      <c r="B24" s="342" t="s">
        <v>147</v>
      </c>
      <c r="C24" s="343">
        <v>2015</v>
      </c>
      <c r="D24" s="344">
        <v>938900</v>
      </c>
      <c r="E24" s="344">
        <v>841000</v>
      </c>
      <c r="F24" s="342"/>
    </row>
    <row r="25" spans="2:6" ht="50.1" customHeight="1">
      <c r="B25" s="342" t="s">
        <v>695</v>
      </c>
      <c r="C25" s="343">
        <v>2016</v>
      </c>
      <c r="D25" s="345">
        <v>0.56999999999999995</v>
      </c>
      <c r="E25" s="345">
        <v>7.0000000000000007E-2</v>
      </c>
      <c r="F25" s="346" t="s">
        <v>694</v>
      </c>
    </row>
    <row r="26" spans="2:6">
      <c r="B26" s="342" t="s">
        <v>696</v>
      </c>
      <c r="C26" s="343"/>
      <c r="D26" s="344">
        <f>D24*D25</f>
        <v>535173</v>
      </c>
      <c r="E26" s="344">
        <f>E24*E25</f>
        <v>58870.000000000007</v>
      </c>
      <c r="F26" s="342"/>
    </row>
    <row r="27" spans="2:6">
      <c r="B27" s="347" t="s">
        <v>6</v>
      </c>
      <c r="C27" s="348">
        <v>2015</v>
      </c>
      <c r="D27" s="349">
        <v>12891.6</v>
      </c>
      <c r="E27" s="350">
        <v>8310</v>
      </c>
      <c r="F27" s="347" t="s">
        <v>697</v>
      </c>
    </row>
    <row r="28" spans="2:6">
      <c r="B28" s="342" t="s">
        <v>5</v>
      </c>
      <c r="C28" s="343">
        <v>2015</v>
      </c>
      <c r="D28" s="349">
        <v>1074.3</v>
      </c>
      <c r="E28" s="349">
        <v>692.5</v>
      </c>
      <c r="F28" s="342" t="s">
        <v>697</v>
      </c>
    </row>
    <row r="29" spans="2:6">
      <c r="B29" s="342" t="s">
        <v>149</v>
      </c>
      <c r="C29" s="343">
        <v>2015</v>
      </c>
      <c r="D29" s="349">
        <f>D28/$C$13</f>
        <v>51.157142857142858</v>
      </c>
      <c r="E29" s="349">
        <f>E28/$C$13</f>
        <v>32.976190476190474</v>
      </c>
      <c r="F29" s="342" t="s">
        <v>697</v>
      </c>
    </row>
    <row r="32" spans="2:6" ht="21">
      <c r="B32" s="81" t="s">
        <v>92</v>
      </c>
    </row>
    <row r="34" spans="2:22" ht="15.75">
      <c r="B34" s="114" t="s">
        <v>3</v>
      </c>
      <c r="C34" s="115" t="s">
        <v>8</v>
      </c>
      <c r="D34" s="115" t="s">
        <v>9</v>
      </c>
      <c r="E34" s="116" t="s">
        <v>154</v>
      </c>
    </row>
    <row r="35" spans="2:22" ht="15.75">
      <c r="B35" s="112" t="s">
        <v>150</v>
      </c>
      <c r="C35" s="109">
        <f>$C$9*D$26*D$29</f>
        <v>71182596.197142854</v>
      </c>
      <c r="D35" s="109">
        <f>$C$9*E$26*E$29</f>
        <v>5047401.666666667</v>
      </c>
      <c r="E35" s="113">
        <f>C35+D35</f>
        <v>76229997.863809526</v>
      </c>
    </row>
    <row r="36" spans="2:22" ht="15.75">
      <c r="B36" s="112" t="s">
        <v>151</v>
      </c>
      <c r="C36" s="109">
        <f>$C$10*D$26*D$27</f>
        <v>68992362.46800001</v>
      </c>
      <c r="D36" s="109">
        <f>$C$10*E$26*E$27</f>
        <v>4892097</v>
      </c>
      <c r="E36" s="113">
        <f>C36+D36</f>
        <v>73884459.46800001</v>
      </c>
    </row>
    <row r="37" spans="2:22" ht="15.75">
      <c r="B37" s="111" t="s">
        <v>153</v>
      </c>
      <c r="C37" s="110">
        <f>$C$16*D$26*D$29</f>
        <v>227236749.39857146</v>
      </c>
      <c r="D37" s="110">
        <f>$C$16*E$26*E$29</f>
        <v>16112859.16666667</v>
      </c>
      <c r="E37" s="113">
        <f>C37+D37</f>
        <v>243349608.56523812</v>
      </c>
    </row>
    <row r="38" spans="2:22" ht="15.75">
      <c r="B38" s="117" t="s">
        <v>10</v>
      </c>
      <c r="C38" s="118">
        <f>C35+C36+C37</f>
        <v>367411708.06371433</v>
      </c>
      <c r="D38" s="118">
        <f>D35+D36+D37</f>
        <v>26052357.833333336</v>
      </c>
      <c r="E38" s="119">
        <f>C38+D38</f>
        <v>393464065.89704764</v>
      </c>
    </row>
    <row r="42" spans="2:22" ht="23.25">
      <c r="B42" s="80" t="s">
        <v>161</v>
      </c>
    </row>
    <row r="43" spans="2:22" ht="17.100000000000001" customHeight="1">
      <c r="B43" s="81"/>
    </row>
    <row r="44" spans="2:22" ht="17.100000000000001" customHeight="1">
      <c r="B44" s="81"/>
    </row>
    <row r="45" spans="2:22" ht="21">
      <c r="B45" s="81" t="s">
        <v>93</v>
      </c>
    </row>
    <row r="46" spans="2:22" ht="21">
      <c r="B46" s="81"/>
    </row>
    <row r="47" spans="2:22" ht="135">
      <c r="B47" s="71" t="s">
        <v>111</v>
      </c>
      <c r="C47" s="129" t="s">
        <v>175</v>
      </c>
      <c r="D47" s="128"/>
      <c r="E47" s="128"/>
      <c r="F47" s="128"/>
      <c r="G47" s="133" t="s">
        <v>176</v>
      </c>
      <c r="H47" s="134"/>
      <c r="I47" s="134"/>
      <c r="J47" s="134"/>
      <c r="K47" s="134"/>
      <c r="L47" s="68" t="s">
        <v>110</v>
      </c>
      <c r="M47" s="74" t="s">
        <v>177</v>
      </c>
      <c r="N47" s="70"/>
      <c r="O47" s="73" t="s">
        <v>178</v>
      </c>
      <c r="P47" s="72"/>
      <c r="Q47" s="72"/>
      <c r="R47" s="72"/>
      <c r="S47" s="72"/>
      <c r="T47" s="78" t="s">
        <v>179</v>
      </c>
      <c r="U47" s="75"/>
      <c r="V47" s="75"/>
    </row>
    <row r="49" spans="2:22" ht="69" customHeight="1" thickBot="1">
      <c r="B49" s="35" t="s">
        <v>81</v>
      </c>
      <c r="C49" s="35" t="s">
        <v>157</v>
      </c>
      <c r="D49" s="35" t="s">
        <v>158</v>
      </c>
      <c r="E49" s="35" t="s">
        <v>155</v>
      </c>
      <c r="F49" s="35" t="s">
        <v>156</v>
      </c>
      <c r="G49" s="35" t="s">
        <v>159</v>
      </c>
      <c r="H49" s="35" t="s">
        <v>160</v>
      </c>
      <c r="I49" s="34" t="s">
        <v>166</v>
      </c>
      <c r="J49" s="34" t="s">
        <v>167</v>
      </c>
      <c r="K49" s="34" t="s">
        <v>168</v>
      </c>
      <c r="L49" s="63" t="s">
        <v>84</v>
      </c>
      <c r="M49" s="135" t="s">
        <v>162</v>
      </c>
      <c r="N49" s="135" t="s">
        <v>163</v>
      </c>
      <c r="O49" s="137" t="s">
        <v>164</v>
      </c>
      <c r="P49" s="137" t="s">
        <v>165</v>
      </c>
      <c r="Q49" s="137" t="s">
        <v>169</v>
      </c>
      <c r="R49" s="137" t="s">
        <v>170</v>
      </c>
      <c r="S49" s="137" t="s">
        <v>171</v>
      </c>
      <c r="T49" s="143" t="s">
        <v>173</v>
      </c>
      <c r="U49" s="143" t="s">
        <v>172</v>
      </c>
      <c r="V49" s="143" t="s">
        <v>174</v>
      </c>
    </row>
    <row r="50" spans="2:22" ht="15.75" thickTop="1">
      <c r="B50" s="53">
        <v>0</v>
      </c>
      <c r="C50" s="124">
        <f t="shared" ref="C50:C65" si="0">$D$24</f>
        <v>938900</v>
      </c>
      <c r="D50" s="124">
        <f t="shared" ref="D50:D65" si="1">$E$24</f>
        <v>841000</v>
      </c>
      <c r="E50" s="120">
        <f t="shared" ref="E50:E65" si="2">$D$25</f>
        <v>0.56999999999999995</v>
      </c>
      <c r="F50" s="120">
        <f t="shared" ref="F50:F65" si="3">$E$25</f>
        <v>7.0000000000000007E-2</v>
      </c>
      <c r="G50" s="124">
        <f>Table656[[#This Row],[Employed Persons:
Males]]*Table656[[#This Row],[Smoking Prevalence:
Males]]</f>
        <v>535173</v>
      </c>
      <c r="H50" s="124">
        <f>Table656[[#This Row],[Employed Persons:
Females]]*Table656[[#This Row],[Smoking Prevalence:
Females]]</f>
        <v>58870.000000000007</v>
      </c>
      <c r="I50" s="49">
        <f>$C$9*Table656[[#This Row],[Employed Smokers:
Males]]*D$29</f>
        <v>71182596.197142854</v>
      </c>
      <c r="J50" s="49">
        <f>$C$9*Table656[[#This Row],[Employed Smokers:
Females]]*E$29</f>
        <v>5047401.666666667</v>
      </c>
      <c r="K50" s="12">
        <f>Table656[[#This Row],[Excess Absenteeism (Costs):
Males]]+Table656[[#This Row],[Excess Absenteeism (Costs):
Females]]</f>
        <v>76229997.863809526</v>
      </c>
      <c r="L50" s="67"/>
      <c r="M50" s="136">
        <f>Table656[[#This Row],[Smoking Prevalence:
Males]]</f>
        <v>0.56999999999999995</v>
      </c>
      <c r="N50" s="136">
        <f>Table656[[#This Row],[Smoking Prevalence:
Females]]</f>
        <v>7.0000000000000007E-2</v>
      </c>
      <c r="O50" s="138">
        <f>Table656[[#This Row],[Employed Persons:
Males]]*Table656[[#This Row],[Smoking Prevalence Associated with Intervention: Males]]</f>
        <v>535173</v>
      </c>
      <c r="P50" s="138">
        <f>Table656[[#This Row],[Employed Persons:
Females]]*Table656[[#This Row],[Smoking Prevalence Associated with Intervention: Females]]</f>
        <v>58870.000000000007</v>
      </c>
      <c r="Q50" s="140">
        <f t="shared" ref="Q50:Q65" si="4">$C$9*O50*D$29</f>
        <v>71182596.197142854</v>
      </c>
      <c r="R50" s="140">
        <f t="shared" ref="R50:R65" si="5">$C$9*P50*E$29</f>
        <v>5047401.666666667</v>
      </c>
      <c r="S50" s="141">
        <f>Table656[[#This Row],[Excess Absenteeism (Costs) - Intervention Scenario:
Males]]+Table656[[#This Row],[Excess Absenteeism (Costs) - Intervention Scenario:
Females]]</f>
        <v>76229997.863809526</v>
      </c>
      <c r="T50" s="144">
        <f>Table656[[#This Row],[Excess Absenteeism (Costs):
Males]]-Table656[[#This Row],[Excess Absenteeism (Costs) - Intervention Scenario:
Males]]</f>
        <v>0</v>
      </c>
      <c r="U50" s="144">
        <f>Table656[[#This Row],[Excess Absenteeism (Costs):
Females]]-Table656[[#This Row],[Excess Absenteeism (Costs) - Intervention Scenario:
Females]]</f>
        <v>0</v>
      </c>
      <c r="V50" s="144">
        <f>Table656[[#This Row],[Excess Absenteeism (Costs):
Total]]-Table656[[#This Row],[Excess Absenteeism (Costs) - Intervention Scenario:
Total]]</f>
        <v>0</v>
      </c>
    </row>
    <row r="51" spans="2:22">
      <c r="B51" s="54">
        <v>1</v>
      </c>
      <c r="C51" s="125">
        <f t="shared" si="0"/>
        <v>938900</v>
      </c>
      <c r="D51" s="125">
        <f t="shared" si="1"/>
        <v>841000</v>
      </c>
      <c r="E51" s="121">
        <f t="shared" si="2"/>
        <v>0.56999999999999995</v>
      </c>
      <c r="F51" s="121">
        <f t="shared" si="3"/>
        <v>7.0000000000000007E-2</v>
      </c>
      <c r="G51" s="125">
        <f>Table656[[#This Row],[Employed Persons:
Males]]*Table656[[#This Row],[Smoking Prevalence:
Males]]</f>
        <v>535173</v>
      </c>
      <c r="H51" s="125">
        <f>Table656[[#This Row],[Employed Persons:
Females]]*Table656[[#This Row],[Smoking Prevalence:
Females]]</f>
        <v>58870.000000000007</v>
      </c>
      <c r="I51" s="50">
        <f>$C$9*Table656[[#This Row],[Employed Smokers:
Males]]*D$29</f>
        <v>71182596.197142854</v>
      </c>
      <c r="J51" s="12">
        <f>$C$9*Table656[[#This Row],[Employed Smokers:
Females]]*E$29</f>
        <v>5047401.666666667</v>
      </c>
      <c r="K51" s="12">
        <f>Table656[[#This Row],[Excess Absenteeism (Costs):
Males]]+Table656[[#This Row],[Excess Absenteeism (Costs):
Females]]</f>
        <v>76229997.863809526</v>
      </c>
      <c r="L51" s="130">
        <v>-6.5972442588726504E-2</v>
      </c>
      <c r="M51" s="136">
        <f>M50*(1+Table656[[#This Row],[Relative Change in Smoking Prevalence:
All Interventions Combined]])</f>
        <v>0.5323957077244259</v>
      </c>
      <c r="N51" s="136">
        <f>N50*(1+Table656[[#This Row],[Relative Change in Smoking Prevalence:
All Interventions Combined]])</f>
        <v>6.5381929018789156E-2</v>
      </c>
      <c r="O51" s="138">
        <f>Table656[[#This Row],[Employed Persons:
Males]]*Table656[[#This Row],[Smoking Prevalence Associated with Intervention: Males]]</f>
        <v>499866.3299824635</v>
      </c>
      <c r="P51" s="138">
        <f>Table656[[#This Row],[Employed Persons:
Females]]*Table656[[#This Row],[Smoking Prevalence Associated with Intervention: Females]]</f>
        <v>54986.202304801678</v>
      </c>
      <c r="Q51" s="141">
        <f t="shared" si="4"/>
        <v>66486506.456210352</v>
      </c>
      <c r="R51" s="141">
        <f t="shared" si="5"/>
        <v>4714412.2499902574</v>
      </c>
      <c r="S51" s="141">
        <f>Table656[[#This Row],[Excess Absenteeism (Costs) - Intervention Scenario:
Males]]+Table656[[#This Row],[Excess Absenteeism (Costs) - Intervention Scenario:
Females]]</f>
        <v>71200918.706200615</v>
      </c>
      <c r="T51" s="144">
        <f>Table656[[#This Row],[Excess Absenteeism (Costs):
Males]]-Table656[[#This Row],[Excess Absenteeism (Costs) - Intervention Scenario:
Males]]</f>
        <v>4696089.7409325019</v>
      </c>
      <c r="U51" s="144">
        <f>Table656[[#This Row],[Excess Absenteeism (Costs):
Females]]-Table656[[#This Row],[Excess Absenteeism (Costs) - Intervention Scenario:
Females]]</f>
        <v>332989.41667640954</v>
      </c>
      <c r="V51" s="144">
        <f>Table656[[#This Row],[Excess Absenteeism (Costs):
Total]]-Table656[[#This Row],[Excess Absenteeism (Costs) - Intervention Scenario:
Total]]</f>
        <v>5029079.1576089114</v>
      </c>
    </row>
    <row r="52" spans="2:22">
      <c r="B52" s="55">
        <v>2</v>
      </c>
      <c r="C52" s="126">
        <f t="shared" si="0"/>
        <v>938900</v>
      </c>
      <c r="D52" s="126">
        <f t="shared" si="1"/>
        <v>841000</v>
      </c>
      <c r="E52" s="122">
        <f t="shared" si="2"/>
        <v>0.56999999999999995</v>
      </c>
      <c r="F52" s="122">
        <f t="shared" si="3"/>
        <v>7.0000000000000007E-2</v>
      </c>
      <c r="G52" s="126">
        <f>Table656[[#This Row],[Employed Persons:
Males]]*Table656[[#This Row],[Smoking Prevalence:
Males]]</f>
        <v>535173</v>
      </c>
      <c r="H52" s="126">
        <f>Table656[[#This Row],[Employed Persons:
Females]]*Table656[[#This Row],[Smoking Prevalence:
Females]]</f>
        <v>58870.000000000007</v>
      </c>
      <c r="I52" s="51">
        <f>$C$9*Table656[[#This Row],[Employed Smokers:
Males]]*D$29</f>
        <v>71182596.197142854</v>
      </c>
      <c r="J52" s="12">
        <f>$C$9*Table656[[#This Row],[Employed Smokers:
Females]]*E$29</f>
        <v>5047401.666666667</v>
      </c>
      <c r="K52" s="12">
        <f>Table656[[#This Row],[Excess Absenteeism (Costs):
Males]]+Table656[[#This Row],[Excess Absenteeism (Costs):
Females]]</f>
        <v>76229997.863809526</v>
      </c>
      <c r="L52" s="130">
        <v>-6.5972442588726504E-2</v>
      </c>
      <c r="M52" s="136">
        <f>M51*(1+Table656[[#This Row],[Relative Change in Smoking Prevalence:
All Interventions Combined]])</f>
        <v>0.49727226246209183</v>
      </c>
      <c r="N52" s="136">
        <f>N51*(1+Table656[[#This Row],[Relative Change in Smoking Prevalence:
All Interventions Combined]])</f>
        <v>6.1068523460256902E-2</v>
      </c>
      <c r="O52" s="138">
        <f>Table656[[#This Row],[Employed Persons:
Males]]*Table656[[#This Row],[Smoking Prevalence Associated with Intervention: Males]]</f>
        <v>466888.92722565803</v>
      </c>
      <c r="P52" s="138">
        <f>Table656[[#This Row],[Employed Persons:
Females]]*Table656[[#This Row],[Smoking Prevalence Associated with Intervention: Females]]</f>
        <v>51358.628230076058</v>
      </c>
      <c r="Q52" s="141">
        <f t="shared" si="4"/>
        <v>62100229.22610303</v>
      </c>
      <c r="R52" s="141">
        <f t="shared" si="5"/>
        <v>4403390.9584881878</v>
      </c>
      <c r="S52" s="141">
        <f>Table656[[#This Row],[Excess Absenteeism (Costs) - Intervention Scenario:
Males]]+Table656[[#This Row],[Excess Absenteeism (Costs) - Intervention Scenario:
Females]]</f>
        <v>66503620.184591219</v>
      </c>
      <c r="T52" s="144">
        <f>Table656[[#This Row],[Excess Absenteeism (Costs):
Males]]-Table656[[#This Row],[Excess Absenteeism (Costs) - Intervention Scenario:
Males]]</f>
        <v>9082366.9710398242</v>
      </c>
      <c r="U52" s="144">
        <f>Table656[[#This Row],[Excess Absenteeism (Costs):
Females]]-Table656[[#This Row],[Excess Absenteeism (Costs) - Intervention Scenario:
Females]]</f>
        <v>644010.70817847922</v>
      </c>
      <c r="V52" s="144">
        <f>Table656[[#This Row],[Excess Absenteeism (Costs):
Total]]-Table656[[#This Row],[Excess Absenteeism (Costs) - Intervention Scenario:
Total]]</f>
        <v>9726377.6792183071</v>
      </c>
    </row>
    <row r="53" spans="2:22">
      <c r="B53" s="54">
        <v>3</v>
      </c>
      <c r="C53" s="125">
        <f t="shared" si="0"/>
        <v>938900</v>
      </c>
      <c r="D53" s="125">
        <f t="shared" si="1"/>
        <v>841000</v>
      </c>
      <c r="E53" s="121">
        <f t="shared" si="2"/>
        <v>0.56999999999999995</v>
      </c>
      <c r="F53" s="121">
        <f t="shared" si="3"/>
        <v>7.0000000000000007E-2</v>
      </c>
      <c r="G53" s="125">
        <f>Table656[[#This Row],[Employed Persons:
Males]]*Table656[[#This Row],[Smoking Prevalence:
Males]]</f>
        <v>535173</v>
      </c>
      <c r="H53" s="125">
        <f>Table656[[#This Row],[Employed Persons:
Females]]*Table656[[#This Row],[Smoking Prevalence:
Females]]</f>
        <v>58870.000000000007</v>
      </c>
      <c r="I53" s="50">
        <f>$C$9*Table656[[#This Row],[Employed Smokers:
Males]]*D$29</f>
        <v>71182596.197142854</v>
      </c>
      <c r="J53" s="12">
        <f>$C$9*Table656[[#This Row],[Employed Smokers:
Females]]*E$29</f>
        <v>5047401.666666667</v>
      </c>
      <c r="K53" s="12">
        <f>Table656[[#This Row],[Excess Absenteeism (Costs):
Males]]+Table656[[#This Row],[Excess Absenteeism (Costs):
Females]]</f>
        <v>76229997.863809526</v>
      </c>
      <c r="L53" s="130">
        <v>-6.5972442588726504E-2</v>
      </c>
      <c r="M53" s="136">
        <f>M52*(1+Table656[[#This Row],[Relative Change in Smoking Prevalence:
All Interventions Combined]])</f>
        <v>0.46446599667584537</v>
      </c>
      <c r="N53" s="136">
        <f>N52*(1+Table656[[#This Row],[Relative Change in Smoking Prevalence:
All Interventions Combined]])</f>
        <v>5.7039683802296806E-2</v>
      </c>
      <c r="O53" s="138">
        <f>Table656[[#This Row],[Employed Persons:
Males]]*Table656[[#This Row],[Smoking Prevalence Associated with Intervention: Males]]</f>
        <v>436087.1242789512</v>
      </c>
      <c r="P53" s="138">
        <f>Table656[[#This Row],[Employed Persons:
Females]]*Table656[[#This Row],[Smoking Prevalence Associated with Intervention: Females]]</f>
        <v>47970.374077731612</v>
      </c>
      <c r="Q53" s="141">
        <f t="shared" si="4"/>
        <v>58003325.418737188</v>
      </c>
      <c r="R53" s="141">
        <f t="shared" si="5"/>
        <v>4112888.5012836079</v>
      </c>
      <c r="S53" s="141">
        <f>Table656[[#This Row],[Excess Absenteeism (Costs) - Intervention Scenario:
Males]]+Table656[[#This Row],[Excess Absenteeism (Costs) - Intervention Scenario:
Females]]</f>
        <v>62116213.920020796</v>
      </c>
      <c r="T53" s="144">
        <f>Table656[[#This Row],[Excess Absenteeism (Costs):
Males]]-Table656[[#This Row],[Excess Absenteeism (Costs) - Intervention Scenario:
Males]]</f>
        <v>13179270.778405666</v>
      </c>
      <c r="U53" s="144">
        <f>Table656[[#This Row],[Excess Absenteeism (Costs):
Females]]-Table656[[#This Row],[Excess Absenteeism (Costs) - Intervention Scenario:
Females]]</f>
        <v>934513.16538305907</v>
      </c>
      <c r="V53" s="144">
        <f>Table656[[#This Row],[Excess Absenteeism (Costs):
Total]]-Table656[[#This Row],[Excess Absenteeism (Costs) - Intervention Scenario:
Total]]</f>
        <v>14113783.94378873</v>
      </c>
    </row>
    <row r="54" spans="2:22">
      <c r="B54" s="55">
        <v>4</v>
      </c>
      <c r="C54" s="126">
        <f t="shared" si="0"/>
        <v>938900</v>
      </c>
      <c r="D54" s="126">
        <f t="shared" si="1"/>
        <v>841000</v>
      </c>
      <c r="E54" s="122">
        <f t="shared" si="2"/>
        <v>0.56999999999999995</v>
      </c>
      <c r="F54" s="122">
        <f t="shared" si="3"/>
        <v>7.0000000000000007E-2</v>
      </c>
      <c r="G54" s="126">
        <f>Table656[[#This Row],[Employed Persons:
Males]]*Table656[[#This Row],[Smoking Prevalence:
Males]]</f>
        <v>535173</v>
      </c>
      <c r="H54" s="126">
        <f>Table656[[#This Row],[Employed Persons:
Females]]*Table656[[#This Row],[Smoking Prevalence:
Females]]</f>
        <v>58870.000000000007</v>
      </c>
      <c r="I54" s="51">
        <f>$C$9*Table656[[#This Row],[Employed Smokers:
Males]]*D$29</f>
        <v>71182596.197142854</v>
      </c>
      <c r="J54" s="12">
        <f>$C$9*Table656[[#This Row],[Employed Smokers:
Females]]*E$29</f>
        <v>5047401.666666667</v>
      </c>
      <c r="K54" s="12">
        <f>Table656[[#This Row],[Excess Absenteeism (Costs):
Males]]+Table656[[#This Row],[Excess Absenteeism (Costs):
Females]]</f>
        <v>76229997.863809526</v>
      </c>
      <c r="L54" s="130">
        <v>-6.5972442588726504E-2</v>
      </c>
      <c r="M54" s="136">
        <f>M53*(1+Table656[[#This Row],[Relative Change in Smoking Prevalence:
All Interventions Combined]])</f>
        <v>0.43382404037573252</v>
      </c>
      <c r="N54" s="136">
        <f>N53*(1+Table656[[#This Row],[Relative Change in Smoking Prevalence:
All Interventions Combined]])</f>
        <v>5.3276636537370671E-2</v>
      </c>
      <c r="O54" s="138">
        <f>Table656[[#This Row],[Employed Persons:
Males]]*Table656[[#This Row],[Smoking Prevalence Associated with Intervention: Males]]</f>
        <v>407317.39150877524</v>
      </c>
      <c r="P54" s="138">
        <f>Table656[[#This Row],[Employed Persons:
Females]]*Table656[[#This Row],[Smoking Prevalence Associated with Intervention: Females]]</f>
        <v>44805.651327928732</v>
      </c>
      <c r="Q54" s="141">
        <f t="shared" si="4"/>
        <v>54176704.362594321</v>
      </c>
      <c r="R54" s="141">
        <f t="shared" si="5"/>
        <v>3841551.2007588418</v>
      </c>
      <c r="S54" s="141">
        <f>Table656[[#This Row],[Excess Absenteeism (Costs) - Intervention Scenario:
Males]]+Table656[[#This Row],[Excess Absenteeism (Costs) - Intervention Scenario:
Females]]</f>
        <v>58018255.563353166</v>
      </c>
      <c r="T54" s="144">
        <f>Table656[[#This Row],[Excess Absenteeism (Costs):
Males]]-Table656[[#This Row],[Excess Absenteeism (Costs) - Intervention Scenario:
Males]]</f>
        <v>17005891.834548533</v>
      </c>
      <c r="U54" s="144">
        <f>Table656[[#This Row],[Excess Absenteeism (Costs):
Females]]-Table656[[#This Row],[Excess Absenteeism (Costs) - Intervention Scenario:
Females]]</f>
        <v>1205850.4659078252</v>
      </c>
      <c r="V54" s="144">
        <f>Table656[[#This Row],[Excess Absenteeism (Costs):
Total]]-Table656[[#This Row],[Excess Absenteeism (Costs) - Intervention Scenario:
Total]]</f>
        <v>18211742.30045636</v>
      </c>
    </row>
    <row r="55" spans="2:22" customFormat="1">
      <c r="B55" s="54">
        <v>5</v>
      </c>
      <c r="C55" s="125">
        <f t="shared" si="0"/>
        <v>938900</v>
      </c>
      <c r="D55" s="125">
        <f t="shared" si="1"/>
        <v>841000</v>
      </c>
      <c r="E55" s="121">
        <f t="shared" si="2"/>
        <v>0.56999999999999995</v>
      </c>
      <c r="F55" s="121">
        <f t="shared" si="3"/>
        <v>7.0000000000000007E-2</v>
      </c>
      <c r="G55" s="125">
        <f>Table656[[#This Row],[Employed Persons:
Males]]*Table656[[#This Row],[Smoking Prevalence:
Males]]</f>
        <v>535173</v>
      </c>
      <c r="H55" s="125">
        <f>Table656[[#This Row],[Employed Persons:
Females]]*Table656[[#This Row],[Smoking Prevalence:
Females]]</f>
        <v>58870.000000000007</v>
      </c>
      <c r="I55" s="50">
        <f>$C$9*Table656[[#This Row],[Employed Smokers:
Males]]*D$29</f>
        <v>71182596.197142854</v>
      </c>
      <c r="J55" s="15">
        <f>$C$9*Table656[[#This Row],[Employed Smokers:
Females]]*E$29</f>
        <v>5047401.666666667</v>
      </c>
      <c r="K55" s="15">
        <f>Table656[[#This Row],[Excess Absenteeism (Costs):
Males]]+Table656[[#This Row],[Excess Absenteeism (Costs):
Females]]</f>
        <v>76229997.863809526</v>
      </c>
      <c r="L55" s="131">
        <v>-6.5972442588726504E-2</v>
      </c>
      <c r="M55" s="136">
        <f>M54*(1+Table656[[#This Row],[Relative Change in Smoking Prevalence:
All Interventions Combined]])</f>
        <v>0.40520360877843514</v>
      </c>
      <c r="N55" s="136">
        <f>N54*(1+Table656[[#This Row],[Relative Change in Smoking Prevalence:
All Interventions Combined]])</f>
        <v>4.9761846692088538E-2</v>
      </c>
      <c r="O55" s="139">
        <f>Table656[[#This Row],[Employed Persons:
Males]]*Table656[[#This Row],[Smoking Prevalence Associated with Intervention: Males]]</f>
        <v>380445.66828207276</v>
      </c>
      <c r="P55" s="139">
        <f>Table656[[#This Row],[Employed Persons:
Females]]*Table656[[#This Row],[Smoking Prevalence Associated with Intervention: Females]]</f>
        <v>41849.713068046462</v>
      </c>
      <c r="Q55" s="142">
        <f t="shared" si="4"/>
        <v>50602534.844386674</v>
      </c>
      <c r="R55" s="142">
        <f t="shared" si="5"/>
        <v>3588114.6847151266</v>
      </c>
      <c r="S55" s="142">
        <f>Table656[[#This Row],[Excess Absenteeism (Costs) - Intervention Scenario:
Males]]+Table656[[#This Row],[Excess Absenteeism (Costs) - Intervention Scenario:
Females]]</f>
        <v>54190649.529101804</v>
      </c>
      <c r="T55" s="145">
        <f>Table656[[#This Row],[Excess Absenteeism (Costs):
Males]]-Table656[[#This Row],[Excess Absenteeism (Costs) - Intervention Scenario:
Males]]</f>
        <v>20580061.35275618</v>
      </c>
      <c r="U55" s="145">
        <f>Table656[[#This Row],[Excess Absenteeism (Costs):
Females]]-Table656[[#This Row],[Excess Absenteeism (Costs) - Intervention Scenario:
Females]]</f>
        <v>1459286.9819515403</v>
      </c>
      <c r="V55" s="145">
        <f>Table656[[#This Row],[Excess Absenteeism (Costs):
Total]]-Table656[[#This Row],[Excess Absenteeism (Costs) - Intervention Scenario:
Total]]</f>
        <v>22039348.334707722</v>
      </c>
    </row>
    <row r="56" spans="2:22" customFormat="1">
      <c r="B56" s="55">
        <v>6</v>
      </c>
      <c r="C56" s="126">
        <f t="shared" si="0"/>
        <v>938900</v>
      </c>
      <c r="D56" s="126">
        <f t="shared" si="1"/>
        <v>841000</v>
      </c>
      <c r="E56" s="122">
        <f t="shared" si="2"/>
        <v>0.56999999999999995</v>
      </c>
      <c r="F56" s="122">
        <f t="shared" si="3"/>
        <v>7.0000000000000007E-2</v>
      </c>
      <c r="G56" s="126">
        <f>Table656[[#This Row],[Employed Persons:
Males]]*Table656[[#This Row],[Smoking Prevalence:
Males]]</f>
        <v>535173</v>
      </c>
      <c r="H56" s="126">
        <f>Table656[[#This Row],[Employed Persons:
Females]]*Table656[[#This Row],[Smoking Prevalence:
Females]]</f>
        <v>58870.000000000007</v>
      </c>
      <c r="I56" s="51">
        <f>$C$9*Table656[[#This Row],[Employed Smokers:
Males]]*D$29</f>
        <v>71182596.197142854</v>
      </c>
      <c r="J56" s="15">
        <f>$C$9*Table656[[#This Row],[Employed Smokers:
Females]]*E$29</f>
        <v>5047401.666666667</v>
      </c>
      <c r="K56" s="15">
        <f>Table656[[#This Row],[Excess Absenteeism (Costs):
Males]]+Table656[[#This Row],[Excess Absenteeism (Costs):
Females]]</f>
        <v>76229997.863809526</v>
      </c>
      <c r="L56" s="132">
        <v>-1.2411482254697298E-2</v>
      </c>
      <c r="M56" s="136">
        <f>M55*(1+Table656[[#This Row],[Relative Change in Smoking Prevalence:
All Interventions Combined]])</f>
        <v>0.40017443137854225</v>
      </c>
      <c r="N56" s="136">
        <f>N55*(1+Table656[[#This Row],[Relative Change in Smoking Prevalence:
All Interventions Combined]])</f>
        <v>4.914422841490871E-2</v>
      </c>
      <c r="O56" s="139">
        <f>Table656[[#This Row],[Employed Persons:
Males]]*Table656[[#This Row],[Smoking Prevalence Associated with Intervention: Males]]</f>
        <v>375723.77362131333</v>
      </c>
      <c r="P56" s="139">
        <f>Table656[[#This Row],[Employed Persons:
Females]]*Table656[[#This Row],[Smoking Prevalence Associated with Intervention: Females]]</f>
        <v>41330.296096938226</v>
      </c>
      <c r="Q56" s="142">
        <f t="shared" si="4"/>
        <v>49974482.381122857</v>
      </c>
      <c r="R56" s="142">
        <f t="shared" si="5"/>
        <v>3543580.8629779653</v>
      </c>
      <c r="S56" s="142">
        <f>Table656[[#This Row],[Excess Absenteeism (Costs) - Intervention Scenario:
Males]]+Table656[[#This Row],[Excess Absenteeism (Costs) - Intervention Scenario:
Females]]</f>
        <v>53518063.244100824</v>
      </c>
      <c r="T56" s="145">
        <f>Table656[[#This Row],[Excess Absenteeism (Costs):
Males]]-Table656[[#This Row],[Excess Absenteeism (Costs) - Intervention Scenario:
Males]]</f>
        <v>21208113.816019997</v>
      </c>
      <c r="U56" s="145">
        <f>Table656[[#This Row],[Excess Absenteeism (Costs):
Females]]-Table656[[#This Row],[Excess Absenteeism (Costs) - Intervention Scenario:
Females]]</f>
        <v>1503820.8036887017</v>
      </c>
      <c r="V56" s="145">
        <f>Table656[[#This Row],[Excess Absenteeism (Costs):
Total]]-Table656[[#This Row],[Excess Absenteeism (Costs) - Intervention Scenario:
Total]]</f>
        <v>22711934.619708702</v>
      </c>
    </row>
    <row r="57" spans="2:22" customFormat="1">
      <c r="B57" s="54">
        <v>7</v>
      </c>
      <c r="C57" s="125">
        <f t="shared" si="0"/>
        <v>938900</v>
      </c>
      <c r="D57" s="125">
        <f t="shared" si="1"/>
        <v>841000</v>
      </c>
      <c r="E57" s="121">
        <f t="shared" si="2"/>
        <v>0.56999999999999995</v>
      </c>
      <c r="F57" s="121">
        <f t="shared" si="3"/>
        <v>7.0000000000000007E-2</v>
      </c>
      <c r="G57" s="125">
        <f>Table656[[#This Row],[Employed Persons:
Males]]*Table656[[#This Row],[Smoking Prevalence:
Males]]</f>
        <v>535173</v>
      </c>
      <c r="H57" s="125">
        <f>Table656[[#This Row],[Employed Persons:
Females]]*Table656[[#This Row],[Smoking Prevalence:
Females]]</f>
        <v>58870.000000000007</v>
      </c>
      <c r="I57" s="50">
        <f>$C$9*Table656[[#This Row],[Employed Smokers:
Males]]*D$29</f>
        <v>71182596.197142854</v>
      </c>
      <c r="J57" s="15">
        <f>$C$9*Table656[[#This Row],[Employed Smokers:
Females]]*E$29</f>
        <v>5047401.666666667</v>
      </c>
      <c r="K57" s="15">
        <f>Table656[[#This Row],[Excess Absenteeism (Costs):
Males]]+Table656[[#This Row],[Excess Absenteeism (Costs):
Females]]</f>
        <v>76229997.863809526</v>
      </c>
      <c r="L57" s="132">
        <v>-1.2411482254697298E-2</v>
      </c>
      <c r="M57" s="136">
        <f>M56*(1+Table656[[#This Row],[Relative Change in Smoking Prevalence:
All Interventions Combined]])</f>
        <v>0.39520767352470387</v>
      </c>
      <c r="N57" s="136">
        <f>N56*(1+Table656[[#This Row],[Relative Change in Smoking Prevalence:
All Interventions Combined]])</f>
        <v>4.8534275696016274E-2</v>
      </c>
      <c r="O57" s="139">
        <f>Table656[[#This Row],[Employed Persons:
Males]]*Table656[[#This Row],[Smoking Prevalence Associated with Intervention: Males]]</f>
        <v>371060.48467234446</v>
      </c>
      <c r="P57" s="139">
        <f>Table656[[#This Row],[Employed Persons:
Females]]*Table656[[#This Row],[Smoking Prevalence Associated with Intervention: Females]]</f>
        <v>40817.325860349687</v>
      </c>
      <c r="Q57" s="142">
        <f t="shared" si="4"/>
        <v>49354224.979861863</v>
      </c>
      <c r="R57" s="142">
        <f t="shared" si="5"/>
        <v>3499599.7719790288</v>
      </c>
      <c r="S57" s="142">
        <f>Table656[[#This Row],[Excess Absenteeism (Costs) - Intervention Scenario:
Males]]+Table656[[#This Row],[Excess Absenteeism (Costs) - Intervention Scenario:
Females]]</f>
        <v>52853824.751840889</v>
      </c>
      <c r="T57" s="145">
        <f>Table656[[#This Row],[Excess Absenteeism (Costs):
Males]]-Table656[[#This Row],[Excess Absenteeism (Costs) - Intervention Scenario:
Males]]</f>
        <v>21828371.217280991</v>
      </c>
      <c r="U57" s="145">
        <f>Table656[[#This Row],[Excess Absenteeism (Costs):
Females]]-Table656[[#This Row],[Excess Absenteeism (Costs) - Intervention Scenario:
Females]]</f>
        <v>1547801.8946876382</v>
      </c>
      <c r="V57" s="145">
        <f>Table656[[#This Row],[Excess Absenteeism (Costs):
Total]]-Table656[[#This Row],[Excess Absenteeism (Costs) - Intervention Scenario:
Total]]</f>
        <v>23376173.111968637</v>
      </c>
    </row>
    <row r="58" spans="2:22" customFormat="1">
      <c r="B58" s="55">
        <v>8</v>
      </c>
      <c r="C58" s="126">
        <f t="shared" si="0"/>
        <v>938900</v>
      </c>
      <c r="D58" s="126">
        <f t="shared" si="1"/>
        <v>841000</v>
      </c>
      <c r="E58" s="122">
        <f t="shared" si="2"/>
        <v>0.56999999999999995</v>
      </c>
      <c r="F58" s="122">
        <f t="shared" si="3"/>
        <v>7.0000000000000007E-2</v>
      </c>
      <c r="G58" s="126">
        <f>Table656[[#This Row],[Employed Persons:
Males]]*Table656[[#This Row],[Smoking Prevalence:
Males]]</f>
        <v>535173</v>
      </c>
      <c r="H58" s="126">
        <f>Table656[[#This Row],[Employed Persons:
Females]]*Table656[[#This Row],[Smoking Prevalence:
Females]]</f>
        <v>58870.000000000007</v>
      </c>
      <c r="I58" s="51">
        <f>$C$9*Table656[[#This Row],[Employed Smokers:
Males]]*D$29</f>
        <v>71182596.197142854</v>
      </c>
      <c r="J58" s="15">
        <f>$C$9*Table656[[#This Row],[Employed Smokers:
Females]]*E$29</f>
        <v>5047401.666666667</v>
      </c>
      <c r="K58" s="15">
        <f>Table656[[#This Row],[Excess Absenteeism (Costs):
Males]]+Table656[[#This Row],[Excess Absenteeism (Costs):
Females]]</f>
        <v>76229997.863809526</v>
      </c>
      <c r="L58" s="132">
        <v>-1.2411482254697298E-2</v>
      </c>
      <c r="M58" s="136">
        <f>M57*(1+Table656[[#This Row],[Relative Change in Smoking Prevalence:
All Interventions Combined]])</f>
        <v>0.3903025604978318</v>
      </c>
      <c r="N58" s="136">
        <f>N57*(1+Table656[[#This Row],[Relative Change in Smoking Prevalence:
All Interventions Combined]])</f>
        <v>4.7931893394470577E-2</v>
      </c>
      <c r="O58" s="139">
        <f>Table656[[#This Row],[Employed Persons:
Males]]*Table656[[#This Row],[Smoking Prevalence Associated with Intervention: Males]]</f>
        <v>366455.07405141427</v>
      </c>
      <c r="P58" s="139">
        <f>Table656[[#This Row],[Employed Persons:
Females]]*Table656[[#This Row],[Smoking Prevalence Associated with Intervention: Females]]</f>
        <v>40310.722344749753</v>
      </c>
      <c r="Q58" s="142">
        <f t="shared" si="4"/>
        <v>48741665.892329969</v>
      </c>
      <c r="R58" s="142">
        <f t="shared" si="5"/>
        <v>3456164.5515105682</v>
      </c>
      <c r="S58" s="142">
        <f>Table656[[#This Row],[Excess Absenteeism (Costs) - Intervention Scenario:
Males]]+Table656[[#This Row],[Excess Absenteeism (Costs) - Intervention Scenario:
Females]]</f>
        <v>52197830.443840533</v>
      </c>
      <c r="T58" s="145">
        <f>Table656[[#This Row],[Excess Absenteeism (Costs):
Males]]-Table656[[#This Row],[Excess Absenteeism (Costs) - Intervention Scenario:
Males]]</f>
        <v>22440930.304812886</v>
      </c>
      <c r="U58" s="145">
        <f>Table656[[#This Row],[Excess Absenteeism (Costs):
Females]]-Table656[[#This Row],[Excess Absenteeism (Costs) - Intervention Scenario:
Females]]</f>
        <v>1591237.1151560987</v>
      </c>
      <c r="V58" s="145">
        <f>Table656[[#This Row],[Excess Absenteeism (Costs):
Total]]-Table656[[#This Row],[Excess Absenteeism (Costs) - Intervention Scenario:
Total]]</f>
        <v>24032167.419968992</v>
      </c>
    </row>
    <row r="59" spans="2:22" customFormat="1">
      <c r="B59" s="54">
        <v>9</v>
      </c>
      <c r="C59" s="125">
        <f t="shared" si="0"/>
        <v>938900</v>
      </c>
      <c r="D59" s="125">
        <f t="shared" si="1"/>
        <v>841000</v>
      </c>
      <c r="E59" s="121">
        <f t="shared" si="2"/>
        <v>0.56999999999999995</v>
      </c>
      <c r="F59" s="121">
        <f t="shared" si="3"/>
        <v>7.0000000000000007E-2</v>
      </c>
      <c r="G59" s="125">
        <f>Table656[[#This Row],[Employed Persons:
Males]]*Table656[[#This Row],[Smoking Prevalence:
Males]]</f>
        <v>535173</v>
      </c>
      <c r="H59" s="125">
        <f>Table656[[#This Row],[Employed Persons:
Females]]*Table656[[#This Row],[Smoking Prevalence:
Females]]</f>
        <v>58870.000000000007</v>
      </c>
      <c r="I59" s="50">
        <f>$C$9*Table656[[#This Row],[Employed Smokers:
Males]]*D$29</f>
        <v>71182596.197142854</v>
      </c>
      <c r="J59" s="15">
        <f>$C$9*Table656[[#This Row],[Employed Smokers:
Females]]*E$29</f>
        <v>5047401.666666667</v>
      </c>
      <c r="K59" s="15">
        <f>Table656[[#This Row],[Excess Absenteeism (Costs):
Males]]+Table656[[#This Row],[Excess Absenteeism (Costs):
Females]]</f>
        <v>76229997.863809526</v>
      </c>
      <c r="L59" s="132">
        <v>-1.2411482254697298E-2</v>
      </c>
      <c r="M59" s="136">
        <f>M58*(1+Table656[[#This Row],[Relative Change in Smoking Prevalence:
All Interventions Combined]])</f>
        <v>0.38545832719424999</v>
      </c>
      <c r="N59" s="136">
        <f>N58*(1+Table656[[#This Row],[Relative Change in Smoking Prevalence:
All Interventions Combined]])</f>
        <v>4.7336987550171059E-2</v>
      </c>
      <c r="O59" s="139">
        <f>Table656[[#This Row],[Employed Persons:
Males]]*Table656[[#This Row],[Smoking Prevalence Associated with Intervention: Males]]</f>
        <v>361906.82340268133</v>
      </c>
      <c r="P59" s="139">
        <f>Table656[[#This Row],[Employed Persons:
Females]]*Table656[[#This Row],[Smoking Prevalence Associated with Intervention: Females]]</f>
        <v>39810.406529693857</v>
      </c>
      <c r="Q59" s="142">
        <f t="shared" si="4"/>
        <v>48136709.571042933</v>
      </c>
      <c r="R59" s="142">
        <f t="shared" si="5"/>
        <v>3413268.4265101803</v>
      </c>
      <c r="S59" s="142">
        <f>Table656[[#This Row],[Excess Absenteeism (Costs) - Intervention Scenario:
Males]]+Table656[[#This Row],[Excess Absenteeism (Costs) - Intervention Scenario:
Females]]</f>
        <v>51549977.99755311</v>
      </c>
      <c r="T59" s="145">
        <f>Table656[[#This Row],[Excess Absenteeism (Costs):
Males]]-Table656[[#This Row],[Excess Absenteeism (Costs) - Intervention Scenario:
Males]]</f>
        <v>23045886.626099922</v>
      </c>
      <c r="U59" s="145">
        <f>Table656[[#This Row],[Excess Absenteeism (Costs):
Females]]-Table656[[#This Row],[Excess Absenteeism (Costs) - Intervention Scenario:
Females]]</f>
        <v>1634133.2401564866</v>
      </c>
      <c r="V59" s="145">
        <f>Table656[[#This Row],[Excess Absenteeism (Costs):
Total]]-Table656[[#This Row],[Excess Absenteeism (Costs) - Intervention Scenario:
Total]]</f>
        <v>24680019.866256416</v>
      </c>
    </row>
    <row r="60" spans="2:22" customFormat="1">
      <c r="B60" s="55">
        <v>10</v>
      </c>
      <c r="C60" s="126">
        <f t="shared" si="0"/>
        <v>938900</v>
      </c>
      <c r="D60" s="126">
        <f t="shared" si="1"/>
        <v>841000</v>
      </c>
      <c r="E60" s="122">
        <f t="shared" si="2"/>
        <v>0.56999999999999995</v>
      </c>
      <c r="F60" s="122">
        <f t="shared" si="3"/>
        <v>7.0000000000000007E-2</v>
      </c>
      <c r="G60" s="126">
        <f>Table656[[#This Row],[Employed Persons:
Males]]*Table656[[#This Row],[Smoking Prevalence:
Males]]</f>
        <v>535173</v>
      </c>
      <c r="H60" s="126">
        <f>Table656[[#This Row],[Employed Persons:
Females]]*Table656[[#This Row],[Smoking Prevalence:
Females]]</f>
        <v>58870.000000000007</v>
      </c>
      <c r="I60" s="51">
        <f>$C$9*Table656[[#This Row],[Employed Smokers:
Males]]*D$29</f>
        <v>71182596.197142854</v>
      </c>
      <c r="J60" s="15">
        <f>$C$9*Table656[[#This Row],[Employed Smokers:
Females]]*E$29</f>
        <v>5047401.666666667</v>
      </c>
      <c r="K60" s="15">
        <f>Table656[[#This Row],[Excess Absenteeism (Costs):
Males]]+Table656[[#This Row],[Excess Absenteeism (Costs):
Females]]</f>
        <v>76229997.863809526</v>
      </c>
      <c r="L60" s="132">
        <v>-1.2411482254697298E-2</v>
      </c>
      <c r="M60" s="136">
        <f>M59*(1+Table656[[#This Row],[Relative Change in Smoking Prevalence:
All Interventions Combined]])</f>
        <v>0.38067421800635326</v>
      </c>
      <c r="N60" s="136">
        <f>N59*(1+Table656[[#This Row],[Relative Change in Smoking Prevalence:
All Interventions Combined]])</f>
        <v>4.6749465369201285E-2</v>
      </c>
      <c r="O60" s="139">
        <f>Table656[[#This Row],[Employed Persons:
Males]]*Table656[[#This Row],[Smoking Prevalence Associated with Intervention: Males]]</f>
        <v>357415.02328616509</v>
      </c>
      <c r="P60" s="139">
        <f>Table656[[#This Row],[Employed Persons:
Females]]*Table656[[#This Row],[Smoking Prevalence Associated with Intervention: Females]]</f>
        <v>39316.300375498278</v>
      </c>
      <c r="Q60" s="142">
        <f t="shared" si="4"/>
        <v>47539261.654402412</v>
      </c>
      <c r="R60" s="142">
        <f t="shared" si="5"/>
        <v>3370904.7060040305</v>
      </c>
      <c r="S60" s="142">
        <f>Table656[[#This Row],[Excess Absenteeism (Costs) - Intervention Scenario:
Males]]+Table656[[#This Row],[Excess Absenteeism (Costs) - Intervention Scenario:
Females]]</f>
        <v>50910166.360406443</v>
      </c>
      <c r="T60" s="145">
        <f>Table656[[#This Row],[Excess Absenteeism (Costs):
Males]]-Table656[[#This Row],[Excess Absenteeism (Costs) - Intervention Scenario:
Males]]</f>
        <v>23643334.542740442</v>
      </c>
      <c r="U60" s="145">
        <f>Table656[[#This Row],[Excess Absenteeism (Costs):
Females]]-Table656[[#This Row],[Excess Absenteeism (Costs) - Intervention Scenario:
Females]]</f>
        <v>1676496.9606626364</v>
      </c>
      <c r="V60" s="145">
        <f>Table656[[#This Row],[Excess Absenteeism (Costs):
Total]]-Table656[[#This Row],[Excess Absenteeism (Costs) - Intervention Scenario:
Total]]</f>
        <v>25319831.503403082</v>
      </c>
    </row>
    <row r="61" spans="2:22" customFormat="1">
      <c r="B61" s="54">
        <v>11</v>
      </c>
      <c r="C61" s="125">
        <f t="shared" si="0"/>
        <v>938900</v>
      </c>
      <c r="D61" s="125">
        <f t="shared" si="1"/>
        <v>841000</v>
      </c>
      <c r="E61" s="121">
        <f t="shared" si="2"/>
        <v>0.56999999999999995</v>
      </c>
      <c r="F61" s="121">
        <f t="shared" si="3"/>
        <v>7.0000000000000007E-2</v>
      </c>
      <c r="G61" s="125">
        <f>Table656[[#This Row],[Employed Persons:
Males]]*Table656[[#This Row],[Smoking Prevalence:
Males]]</f>
        <v>535173</v>
      </c>
      <c r="H61" s="125">
        <f>Table656[[#This Row],[Employed Persons:
Females]]*Table656[[#This Row],[Smoking Prevalence:
Females]]</f>
        <v>58870.000000000007</v>
      </c>
      <c r="I61" s="50">
        <f>$C$9*Table656[[#This Row],[Employed Smokers:
Males]]*D$29</f>
        <v>71182596.197142854</v>
      </c>
      <c r="J61" s="15">
        <f>$C$9*Table656[[#This Row],[Employed Smokers:
Females]]*E$29</f>
        <v>5047401.666666667</v>
      </c>
      <c r="K61" s="15">
        <f>Table656[[#This Row],[Excess Absenteeism (Costs):
Males]]+Table656[[#This Row],[Excess Absenteeism (Costs):
Females]]</f>
        <v>76229997.863809526</v>
      </c>
      <c r="L61" s="132">
        <v>-1.2411482254697298E-2</v>
      </c>
      <c r="M61" s="136">
        <f>M60*(1+Table656[[#This Row],[Relative Change in Smoking Prevalence:
All Interventions Combined]])</f>
        <v>0.37594948670474659</v>
      </c>
      <c r="N61" s="136">
        <f>N60*(1+Table656[[#This Row],[Relative Change in Smoking Prevalence:
All Interventions Combined]])</f>
        <v>4.6169235209354856E-2</v>
      </c>
      <c r="O61" s="139">
        <f>Table656[[#This Row],[Employed Persons:
Males]]*Table656[[#This Row],[Smoking Prevalence Associated with Intervention: Males]]</f>
        <v>352978.9730670866</v>
      </c>
      <c r="P61" s="139">
        <f>Table656[[#This Row],[Employed Persons:
Females]]*Table656[[#This Row],[Smoking Prevalence Associated with Intervention: Females]]</f>
        <v>38828.326811067433</v>
      </c>
      <c r="Q61" s="142">
        <f t="shared" si="4"/>
        <v>46949228.95197738</v>
      </c>
      <c r="R61" s="142">
        <f t="shared" si="5"/>
        <v>3329066.7820631862</v>
      </c>
      <c r="S61" s="142">
        <f>Table656[[#This Row],[Excess Absenteeism (Costs) - Intervention Scenario:
Males]]+Table656[[#This Row],[Excess Absenteeism (Costs) - Intervention Scenario:
Females]]</f>
        <v>50278295.734040566</v>
      </c>
      <c r="T61" s="145">
        <f>Table656[[#This Row],[Excess Absenteeism (Costs):
Males]]-Table656[[#This Row],[Excess Absenteeism (Costs) - Intervention Scenario:
Males]]</f>
        <v>24233367.245165475</v>
      </c>
      <c r="U61" s="145">
        <f>Table656[[#This Row],[Excess Absenteeism (Costs):
Females]]-Table656[[#This Row],[Excess Absenteeism (Costs) - Intervention Scenario:
Females]]</f>
        <v>1718334.8846034808</v>
      </c>
      <c r="V61" s="145">
        <f>Table656[[#This Row],[Excess Absenteeism (Costs):
Total]]-Table656[[#This Row],[Excess Absenteeism (Costs) - Intervention Scenario:
Total]]</f>
        <v>25951702.12976896</v>
      </c>
    </row>
    <row r="62" spans="2:22" customFormat="1">
      <c r="B62" s="55">
        <v>12</v>
      </c>
      <c r="C62" s="126">
        <f t="shared" si="0"/>
        <v>938900</v>
      </c>
      <c r="D62" s="126">
        <f t="shared" si="1"/>
        <v>841000</v>
      </c>
      <c r="E62" s="122">
        <f t="shared" si="2"/>
        <v>0.56999999999999995</v>
      </c>
      <c r="F62" s="122">
        <f t="shared" si="3"/>
        <v>7.0000000000000007E-2</v>
      </c>
      <c r="G62" s="126">
        <f>Table656[[#This Row],[Employed Persons:
Males]]*Table656[[#This Row],[Smoking Prevalence:
Males]]</f>
        <v>535173</v>
      </c>
      <c r="H62" s="126">
        <f>Table656[[#This Row],[Employed Persons:
Females]]*Table656[[#This Row],[Smoking Prevalence:
Females]]</f>
        <v>58870.000000000007</v>
      </c>
      <c r="I62" s="51">
        <f>$C$9*Table656[[#This Row],[Employed Smokers:
Males]]*D$29</f>
        <v>71182596.197142854</v>
      </c>
      <c r="J62" s="15">
        <f>$C$9*Table656[[#This Row],[Employed Smokers:
Females]]*E$29</f>
        <v>5047401.666666667</v>
      </c>
      <c r="K62" s="15">
        <f>Table656[[#This Row],[Excess Absenteeism (Costs):
Males]]+Table656[[#This Row],[Excess Absenteeism (Costs):
Females]]</f>
        <v>76229997.863809526</v>
      </c>
      <c r="L62" s="132">
        <v>-1.2411482254697298E-2</v>
      </c>
      <c r="M62" s="136">
        <f>M61*(1+Table656[[#This Row],[Relative Change in Smoking Prevalence:
All Interventions Combined]])</f>
        <v>0.37128339632184804</v>
      </c>
      <c r="N62" s="136">
        <f>N61*(1+Table656[[#This Row],[Relative Change in Smoking Prevalence:
All Interventions Combined]])</f>
        <v>4.5596206565840999E-2</v>
      </c>
      <c r="O62" s="139">
        <f>Table656[[#This Row],[Employed Persons:
Males]]*Table656[[#This Row],[Smoking Prevalence Associated with Intervention: Males]]</f>
        <v>348597.98080658313</v>
      </c>
      <c r="P62" s="139">
        <f>Table656[[#This Row],[Employed Persons:
Females]]*Table656[[#This Row],[Smoking Prevalence Associated with Intervention: Females]]</f>
        <v>38346.409721872282</v>
      </c>
      <c r="Q62" s="142">
        <f t="shared" si="4"/>
        <v>46366519.429968193</v>
      </c>
      <c r="R62" s="142">
        <f t="shared" si="5"/>
        <v>3287748.1287729065</v>
      </c>
      <c r="S62" s="142">
        <f>Table656[[#This Row],[Excess Absenteeism (Costs) - Intervention Scenario:
Males]]+Table656[[#This Row],[Excess Absenteeism (Costs) - Intervention Scenario:
Females]]</f>
        <v>49654267.5587411</v>
      </c>
      <c r="T62" s="145">
        <f>Table656[[#This Row],[Excess Absenteeism (Costs):
Males]]-Table656[[#This Row],[Excess Absenteeism (Costs) - Intervention Scenario:
Males]]</f>
        <v>24816076.767174661</v>
      </c>
      <c r="U62" s="145">
        <f>Table656[[#This Row],[Excess Absenteeism (Costs):
Females]]-Table656[[#This Row],[Excess Absenteeism (Costs) - Intervention Scenario:
Females]]</f>
        <v>1759653.5378937605</v>
      </c>
      <c r="V62" s="145">
        <f>Table656[[#This Row],[Excess Absenteeism (Costs):
Total]]-Table656[[#This Row],[Excess Absenteeism (Costs) - Intervention Scenario:
Total]]</f>
        <v>26575730.305068426</v>
      </c>
    </row>
    <row r="63" spans="2:22" customFormat="1">
      <c r="B63" s="54">
        <v>13</v>
      </c>
      <c r="C63" s="125">
        <f t="shared" si="0"/>
        <v>938900</v>
      </c>
      <c r="D63" s="125">
        <f t="shared" si="1"/>
        <v>841000</v>
      </c>
      <c r="E63" s="121">
        <f t="shared" si="2"/>
        <v>0.56999999999999995</v>
      </c>
      <c r="F63" s="121">
        <f t="shared" si="3"/>
        <v>7.0000000000000007E-2</v>
      </c>
      <c r="G63" s="125">
        <f>Table656[[#This Row],[Employed Persons:
Males]]*Table656[[#This Row],[Smoking Prevalence:
Males]]</f>
        <v>535173</v>
      </c>
      <c r="H63" s="125">
        <f>Table656[[#This Row],[Employed Persons:
Females]]*Table656[[#This Row],[Smoking Prevalence:
Females]]</f>
        <v>58870.000000000007</v>
      </c>
      <c r="I63" s="50">
        <f>$C$9*Table656[[#This Row],[Employed Smokers:
Males]]*D$29</f>
        <v>71182596.197142854</v>
      </c>
      <c r="J63" s="15">
        <f>$C$9*Table656[[#This Row],[Employed Smokers:
Females]]*E$29</f>
        <v>5047401.666666667</v>
      </c>
      <c r="K63" s="15">
        <f>Table656[[#This Row],[Excess Absenteeism (Costs):
Males]]+Table656[[#This Row],[Excess Absenteeism (Costs):
Females]]</f>
        <v>76229997.863809526</v>
      </c>
      <c r="L63" s="132">
        <v>-1.2411482254697298E-2</v>
      </c>
      <c r="M63" s="136">
        <f>M62*(1+Table656[[#This Row],[Relative Change in Smoking Prevalence:
All Interventions Combined]])</f>
        <v>0.36667521903693567</v>
      </c>
      <c r="N63" s="136">
        <f>N62*(1+Table656[[#This Row],[Relative Change in Smoking Prevalence:
All Interventions Combined]])</f>
        <v>4.5030290057167549E-2</v>
      </c>
      <c r="O63" s="139">
        <f>Table656[[#This Row],[Employed Persons:
Males]]*Table656[[#This Row],[Smoking Prevalence Associated with Intervention: Males]]</f>
        <v>344271.36315377889</v>
      </c>
      <c r="P63" s="139">
        <f>Table656[[#This Row],[Employed Persons:
Females]]*Table656[[#This Row],[Smoking Prevalence Associated with Intervention: Females]]</f>
        <v>37870.473938077906</v>
      </c>
      <c r="Q63" s="142">
        <f t="shared" si="4"/>
        <v>45791042.19685106</v>
      </c>
      <c r="R63" s="142">
        <f t="shared" si="5"/>
        <v>3246942.3012147271</v>
      </c>
      <c r="S63" s="142">
        <f>Table656[[#This Row],[Excess Absenteeism (Costs) - Intervention Scenario:
Males]]+Table656[[#This Row],[Excess Absenteeism (Costs) - Intervention Scenario:
Females]]</f>
        <v>49037984.498065785</v>
      </c>
      <c r="T63" s="145">
        <f>Table656[[#This Row],[Excess Absenteeism (Costs):
Males]]-Table656[[#This Row],[Excess Absenteeism (Costs) - Intervention Scenario:
Males]]</f>
        <v>25391554.000291795</v>
      </c>
      <c r="U63" s="145">
        <f>Table656[[#This Row],[Excess Absenteeism (Costs):
Females]]-Table656[[#This Row],[Excess Absenteeism (Costs) - Intervention Scenario:
Females]]</f>
        <v>1800459.3654519399</v>
      </c>
      <c r="V63" s="145">
        <f>Table656[[#This Row],[Excess Absenteeism (Costs):
Total]]-Table656[[#This Row],[Excess Absenteeism (Costs) - Intervention Scenario:
Total]]</f>
        <v>27192013.365743741</v>
      </c>
    </row>
    <row r="64" spans="2:22" customFormat="1">
      <c r="B64" s="55">
        <v>14</v>
      </c>
      <c r="C64" s="126">
        <f t="shared" si="0"/>
        <v>938900</v>
      </c>
      <c r="D64" s="126">
        <f t="shared" si="1"/>
        <v>841000</v>
      </c>
      <c r="E64" s="122">
        <f t="shared" si="2"/>
        <v>0.56999999999999995</v>
      </c>
      <c r="F64" s="122">
        <f t="shared" si="3"/>
        <v>7.0000000000000007E-2</v>
      </c>
      <c r="G64" s="126">
        <f>Table656[[#This Row],[Employed Persons:
Males]]*Table656[[#This Row],[Smoking Prevalence:
Males]]</f>
        <v>535173</v>
      </c>
      <c r="H64" s="126">
        <f>Table656[[#This Row],[Employed Persons:
Females]]*Table656[[#This Row],[Smoking Prevalence:
Females]]</f>
        <v>58870.000000000007</v>
      </c>
      <c r="I64" s="51">
        <f>$C$9*Table656[[#This Row],[Employed Smokers:
Males]]*D$29</f>
        <v>71182596.197142854</v>
      </c>
      <c r="J64" s="15">
        <f>$C$9*Table656[[#This Row],[Employed Smokers:
Females]]*E$29</f>
        <v>5047401.666666667</v>
      </c>
      <c r="K64" s="15">
        <f>Table656[[#This Row],[Excess Absenteeism (Costs):
Males]]+Table656[[#This Row],[Excess Absenteeism (Costs):
Females]]</f>
        <v>76229997.863809526</v>
      </c>
      <c r="L64" s="132">
        <v>-1.2411482254697298E-2</v>
      </c>
      <c r="M64" s="136">
        <f>M63*(1+Table656[[#This Row],[Relative Change in Smoking Prevalence:
All Interventions Combined]])</f>
        <v>0.36212423606262151</v>
      </c>
      <c r="N64" s="136">
        <f>N63*(1+Table656[[#This Row],[Relative Change in Smoking Prevalence:
All Interventions Combined]])</f>
        <v>4.447139741119914E-2</v>
      </c>
      <c r="O64" s="139">
        <f>Table656[[#This Row],[Employed Persons:
Males]]*Table656[[#This Row],[Smoking Prevalence Associated with Intervention: Males]]</f>
        <v>339998.44523919531</v>
      </c>
      <c r="P64" s="139">
        <f>Table656[[#This Row],[Employed Persons:
Females]]*Table656[[#This Row],[Smoking Prevalence Associated with Intervention: Females]]</f>
        <v>37400.445222818475</v>
      </c>
      <c r="Q64" s="142">
        <f t="shared" si="4"/>
        <v>45222707.489200741</v>
      </c>
      <c r="R64" s="142">
        <f t="shared" si="5"/>
        <v>3206642.9344611745</v>
      </c>
      <c r="S64" s="142">
        <f>Table656[[#This Row],[Excess Absenteeism (Costs) - Intervention Scenario:
Males]]+Table656[[#This Row],[Excess Absenteeism (Costs) - Intervention Scenario:
Females]]</f>
        <v>48429350.423661917</v>
      </c>
      <c r="T64" s="145">
        <f>Table656[[#This Row],[Excess Absenteeism (Costs):
Males]]-Table656[[#This Row],[Excess Absenteeism (Costs) - Intervention Scenario:
Males]]</f>
        <v>25959888.707942113</v>
      </c>
      <c r="U64" s="145">
        <f>Table656[[#This Row],[Excess Absenteeism (Costs):
Females]]-Table656[[#This Row],[Excess Absenteeism (Costs) - Intervention Scenario:
Females]]</f>
        <v>1840758.7322054924</v>
      </c>
      <c r="V64" s="145">
        <f>Table656[[#This Row],[Excess Absenteeism (Costs):
Total]]-Table656[[#This Row],[Excess Absenteeism (Costs) - Intervention Scenario:
Total]]</f>
        <v>27800647.440147609</v>
      </c>
    </row>
    <row r="65" spans="2:22" customFormat="1">
      <c r="B65" s="56">
        <v>15</v>
      </c>
      <c r="C65" s="127">
        <f t="shared" si="0"/>
        <v>938900</v>
      </c>
      <c r="D65" s="127">
        <f t="shared" si="1"/>
        <v>841000</v>
      </c>
      <c r="E65" s="123">
        <f t="shared" si="2"/>
        <v>0.56999999999999995</v>
      </c>
      <c r="F65" s="123">
        <f t="shared" si="3"/>
        <v>7.0000000000000007E-2</v>
      </c>
      <c r="G65" s="127">
        <f>Table656[[#This Row],[Employed Persons:
Males]]*Table656[[#This Row],[Smoking Prevalence:
Males]]</f>
        <v>535173</v>
      </c>
      <c r="H65" s="127">
        <f>Table656[[#This Row],[Employed Persons:
Females]]*Table656[[#This Row],[Smoking Prevalence:
Females]]</f>
        <v>58870.000000000007</v>
      </c>
      <c r="I65" s="52">
        <f>$C$9*Table656[[#This Row],[Employed Smokers:
Males]]*D$29</f>
        <v>71182596.197142854</v>
      </c>
      <c r="J65" s="15">
        <f>$C$9*Table656[[#This Row],[Employed Smokers:
Females]]*E$29</f>
        <v>5047401.666666667</v>
      </c>
      <c r="K65" s="15">
        <f>Table656[[#This Row],[Excess Absenteeism (Costs):
Males]]+Table656[[#This Row],[Excess Absenteeism (Costs):
Females]]</f>
        <v>76229997.863809526</v>
      </c>
      <c r="L65" s="132">
        <v>-1.2411482254697298E-2</v>
      </c>
      <c r="M65" s="136">
        <f>M64*(1+Table656[[#This Row],[Relative Change in Smoking Prevalence:
All Interventions Combined]])</f>
        <v>0.35762973753273447</v>
      </c>
      <c r="N65" s="136">
        <f>N64*(1+Table656[[#This Row],[Relative Change in Smoking Prevalence:
All Interventions Combined]])</f>
        <v>4.3919441451388451E-2</v>
      </c>
      <c r="O65" s="139">
        <f>Table656[[#This Row],[Employed Persons:
Males]]*Table656[[#This Row],[Smoking Prevalence Associated with Intervention: Males]]</f>
        <v>335778.56056948437</v>
      </c>
      <c r="P65" s="139">
        <f>Table656[[#This Row],[Employed Persons:
Females]]*Table656[[#This Row],[Smoking Prevalence Associated with Intervention: Females]]</f>
        <v>36936.250260617686</v>
      </c>
      <c r="Q65" s="142">
        <f t="shared" si="4"/>
        <v>44661426.657689162</v>
      </c>
      <c r="R65" s="142">
        <f t="shared" si="5"/>
        <v>3166843.7425829591</v>
      </c>
      <c r="S65" s="142">
        <f>Table656[[#This Row],[Excess Absenteeism (Costs) - Intervention Scenario:
Males]]+Table656[[#This Row],[Excess Absenteeism (Costs) - Intervention Scenario:
Females]]</f>
        <v>47828270.400272124</v>
      </c>
      <c r="T65" s="145">
        <f>Table656[[#This Row],[Excess Absenteeism (Costs):
Males]]-Table656[[#This Row],[Excess Absenteeism (Costs) - Intervention Scenario:
Males]]</f>
        <v>26521169.539453693</v>
      </c>
      <c r="U65" s="145">
        <f>Table656[[#This Row],[Excess Absenteeism (Costs):
Females]]-Table656[[#This Row],[Excess Absenteeism (Costs) - Intervention Scenario:
Females]]</f>
        <v>1880557.9240837079</v>
      </c>
      <c r="V65" s="145">
        <f>Table656[[#This Row],[Excess Absenteeism (Costs):
Total]]-Table656[[#This Row],[Excess Absenteeism (Costs) - Intervention Scenario:
Total]]</f>
        <v>28401727.463537402</v>
      </c>
    </row>
    <row r="66" spans="2:22" ht="17.100000000000001" customHeight="1">
      <c r="B66" s="81"/>
    </row>
    <row r="67" spans="2:22" ht="17.100000000000001" customHeight="1">
      <c r="B67" s="81"/>
    </row>
    <row r="68" spans="2:22" ht="21">
      <c r="B68" s="81" t="s">
        <v>323</v>
      </c>
    </row>
    <row r="69" spans="2:22" ht="21">
      <c r="B69" s="81"/>
    </row>
    <row r="70" spans="2:22" ht="135">
      <c r="B70" s="71" t="s">
        <v>111</v>
      </c>
      <c r="C70" s="129" t="s">
        <v>175</v>
      </c>
      <c r="D70" s="128"/>
      <c r="E70" s="128"/>
      <c r="F70" s="128"/>
      <c r="G70" s="133" t="s">
        <v>176</v>
      </c>
      <c r="H70" s="134"/>
      <c r="I70" s="134"/>
      <c r="J70" s="134"/>
      <c r="K70" s="134"/>
      <c r="L70" s="68" t="s">
        <v>110</v>
      </c>
      <c r="M70" s="74" t="s">
        <v>177</v>
      </c>
      <c r="N70" s="70"/>
      <c r="O70" s="73" t="s">
        <v>178</v>
      </c>
      <c r="P70" s="72"/>
      <c r="Q70" s="72"/>
      <c r="R70" s="72"/>
      <c r="S70" s="72"/>
      <c r="T70" s="78" t="s">
        <v>179</v>
      </c>
      <c r="U70" s="75"/>
      <c r="V70" s="75"/>
    </row>
    <row r="72" spans="2:22" ht="69" customHeight="1" thickBot="1">
      <c r="B72" s="35" t="s">
        <v>81</v>
      </c>
      <c r="C72" s="35" t="s">
        <v>157</v>
      </c>
      <c r="D72" s="35" t="s">
        <v>158</v>
      </c>
      <c r="E72" s="35" t="s">
        <v>155</v>
      </c>
      <c r="F72" s="35" t="s">
        <v>156</v>
      </c>
      <c r="G72" s="35" t="s">
        <v>159</v>
      </c>
      <c r="H72" s="35" t="s">
        <v>160</v>
      </c>
      <c r="I72" s="34" t="s">
        <v>166</v>
      </c>
      <c r="J72" s="34" t="s">
        <v>167</v>
      </c>
      <c r="K72" s="34" t="s">
        <v>168</v>
      </c>
      <c r="L72" s="63" t="s">
        <v>246</v>
      </c>
      <c r="M72" s="135" t="s">
        <v>162</v>
      </c>
      <c r="N72" s="135" t="s">
        <v>163</v>
      </c>
      <c r="O72" s="137" t="s">
        <v>164</v>
      </c>
      <c r="P72" s="137" t="s">
        <v>165</v>
      </c>
      <c r="Q72" s="137" t="s">
        <v>169</v>
      </c>
      <c r="R72" s="137" t="s">
        <v>170</v>
      </c>
      <c r="S72" s="137" t="s">
        <v>171</v>
      </c>
      <c r="T72" s="143" t="s">
        <v>173</v>
      </c>
      <c r="U72" s="143" t="s">
        <v>172</v>
      </c>
      <c r="V72" s="143" t="s">
        <v>174</v>
      </c>
    </row>
    <row r="73" spans="2:22" ht="15.75" thickTop="1">
      <c r="B73" s="53">
        <v>0</v>
      </c>
      <c r="C73" s="124">
        <f t="shared" ref="C73:C88" si="6">$D$24</f>
        <v>938900</v>
      </c>
      <c r="D73" s="124">
        <f t="shared" ref="D73:D88" si="7">$E$24</f>
        <v>841000</v>
      </c>
      <c r="E73" s="120">
        <f t="shared" ref="E73:E88" si="8">$D$25</f>
        <v>0.56999999999999995</v>
      </c>
      <c r="F73" s="120">
        <f t="shared" ref="F73:F88" si="9">$E$25</f>
        <v>7.0000000000000007E-2</v>
      </c>
      <c r="G73" s="124">
        <f>Table65[[#This Row],[Employed Persons:
Males]]*Table65[[#This Row],[Smoking Prevalence:
Males]]</f>
        <v>535173</v>
      </c>
      <c r="H73" s="124">
        <f>Table65[[#This Row],[Employed Persons:
Females]]*Table65[[#This Row],[Smoking Prevalence:
Females]]</f>
        <v>58870.000000000007</v>
      </c>
      <c r="I73" s="49">
        <f>$C$9*Table65[[#This Row],[Employed Smokers:
Males]]*D$29</f>
        <v>71182596.197142854</v>
      </c>
      <c r="J73" s="49">
        <f>$C$9*Table65[[#This Row],[Employed Smokers:
Females]]*E$29</f>
        <v>5047401.666666667</v>
      </c>
      <c r="K73" s="12">
        <f>Table65[[#This Row],[Excess Absenteeism (Costs):
Males]]+Table65[[#This Row],[Excess Absenteeism (Costs):
Females]]</f>
        <v>76229997.863809526</v>
      </c>
      <c r="L73" s="67"/>
      <c r="M73" s="136">
        <f>Table65[[#This Row],[Smoking Prevalence:
Males]]</f>
        <v>0.56999999999999995</v>
      </c>
      <c r="N73" s="136">
        <f>Table65[[#This Row],[Smoking Prevalence:
Females]]</f>
        <v>7.0000000000000007E-2</v>
      </c>
      <c r="O73" s="138">
        <f>Table65[[#This Row],[Employed Persons:
Males]]*Table65[[#This Row],[Smoking Prevalence Associated with Intervention: Males]]</f>
        <v>535173</v>
      </c>
      <c r="P73" s="138">
        <f>Table65[[#This Row],[Employed Persons:
Females]]*Table65[[#This Row],[Smoking Prevalence Associated with Intervention: Females]]</f>
        <v>58870.000000000007</v>
      </c>
      <c r="Q73" s="140">
        <f t="shared" ref="Q73:Q88" si="10">$C$9*O73*D$29</f>
        <v>71182596.197142854</v>
      </c>
      <c r="R73" s="140">
        <f t="shared" ref="R73:R88" si="11">$C$9*P73*E$29</f>
        <v>5047401.666666667</v>
      </c>
      <c r="S73" s="141">
        <f>Table65[[#This Row],[Excess Absenteeism (Costs) - Intervention Scenario:
Males]]+Table65[[#This Row],[Excess Absenteeism (Costs) - Intervention Scenario:
Females]]</f>
        <v>76229997.863809526</v>
      </c>
      <c r="T73" s="144">
        <f>Table65[[#This Row],[Excess Absenteeism (Costs):
Males]]-Table65[[#This Row],[Excess Absenteeism (Costs) - Intervention Scenario:
Males]]</f>
        <v>0</v>
      </c>
      <c r="U73" s="144">
        <f>Table65[[#This Row],[Excess Absenteeism (Costs):
Females]]-Table65[[#This Row],[Excess Absenteeism (Costs) - Intervention Scenario:
Females]]</f>
        <v>0</v>
      </c>
      <c r="V73" s="144">
        <f>Table65[[#This Row],[Excess Absenteeism (Costs):
Total]]-Table65[[#This Row],[Excess Absenteeism (Costs) - Intervention Scenario:
Total]]</f>
        <v>0</v>
      </c>
    </row>
    <row r="74" spans="2:22">
      <c r="B74" s="54">
        <v>1</v>
      </c>
      <c r="C74" s="125">
        <f t="shared" si="6"/>
        <v>938900</v>
      </c>
      <c r="D74" s="125">
        <f t="shared" si="7"/>
        <v>841000</v>
      </c>
      <c r="E74" s="121">
        <f t="shared" si="8"/>
        <v>0.56999999999999995</v>
      </c>
      <c r="F74" s="121">
        <f t="shared" si="9"/>
        <v>7.0000000000000007E-2</v>
      </c>
      <c r="G74" s="125">
        <f>Table65[[#This Row],[Employed Persons:
Males]]*Table65[[#This Row],[Smoking Prevalence:
Males]]</f>
        <v>535173</v>
      </c>
      <c r="H74" s="125">
        <f>Table65[[#This Row],[Employed Persons:
Females]]*Table65[[#This Row],[Smoking Prevalence:
Females]]</f>
        <v>58870.000000000007</v>
      </c>
      <c r="I74" s="50">
        <f>$C$9*Table65[[#This Row],[Employed Smokers:
Males]]*D$29</f>
        <v>71182596.197142854</v>
      </c>
      <c r="J74" s="12">
        <f>$C$9*Table65[[#This Row],[Employed Smokers:
Females]]*E$29</f>
        <v>5047401.666666667</v>
      </c>
      <c r="K74" s="12">
        <f>Table65[[#This Row],[Excess Absenteeism (Costs):
Males]]+Table65[[#This Row],[Excess Absenteeism (Costs):
Females]]</f>
        <v>76229997.863809526</v>
      </c>
      <c r="L74" s="130">
        <v>-3.6400000000000002E-2</v>
      </c>
      <c r="M74" s="136">
        <f>M73*(1+Table65[[#This Row],[Relative Change in Smoking Prevalence:
Increase Cigarette Taxes]])</f>
        <v>0.54925199999999996</v>
      </c>
      <c r="N74" s="136">
        <f>N73*(1+Table65[[#This Row],[Relative Change in Smoking Prevalence:
Increase Cigarette Taxes]])</f>
        <v>6.7452000000000012E-2</v>
      </c>
      <c r="O74" s="138">
        <f>Table65[[#This Row],[Employed Persons:
Males]]*Table65[[#This Row],[Smoking Prevalence Associated with Intervention: Males]]</f>
        <v>515692.70279999997</v>
      </c>
      <c r="P74" s="138">
        <f>Table65[[#This Row],[Employed Persons:
Females]]*Table65[[#This Row],[Smoking Prevalence Associated with Intervention: Females]]</f>
        <v>56727.132000000012</v>
      </c>
      <c r="Q74" s="141">
        <f t="shared" si="10"/>
        <v>68591549.695566863</v>
      </c>
      <c r="R74" s="141">
        <f t="shared" si="11"/>
        <v>4863676.2460000012</v>
      </c>
      <c r="S74" s="141">
        <f>Table65[[#This Row],[Excess Absenteeism (Costs) - Intervention Scenario:
Males]]+Table65[[#This Row],[Excess Absenteeism (Costs) - Intervention Scenario:
Females]]</f>
        <v>73455225.94156687</v>
      </c>
      <c r="T74" s="144">
        <f>Table65[[#This Row],[Excess Absenteeism (Costs):
Males]]-Table65[[#This Row],[Excess Absenteeism (Costs) - Intervention Scenario:
Males]]</f>
        <v>2591046.5015759915</v>
      </c>
      <c r="U74" s="144">
        <f>Table65[[#This Row],[Excess Absenteeism (Costs):
Females]]-Table65[[#This Row],[Excess Absenteeism (Costs) - Intervention Scenario:
Females]]</f>
        <v>183725.42066666577</v>
      </c>
      <c r="V74" s="144">
        <f>Table65[[#This Row],[Excess Absenteeism (Costs):
Total]]-Table65[[#This Row],[Excess Absenteeism (Costs) - Intervention Scenario:
Total]]</f>
        <v>2774771.9222426564</v>
      </c>
    </row>
    <row r="75" spans="2:22">
      <c r="B75" s="55">
        <v>2</v>
      </c>
      <c r="C75" s="126">
        <f t="shared" si="6"/>
        <v>938900</v>
      </c>
      <c r="D75" s="126">
        <f t="shared" si="7"/>
        <v>841000</v>
      </c>
      <c r="E75" s="122">
        <f t="shared" si="8"/>
        <v>0.56999999999999995</v>
      </c>
      <c r="F75" s="122">
        <f t="shared" si="9"/>
        <v>7.0000000000000007E-2</v>
      </c>
      <c r="G75" s="126">
        <f>Table65[[#This Row],[Employed Persons:
Males]]*Table65[[#This Row],[Smoking Prevalence:
Males]]</f>
        <v>535173</v>
      </c>
      <c r="H75" s="126">
        <f>Table65[[#This Row],[Employed Persons:
Females]]*Table65[[#This Row],[Smoking Prevalence:
Females]]</f>
        <v>58870.000000000007</v>
      </c>
      <c r="I75" s="51">
        <f>$C$9*Table65[[#This Row],[Employed Smokers:
Males]]*D$29</f>
        <v>71182596.197142854</v>
      </c>
      <c r="J75" s="12">
        <f>$C$9*Table65[[#This Row],[Employed Smokers:
Females]]*E$29</f>
        <v>5047401.666666667</v>
      </c>
      <c r="K75" s="12">
        <f>Table65[[#This Row],[Excess Absenteeism (Costs):
Males]]+Table65[[#This Row],[Excess Absenteeism (Costs):
Females]]</f>
        <v>76229997.863809526</v>
      </c>
      <c r="L75" s="130">
        <v>-3.6400000000000002E-2</v>
      </c>
      <c r="M75" s="136">
        <f>M74*(1+Table65[[#This Row],[Relative Change in Smoking Prevalence:
Increase Cigarette Taxes]])</f>
        <v>0.52925922719999996</v>
      </c>
      <c r="N75" s="136">
        <f>N74*(1+Table65[[#This Row],[Relative Change in Smoking Prevalence:
Increase Cigarette Taxes]])</f>
        <v>6.499674720000001E-2</v>
      </c>
      <c r="O75" s="138">
        <f>Table65[[#This Row],[Employed Persons:
Males]]*Table65[[#This Row],[Smoking Prevalence Associated with Intervention: Males]]</f>
        <v>496921.48841807997</v>
      </c>
      <c r="P75" s="138">
        <f>Table65[[#This Row],[Employed Persons:
Females]]*Table65[[#This Row],[Smoking Prevalence Associated with Intervention: Females]]</f>
        <v>54662.264395200007</v>
      </c>
      <c r="Q75" s="141">
        <f t="shared" si="10"/>
        <v>66094817.286648221</v>
      </c>
      <c r="R75" s="141">
        <f t="shared" si="11"/>
        <v>4686638.4306456009</v>
      </c>
      <c r="S75" s="141">
        <f>Table65[[#This Row],[Excess Absenteeism (Costs) - Intervention Scenario:
Males]]+Table65[[#This Row],[Excess Absenteeism (Costs) - Intervention Scenario:
Females]]</f>
        <v>70781455.717293829</v>
      </c>
      <c r="T75" s="144">
        <f>Table65[[#This Row],[Excess Absenteeism (Costs):
Males]]-Table65[[#This Row],[Excess Absenteeism (Costs) - Intervention Scenario:
Males]]</f>
        <v>5087778.910494633</v>
      </c>
      <c r="U75" s="144">
        <f>Table65[[#This Row],[Excess Absenteeism (Costs):
Females]]-Table65[[#This Row],[Excess Absenteeism (Costs) - Intervention Scenario:
Females]]</f>
        <v>360763.23602106608</v>
      </c>
      <c r="V75" s="144">
        <f>Table65[[#This Row],[Excess Absenteeism (Costs):
Total]]-Table65[[#This Row],[Excess Absenteeism (Costs) - Intervention Scenario:
Total]]</f>
        <v>5448542.1465156972</v>
      </c>
    </row>
    <row r="76" spans="2:22">
      <c r="B76" s="54">
        <v>3</v>
      </c>
      <c r="C76" s="125">
        <f t="shared" si="6"/>
        <v>938900</v>
      </c>
      <c r="D76" s="125">
        <f t="shared" si="7"/>
        <v>841000</v>
      </c>
      <c r="E76" s="121">
        <f t="shared" si="8"/>
        <v>0.56999999999999995</v>
      </c>
      <c r="F76" s="121">
        <f t="shared" si="9"/>
        <v>7.0000000000000007E-2</v>
      </c>
      <c r="G76" s="125">
        <f>Table65[[#This Row],[Employed Persons:
Males]]*Table65[[#This Row],[Smoking Prevalence:
Males]]</f>
        <v>535173</v>
      </c>
      <c r="H76" s="125">
        <f>Table65[[#This Row],[Employed Persons:
Females]]*Table65[[#This Row],[Smoking Prevalence:
Females]]</f>
        <v>58870.000000000007</v>
      </c>
      <c r="I76" s="50">
        <f>$C$9*Table65[[#This Row],[Employed Smokers:
Males]]*D$29</f>
        <v>71182596.197142854</v>
      </c>
      <c r="J76" s="12">
        <f>$C$9*Table65[[#This Row],[Employed Smokers:
Females]]*E$29</f>
        <v>5047401.666666667</v>
      </c>
      <c r="K76" s="12">
        <f>Table65[[#This Row],[Excess Absenteeism (Costs):
Males]]+Table65[[#This Row],[Excess Absenteeism (Costs):
Females]]</f>
        <v>76229997.863809526</v>
      </c>
      <c r="L76" s="130">
        <v>-3.6400000000000002E-2</v>
      </c>
      <c r="M76" s="136">
        <f>M75*(1+Table65[[#This Row],[Relative Change in Smoking Prevalence:
Increase Cigarette Taxes]])</f>
        <v>0.50999419132991997</v>
      </c>
      <c r="N76" s="136">
        <f>N75*(1+Table65[[#This Row],[Relative Change in Smoking Prevalence:
Increase Cigarette Taxes]])</f>
        <v>6.2630865601920008E-2</v>
      </c>
      <c r="O76" s="138">
        <f>Table65[[#This Row],[Employed Persons:
Males]]*Table65[[#This Row],[Smoking Prevalence Associated with Intervention: Males]]</f>
        <v>478833.54623966187</v>
      </c>
      <c r="P76" s="138">
        <f>Table65[[#This Row],[Employed Persons:
Females]]*Table65[[#This Row],[Smoking Prevalence Associated with Intervention: Females]]</f>
        <v>52672.55797121473</v>
      </c>
      <c r="Q76" s="141">
        <f t="shared" si="10"/>
        <v>63688965.937414229</v>
      </c>
      <c r="R76" s="141">
        <f t="shared" si="11"/>
        <v>4516044.7917701015</v>
      </c>
      <c r="S76" s="141">
        <f>Table65[[#This Row],[Excess Absenteeism (Costs) - Intervention Scenario:
Males]]+Table65[[#This Row],[Excess Absenteeism (Costs) - Intervention Scenario:
Females]]</f>
        <v>68205010.72918433</v>
      </c>
      <c r="T76" s="144">
        <f>Table65[[#This Row],[Excess Absenteeism (Costs):
Males]]-Table65[[#This Row],[Excess Absenteeism (Costs) - Intervention Scenario:
Males]]</f>
        <v>7493630.2597286254</v>
      </c>
      <c r="U76" s="144">
        <f>Table65[[#This Row],[Excess Absenteeism (Costs):
Females]]-Table65[[#This Row],[Excess Absenteeism (Costs) - Intervention Scenario:
Females]]</f>
        <v>531356.87489656545</v>
      </c>
      <c r="V76" s="144">
        <f>Table65[[#This Row],[Excess Absenteeism (Costs):
Total]]-Table65[[#This Row],[Excess Absenteeism (Costs) - Intervention Scenario:
Total]]</f>
        <v>8024987.1346251965</v>
      </c>
    </row>
    <row r="77" spans="2:22">
      <c r="B77" s="55">
        <v>4</v>
      </c>
      <c r="C77" s="126">
        <f t="shared" si="6"/>
        <v>938900</v>
      </c>
      <c r="D77" s="126">
        <f t="shared" si="7"/>
        <v>841000</v>
      </c>
      <c r="E77" s="122">
        <f t="shared" si="8"/>
        <v>0.56999999999999995</v>
      </c>
      <c r="F77" s="122">
        <f t="shared" si="9"/>
        <v>7.0000000000000007E-2</v>
      </c>
      <c r="G77" s="126">
        <f>Table65[[#This Row],[Employed Persons:
Males]]*Table65[[#This Row],[Smoking Prevalence:
Males]]</f>
        <v>535173</v>
      </c>
      <c r="H77" s="126">
        <f>Table65[[#This Row],[Employed Persons:
Females]]*Table65[[#This Row],[Smoking Prevalence:
Females]]</f>
        <v>58870.000000000007</v>
      </c>
      <c r="I77" s="51">
        <f>$C$9*Table65[[#This Row],[Employed Smokers:
Males]]*D$29</f>
        <v>71182596.197142854</v>
      </c>
      <c r="J77" s="12">
        <f>$C$9*Table65[[#This Row],[Employed Smokers:
Females]]*E$29</f>
        <v>5047401.666666667</v>
      </c>
      <c r="K77" s="12">
        <f>Table65[[#This Row],[Excess Absenteeism (Costs):
Males]]+Table65[[#This Row],[Excess Absenteeism (Costs):
Females]]</f>
        <v>76229997.863809526</v>
      </c>
      <c r="L77" s="130">
        <v>-3.6400000000000002E-2</v>
      </c>
      <c r="M77" s="136">
        <f>M76*(1+Table65[[#This Row],[Relative Change in Smoking Prevalence:
Increase Cigarette Taxes]])</f>
        <v>0.49143040276551087</v>
      </c>
      <c r="N77" s="136">
        <f>N76*(1+Table65[[#This Row],[Relative Change in Smoking Prevalence:
Increase Cigarette Taxes]])</f>
        <v>6.0351102094010123E-2</v>
      </c>
      <c r="O77" s="138">
        <f>Table65[[#This Row],[Employed Persons:
Males]]*Table65[[#This Row],[Smoking Prevalence Associated with Intervention: Males]]</f>
        <v>461404.00515653816</v>
      </c>
      <c r="P77" s="138">
        <f>Table65[[#This Row],[Employed Persons:
Females]]*Table65[[#This Row],[Smoking Prevalence Associated with Intervention: Females]]</f>
        <v>50755.276861062513</v>
      </c>
      <c r="Q77" s="141">
        <f t="shared" si="10"/>
        <v>61370687.577292353</v>
      </c>
      <c r="R77" s="141">
        <f t="shared" si="11"/>
        <v>4351660.7613496697</v>
      </c>
      <c r="S77" s="141">
        <f>Table65[[#This Row],[Excess Absenteeism (Costs) - Intervention Scenario:
Males]]+Table65[[#This Row],[Excess Absenteeism (Costs) - Intervention Scenario:
Females]]</f>
        <v>65722348.338642024</v>
      </c>
      <c r="T77" s="144">
        <f>Table65[[#This Row],[Excess Absenteeism (Costs):
Males]]-Table65[[#This Row],[Excess Absenteeism (Costs) - Intervention Scenario:
Males]]</f>
        <v>9811908.6198505014</v>
      </c>
      <c r="U77" s="144">
        <f>Table65[[#This Row],[Excess Absenteeism (Costs):
Females]]-Table65[[#This Row],[Excess Absenteeism (Costs) - Intervention Scenario:
Females]]</f>
        <v>695740.90531699732</v>
      </c>
      <c r="V77" s="144">
        <f>Table65[[#This Row],[Excess Absenteeism (Costs):
Total]]-Table65[[#This Row],[Excess Absenteeism (Costs) - Intervention Scenario:
Total]]</f>
        <v>10507649.525167502</v>
      </c>
    </row>
    <row r="78" spans="2:22" customFormat="1">
      <c r="B78" s="54">
        <v>5</v>
      </c>
      <c r="C78" s="125">
        <f t="shared" si="6"/>
        <v>938900</v>
      </c>
      <c r="D78" s="125">
        <f t="shared" si="7"/>
        <v>841000</v>
      </c>
      <c r="E78" s="121">
        <f t="shared" si="8"/>
        <v>0.56999999999999995</v>
      </c>
      <c r="F78" s="121">
        <f t="shared" si="9"/>
        <v>7.0000000000000007E-2</v>
      </c>
      <c r="G78" s="125">
        <f>Table65[[#This Row],[Employed Persons:
Males]]*Table65[[#This Row],[Smoking Prevalence:
Males]]</f>
        <v>535173</v>
      </c>
      <c r="H78" s="125">
        <f>Table65[[#This Row],[Employed Persons:
Females]]*Table65[[#This Row],[Smoking Prevalence:
Females]]</f>
        <v>58870.000000000007</v>
      </c>
      <c r="I78" s="50">
        <f>$C$9*Table65[[#This Row],[Employed Smokers:
Males]]*D$29</f>
        <v>71182596.197142854</v>
      </c>
      <c r="J78" s="15">
        <f>$C$9*Table65[[#This Row],[Employed Smokers:
Females]]*E$29</f>
        <v>5047401.666666667</v>
      </c>
      <c r="K78" s="15">
        <f>Table65[[#This Row],[Excess Absenteeism (Costs):
Males]]+Table65[[#This Row],[Excess Absenteeism (Costs):
Females]]</f>
        <v>76229997.863809526</v>
      </c>
      <c r="L78" s="131">
        <v>-3.6400000000000002E-2</v>
      </c>
      <c r="M78" s="136">
        <f>M77*(1+Table65[[#This Row],[Relative Change in Smoking Prevalence:
Increase Cigarette Taxes]])</f>
        <v>0.47354233610484625</v>
      </c>
      <c r="N78" s="136">
        <f>N77*(1+Table65[[#This Row],[Relative Change in Smoking Prevalence:
Increase Cigarette Taxes]])</f>
        <v>5.8154321977788158E-2</v>
      </c>
      <c r="O78" s="139">
        <f>Table65[[#This Row],[Employed Persons:
Males]]*Table65[[#This Row],[Smoking Prevalence Associated with Intervention: Males]]</f>
        <v>444608.89936884015</v>
      </c>
      <c r="P78" s="139">
        <f>Table65[[#This Row],[Employed Persons:
Females]]*Table65[[#This Row],[Smoking Prevalence Associated with Intervention: Females]]</f>
        <v>48907.784783319839</v>
      </c>
      <c r="Q78" s="142">
        <f t="shared" si="10"/>
        <v>59136794.549478903</v>
      </c>
      <c r="R78" s="142">
        <f t="shared" si="11"/>
        <v>4193260.3096365416</v>
      </c>
      <c r="S78" s="142">
        <f>Table65[[#This Row],[Excess Absenteeism (Costs) - Intervention Scenario:
Males]]+Table65[[#This Row],[Excess Absenteeism (Costs) - Intervention Scenario:
Females]]</f>
        <v>63330054.859115444</v>
      </c>
      <c r="T78" s="145">
        <f>Table65[[#This Row],[Excess Absenteeism (Costs):
Males]]-Table65[[#This Row],[Excess Absenteeism (Costs) - Intervention Scenario:
Males]]</f>
        <v>12045801.647663951</v>
      </c>
      <c r="U78" s="145">
        <f>Table65[[#This Row],[Excess Absenteeism (Costs):
Females]]-Table65[[#This Row],[Excess Absenteeism (Costs) - Intervention Scenario:
Females]]</f>
        <v>854141.35703012533</v>
      </c>
      <c r="V78" s="145">
        <f>Table65[[#This Row],[Excess Absenteeism (Costs):
Total]]-Table65[[#This Row],[Excess Absenteeism (Costs) - Intervention Scenario:
Total]]</f>
        <v>12899943.004694082</v>
      </c>
    </row>
    <row r="79" spans="2:22" customFormat="1">
      <c r="B79" s="55">
        <v>6</v>
      </c>
      <c r="C79" s="126">
        <f t="shared" si="6"/>
        <v>938900</v>
      </c>
      <c r="D79" s="126">
        <f t="shared" si="7"/>
        <v>841000</v>
      </c>
      <c r="E79" s="122">
        <f t="shared" si="8"/>
        <v>0.56999999999999995</v>
      </c>
      <c r="F79" s="122">
        <f t="shared" si="9"/>
        <v>7.0000000000000007E-2</v>
      </c>
      <c r="G79" s="126">
        <f>Table65[[#This Row],[Employed Persons:
Males]]*Table65[[#This Row],[Smoking Prevalence:
Males]]</f>
        <v>535173</v>
      </c>
      <c r="H79" s="126">
        <f>Table65[[#This Row],[Employed Persons:
Females]]*Table65[[#This Row],[Smoking Prevalence:
Females]]</f>
        <v>58870.000000000007</v>
      </c>
      <c r="I79" s="51">
        <f>$C$9*Table65[[#This Row],[Employed Smokers:
Males]]*D$29</f>
        <v>71182596.197142854</v>
      </c>
      <c r="J79" s="15">
        <f>$C$9*Table65[[#This Row],[Employed Smokers:
Females]]*E$29</f>
        <v>5047401.666666667</v>
      </c>
      <c r="K79" s="15">
        <f>Table65[[#This Row],[Excess Absenteeism (Costs):
Males]]+Table65[[#This Row],[Excess Absenteeism (Costs):
Females]]</f>
        <v>76229997.863809526</v>
      </c>
      <c r="L79" s="132">
        <v>-9.1000000000000022E-3</v>
      </c>
      <c r="M79" s="136">
        <f>M78*(1+Table65[[#This Row],[Relative Change in Smoking Prevalence:
Increase Cigarette Taxes]])</f>
        <v>0.46923310084629216</v>
      </c>
      <c r="N79" s="136">
        <f>N78*(1+Table65[[#This Row],[Relative Change in Smoking Prevalence:
Increase Cigarette Taxes]])</f>
        <v>5.7625117647790283E-2</v>
      </c>
      <c r="O79" s="139">
        <f>Table65[[#This Row],[Employed Persons:
Males]]*Table65[[#This Row],[Smoking Prevalence Associated with Intervention: Males]]</f>
        <v>440562.9583845837</v>
      </c>
      <c r="P79" s="139">
        <f>Table65[[#This Row],[Employed Persons:
Females]]*Table65[[#This Row],[Smoking Prevalence Associated with Intervention: Females]]</f>
        <v>48462.723941791628</v>
      </c>
      <c r="Q79" s="142">
        <f t="shared" si="10"/>
        <v>58598649.719078653</v>
      </c>
      <c r="R79" s="142">
        <f t="shared" si="11"/>
        <v>4155101.6408188487</v>
      </c>
      <c r="S79" s="142">
        <f>Table65[[#This Row],[Excess Absenteeism (Costs) - Intervention Scenario:
Males]]+Table65[[#This Row],[Excess Absenteeism (Costs) - Intervention Scenario:
Females]]</f>
        <v>62753751.359897502</v>
      </c>
      <c r="T79" s="145">
        <f>Table65[[#This Row],[Excess Absenteeism (Costs):
Males]]-Table65[[#This Row],[Excess Absenteeism (Costs) - Intervention Scenario:
Males]]</f>
        <v>12583946.478064202</v>
      </c>
      <c r="U79" s="145">
        <f>Table65[[#This Row],[Excess Absenteeism (Costs):
Females]]-Table65[[#This Row],[Excess Absenteeism (Costs) - Intervention Scenario:
Females]]</f>
        <v>892300.02584781824</v>
      </c>
      <c r="V79" s="145">
        <f>Table65[[#This Row],[Excess Absenteeism (Costs):
Total]]-Table65[[#This Row],[Excess Absenteeism (Costs) - Intervention Scenario:
Total]]</f>
        <v>13476246.503912024</v>
      </c>
    </row>
    <row r="80" spans="2:22" customFormat="1">
      <c r="B80" s="54">
        <v>7</v>
      </c>
      <c r="C80" s="125">
        <f t="shared" si="6"/>
        <v>938900</v>
      </c>
      <c r="D80" s="125">
        <f t="shared" si="7"/>
        <v>841000</v>
      </c>
      <c r="E80" s="121">
        <f t="shared" si="8"/>
        <v>0.56999999999999995</v>
      </c>
      <c r="F80" s="121">
        <f t="shared" si="9"/>
        <v>7.0000000000000007E-2</v>
      </c>
      <c r="G80" s="125">
        <f>Table65[[#This Row],[Employed Persons:
Males]]*Table65[[#This Row],[Smoking Prevalence:
Males]]</f>
        <v>535173</v>
      </c>
      <c r="H80" s="125">
        <f>Table65[[#This Row],[Employed Persons:
Females]]*Table65[[#This Row],[Smoking Prevalence:
Females]]</f>
        <v>58870.000000000007</v>
      </c>
      <c r="I80" s="50">
        <f>$C$9*Table65[[#This Row],[Employed Smokers:
Males]]*D$29</f>
        <v>71182596.197142854</v>
      </c>
      <c r="J80" s="15">
        <f>$C$9*Table65[[#This Row],[Employed Smokers:
Females]]*E$29</f>
        <v>5047401.666666667</v>
      </c>
      <c r="K80" s="15">
        <f>Table65[[#This Row],[Excess Absenteeism (Costs):
Males]]+Table65[[#This Row],[Excess Absenteeism (Costs):
Females]]</f>
        <v>76229997.863809526</v>
      </c>
      <c r="L80" s="132">
        <v>-9.1000000000000022E-3</v>
      </c>
      <c r="M80" s="136">
        <f>M79*(1+Table65[[#This Row],[Relative Change in Smoking Prevalence:
Increase Cigarette Taxes]])</f>
        <v>0.4649630796285909</v>
      </c>
      <c r="N80" s="136">
        <f>N79*(1+Table65[[#This Row],[Relative Change in Smoking Prevalence:
Increase Cigarette Taxes]])</f>
        <v>5.7100729077195392E-2</v>
      </c>
      <c r="O80" s="139">
        <f>Table65[[#This Row],[Employed Persons:
Males]]*Table65[[#This Row],[Smoking Prevalence Associated with Intervention: Males]]</f>
        <v>436553.83546328399</v>
      </c>
      <c r="P80" s="139">
        <f>Table65[[#This Row],[Employed Persons:
Females]]*Table65[[#This Row],[Smoking Prevalence Associated with Intervention: Females]]</f>
        <v>48021.713153921322</v>
      </c>
      <c r="Q80" s="142">
        <f t="shared" si="10"/>
        <v>58065402.00663504</v>
      </c>
      <c r="R80" s="142">
        <f t="shared" si="11"/>
        <v>4117290.2158873971</v>
      </c>
      <c r="S80" s="142">
        <f>Table65[[#This Row],[Excess Absenteeism (Costs) - Intervention Scenario:
Males]]+Table65[[#This Row],[Excess Absenteeism (Costs) - Intervention Scenario:
Females]]</f>
        <v>62182692.222522438</v>
      </c>
      <c r="T80" s="145">
        <f>Table65[[#This Row],[Excess Absenteeism (Costs):
Males]]-Table65[[#This Row],[Excess Absenteeism (Costs) - Intervention Scenario:
Males]]</f>
        <v>13117194.190507814</v>
      </c>
      <c r="U80" s="145">
        <f>Table65[[#This Row],[Excess Absenteeism (Costs):
Females]]-Table65[[#This Row],[Excess Absenteeism (Costs) - Intervention Scenario:
Females]]</f>
        <v>930111.45077926992</v>
      </c>
      <c r="V80" s="145">
        <f>Table65[[#This Row],[Excess Absenteeism (Costs):
Total]]-Table65[[#This Row],[Excess Absenteeism (Costs) - Intervention Scenario:
Total]]</f>
        <v>14047305.641287088</v>
      </c>
    </row>
    <row r="81" spans="2:22" customFormat="1">
      <c r="B81" s="55">
        <v>8</v>
      </c>
      <c r="C81" s="126">
        <f t="shared" si="6"/>
        <v>938900</v>
      </c>
      <c r="D81" s="126">
        <f t="shared" si="7"/>
        <v>841000</v>
      </c>
      <c r="E81" s="122">
        <f t="shared" si="8"/>
        <v>0.56999999999999995</v>
      </c>
      <c r="F81" s="122">
        <f t="shared" si="9"/>
        <v>7.0000000000000007E-2</v>
      </c>
      <c r="G81" s="126">
        <f>Table65[[#This Row],[Employed Persons:
Males]]*Table65[[#This Row],[Smoking Prevalence:
Males]]</f>
        <v>535173</v>
      </c>
      <c r="H81" s="126">
        <f>Table65[[#This Row],[Employed Persons:
Females]]*Table65[[#This Row],[Smoking Prevalence:
Females]]</f>
        <v>58870.000000000007</v>
      </c>
      <c r="I81" s="51">
        <f>$C$9*Table65[[#This Row],[Employed Smokers:
Males]]*D$29</f>
        <v>71182596.197142854</v>
      </c>
      <c r="J81" s="15">
        <f>$C$9*Table65[[#This Row],[Employed Smokers:
Females]]*E$29</f>
        <v>5047401.666666667</v>
      </c>
      <c r="K81" s="15">
        <f>Table65[[#This Row],[Excess Absenteeism (Costs):
Males]]+Table65[[#This Row],[Excess Absenteeism (Costs):
Females]]</f>
        <v>76229997.863809526</v>
      </c>
      <c r="L81" s="132">
        <v>-9.1000000000000022E-3</v>
      </c>
      <c r="M81" s="136">
        <f>M80*(1+Table65[[#This Row],[Relative Change in Smoking Prevalence:
Increase Cigarette Taxes]])</f>
        <v>0.46073191560397075</v>
      </c>
      <c r="N81" s="136">
        <f>N80*(1+Table65[[#This Row],[Relative Change in Smoking Prevalence:
Increase Cigarette Taxes]])</f>
        <v>5.6581112442592917E-2</v>
      </c>
      <c r="O81" s="139">
        <f>Table65[[#This Row],[Employed Persons:
Males]]*Table65[[#This Row],[Smoking Prevalence Associated with Intervention: Males]]</f>
        <v>432581.19556056813</v>
      </c>
      <c r="P81" s="139">
        <f>Table65[[#This Row],[Employed Persons:
Females]]*Table65[[#This Row],[Smoking Prevalence Associated with Intervention: Females]]</f>
        <v>47584.715564220642</v>
      </c>
      <c r="Q81" s="142">
        <f t="shared" si="10"/>
        <v>57537006.84837465</v>
      </c>
      <c r="R81" s="142">
        <f t="shared" si="11"/>
        <v>4079822.8749228222</v>
      </c>
      <c r="S81" s="142">
        <f>Table65[[#This Row],[Excess Absenteeism (Costs) - Intervention Scenario:
Males]]+Table65[[#This Row],[Excess Absenteeism (Costs) - Intervention Scenario:
Females]]</f>
        <v>61616829.723297469</v>
      </c>
      <c r="T81" s="145">
        <f>Table65[[#This Row],[Excess Absenteeism (Costs):
Males]]-Table65[[#This Row],[Excess Absenteeism (Costs) - Intervention Scenario:
Males]]</f>
        <v>13645589.348768204</v>
      </c>
      <c r="U81" s="145">
        <f>Table65[[#This Row],[Excess Absenteeism (Costs):
Females]]-Table65[[#This Row],[Excess Absenteeism (Costs) - Intervention Scenario:
Females]]</f>
        <v>967578.79174384475</v>
      </c>
      <c r="V81" s="145">
        <f>Table65[[#This Row],[Excess Absenteeism (Costs):
Total]]-Table65[[#This Row],[Excess Absenteeism (Costs) - Intervention Scenario:
Total]]</f>
        <v>14613168.140512057</v>
      </c>
    </row>
    <row r="82" spans="2:22" customFormat="1">
      <c r="B82" s="54">
        <v>9</v>
      </c>
      <c r="C82" s="125">
        <f t="shared" si="6"/>
        <v>938900</v>
      </c>
      <c r="D82" s="125">
        <f t="shared" si="7"/>
        <v>841000</v>
      </c>
      <c r="E82" s="121">
        <f t="shared" si="8"/>
        <v>0.56999999999999995</v>
      </c>
      <c r="F82" s="121">
        <f t="shared" si="9"/>
        <v>7.0000000000000007E-2</v>
      </c>
      <c r="G82" s="125">
        <f>Table65[[#This Row],[Employed Persons:
Males]]*Table65[[#This Row],[Smoking Prevalence:
Males]]</f>
        <v>535173</v>
      </c>
      <c r="H82" s="125">
        <f>Table65[[#This Row],[Employed Persons:
Females]]*Table65[[#This Row],[Smoking Prevalence:
Females]]</f>
        <v>58870.000000000007</v>
      </c>
      <c r="I82" s="50">
        <f>$C$9*Table65[[#This Row],[Employed Smokers:
Males]]*D$29</f>
        <v>71182596.197142854</v>
      </c>
      <c r="J82" s="15">
        <f>$C$9*Table65[[#This Row],[Employed Smokers:
Females]]*E$29</f>
        <v>5047401.666666667</v>
      </c>
      <c r="K82" s="15">
        <f>Table65[[#This Row],[Excess Absenteeism (Costs):
Males]]+Table65[[#This Row],[Excess Absenteeism (Costs):
Females]]</f>
        <v>76229997.863809526</v>
      </c>
      <c r="L82" s="132">
        <v>-9.1000000000000022E-3</v>
      </c>
      <c r="M82" s="136">
        <f>M81*(1+Table65[[#This Row],[Relative Change in Smoking Prevalence:
Increase Cigarette Taxes]])</f>
        <v>0.45653925517197463</v>
      </c>
      <c r="N82" s="136">
        <f>N81*(1+Table65[[#This Row],[Relative Change in Smoking Prevalence:
Increase Cigarette Taxes]])</f>
        <v>5.6066224319365324E-2</v>
      </c>
      <c r="O82" s="139">
        <f>Table65[[#This Row],[Employed Persons:
Males]]*Table65[[#This Row],[Smoking Prevalence Associated with Intervention: Males]]</f>
        <v>428644.70668096701</v>
      </c>
      <c r="P82" s="139">
        <f>Table65[[#This Row],[Employed Persons:
Females]]*Table65[[#This Row],[Smoking Prevalence Associated with Intervention: Females]]</f>
        <v>47151.694652586237</v>
      </c>
      <c r="Q82" s="142">
        <f t="shared" si="10"/>
        <v>57013420.086054452</v>
      </c>
      <c r="R82" s="142">
        <f t="shared" si="11"/>
        <v>4042696.4867610247</v>
      </c>
      <c r="S82" s="142">
        <f>Table65[[#This Row],[Excess Absenteeism (Costs) - Intervention Scenario:
Males]]+Table65[[#This Row],[Excess Absenteeism (Costs) - Intervention Scenario:
Females]]</f>
        <v>61056116.572815478</v>
      </c>
      <c r="T82" s="145">
        <f>Table65[[#This Row],[Excess Absenteeism (Costs):
Males]]-Table65[[#This Row],[Excess Absenteeism (Costs) - Intervention Scenario:
Males]]</f>
        <v>14169176.111088403</v>
      </c>
      <c r="U82" s="145">
        <f>Table65[[#This Row],[Excess Absenteeism (Costs):
Females]]-Table65[[#This Row],[Excess Absenteeism (Costs) - Intervention Scenario:
Females]]</f>
        <v>1004705.1799056423</v>
      </c>
      <c r="V82" s="145">
        <f>Table65[[#This Row],[Excess Absenteeism (Costs):
Total]]-Table65[[#This Row],[Excess Absenteeism (Costs) - Intervention Scenario:
Total]]</f>
        <v>15173881.290994048</v>
      </c>
    </row>
    <row r="83" spans="2:22" customFormat="1">
      <c r="B83" s="55">
        <v>10</v>
      </c>
      <c r="C83" s="126">
        <f t="shared" si="6"/>
        <v>938900</v>
      </c>
      <c r="D83" s="126">
        <f t="shared" si="7"/>
        <v>841000</v>
      </c>
      <c r="E83" s="122">
        <f t="shared" si="8"/>
        <v>0.56999999999999995</v>
      </c>
      <c r="F83" s="122">
        <f t="shared" si="9"/>
        <v>7.0000000000000007E-2</v>
      </c>
      <c r="G83" s="126">
        <f>Table65[[#This Row],[Employed Persons:
Males]]*Table65[[#This Row],[Smoking Prevalence:
Males]]</f>
        <v>535173</v>
      </c>
      <c r="H83" s="126">
        <f>Table65[[#This Row],[Employed Persons:
Females]]*Table65[[#This Row],[Smoking Prevalence:
Females]]</f>
        <v>58870.000000000007</v>
      </c>
      <c r="I83" s="51">
        <f>$C$9*Table65[[#This Row],[Employed Smokers:
Males]]*D$29</f>
        <v>71182596.197142854</v>
      </c>
      <c r="J83" s="15">
        <f>$C$9*Table65[[#This Row],[Employed Smokers:
Females]]*E$29</f>
        <v>5047401.666666667</v>
      </c>
      <c r="K83" s="15">
        <f>Table65[[#This Row],[Excess Absenteeism (Costs):
Males]]+Table65[[#This Row],[Excess Absenteeism (Costs):
Females]]</f>
        <v>76229997.863809526</v>
      </c>
      <c r="L83" s="132">
        <v>-9.1000000000000022E-3</v>
      </c>
      <c r="M83" s="136">
        <f>M82*(1+Table65[[#This Row],[Relative Change in Smoking Prevalence:
Increase Cigarette Taxes]])</f>
        <v>0.45238474794990968</v>
      </c>
      <c r="N83" s="136">
        <f>N82*(1+Table65[[#This Row],[Relative Change in Smoking Prevalence:
Increase Cigarette Taxes]])</f>
        <v>5.5556021678059099E-2</v>
      </c>
      <c r="O83" s="139">
        <f>Table65[[#This Row],[Employed Persons:
Males]]*Table65[[#This Row],[Smoking Prevalence Associated with Intervention: Males]]</f>
        <v>424744.0398501702</v>
      </c>
      <c r="P83" s="139">
        <f>Table65[[#This Row],[Employed Persons:
Females]]*Table65[[#This Row],[Smoking Prevalence Associated with Intervention: Females]]</f>
        <v>46722.614231247702</v>
      </c>
      <c r="Q83" s="142">
        <f t="shared" si="10"/>
        <v>56494597.963271357</v>
      </c>
      <c r="R83" s="142">
        <f t="shared" si="11"/>
        <v>4005907.9487314997</v>
      </c>
      <c r="S83" s="142">
        <f>Table65[[#This Row],[Excess Absenteeism (Costs) - Intervention Scenario:
Males]]+Table65[[#This Row],[Excess Absenteeism (Costs) - Intervention Scenario:
Females]]</f>
        <v>60500505.912002854</v>
      </c>
      <c r="T83" s="145">
        <f>Table65[[#This Row],[Excess Absenteeism (Costs):
Males]]-Table65[[#This Row],[Excess Absenteeism (Costs) - Intervention Scenario:
Males]]</f>
        <v>14687998.233871497</v>
      </c>
      <c r="U83" s="145">
        <f>Table65[[#This Row],[Excess Absenteeism (Costs):
Females]]-Table65[[#This Row],[Excess Absenteeism (Costs) - Intervention Scenario:
Females]]</f>
        <v>1041493.7179351673</v>
      </c>
      <c r="V83" s="145">
        <f>Table65[[#This Row],[Excess Absenteeism (Costs):
Total]]-Table65[[#This Row],[Excess Absenteeism (Costs) - Intervention Scenario:
Total]]</f>
        <v>15729491.951806672</v>
      </c>
    </row>
    <row r="84" spans="2:22" customFormat="1">
      <c r="B84" s="54">
        <v>11</v>
      </c>
      <c r="C84" s="125">
        <f t="shared" si="6"/>
        <v>938900</v>
      </c>
      <c r="D84" s="125">
        <f t="shared" si="7"/>
        <v>841000</v>
      </c>
      <c r="E84" s="121">
        <f t="shared" si="8"/>
        <v>0.56999999999999995</v>
      </c>
      <c r="F84" s="121">
        <f t="shared" si="9"/>
        <v>7.0000000000000007E-2</v>
      </c>
      <c r="G84" s="125">
        <f>Table65[[#This Row],[Employed Persons:
Males]]*Table65[[#This Row],[Smoking Prevalence:
Males]]</f>
        <v>535173</v>
      </c>
      <c r="H84" s="125">
        <f>Table65[[#This Row],[Employed Persons:
Females]]*Table65[[#This Row],[Smoking Prevalence:
Females]]</f>
        <v>58870.000000000007</v>
      </c>
      <c r="I84" s="50">
        <f>$C$9*Table65[[#This Row],[Employed Smokers:
Males]]*D$29</f>
        <v>71182596.197142854</v>
      </c>
      <c r="J84" s="15">
        <f>$C$9*Table65[[#This Row],[Employed Smokers:
Females]]*E$29</f>
        <v>5047401.666666667</v>
      </c>
      <c r="K84" s="15">
        <f>Table65[[#This Row],[Excess Absenteeism (Costs):
Males]]+Table65[[#This Row],[Excess Absenteeism (Costs):
Females]]</f>
        <v>76229997.863809526</v>
      </c>
      <c r="L84" s="132">
        <v>-9.1000000000000022E-3</v>
      </c>
      <c r="M84" s="136">
        <f>M83*(1+Table65[[#This Row],[Relative Change in Smoking Prevalence:
Increase Cigarette Taxes]])</f>
        <v>0.44826804674356552</v>
      </c>
      <c r="N84" s="136">
        <f>N83*(1+Table65[[#This Row],[Relative Change in Smoking Prevalence:
Increase Cigarette Taxes]])</f>
        <v>5.5050461880788763E-2</v>
      </c>
      <c r="O84" s="139">
        <f>Table65[[#This Row],[Employed Persons:
Males]]*Table65[[#This Row],[Smoking Prevalence Associated with Intervention: Males]]</f>
        <v>420878.86908753368</v>
      </c>
      <c r="P84" s="139">
        <f>Table65[[#This Row],[Employed Persons:
Females]]*Table65[[#This Row],[Smoking Prevalence Associated with Intervention: Females]]</f>
        <v>46297.438441743347</v>
      </c>
      <c r="Q84" s="142">
        <f t="shared" si="10"/>
        <v>55980497.121805593</v>
      </c>
      <c r="R84" s="142">
        <f t="shared" si="11"/>
        <v>3969454.1863980428</v>
      </c>
      <c r="S84" s="142">
        <f>Table65[[#This Row],[Excess Absenteeism (Costs) - Intervention Scenario:
Males]]+Table65[[#This Row],[Excess Absenteeism (Costs) - Intervention Scenario:
Females]]</f>
        <v>59949951.308203638</v>
      </c>
      <c r="T84" s="145">
        <f>Table65[[#This Row],[Excess Absenteeism (Costs):
Males]]-Table65[[#This Row],[Excess Absenteeism (Costs) - Intervention Scenario:
Males]]</f>
        <v>15202099.075337261</v>
      </c>
      <c r="U84" s="145">
        <f>Table65[[#This Row],[Excess Absenteeism (Costs):
Females]]-Table65[[#This Row],[Excess Absenteeism (Costs) - Intervention Scenario:
Females]]</f>
        <v>1077947.4802686241</v>
      </c>
      <c r="V84" s="145">
        <f>Table65[[#This Row],[Excess Absenteeism (Costs):
Total]]-Table65[[#This Row],[Excess Absenteeism (Costs) - Intervention Scenario:
Total]]</f>
        <v>16280046.555605888</v>
      </c>
    </row>
    <row r="85" spans="2:22" customFormat="1">
      <c r="B85" s="55">
        <v>12</v>
      </c>
      <c r="C85" s="126">
        <f t="shared" si="6"/>
        <v>938900</v>
      </c>
      <c r="D85" s="126">
        <f t="shared" si="7"/>
        <v>841000</v>
      </c>
      <c r="E85" s="122">
        <f t="shared" si="8"/>
        <v>0.56999999999999995</v>
      </c>
      <c r="F85" s="122">
        <f t="shared" si="9"/>
        <v>7.0000000000000007E-2</v>
      </c>
      <c r="G85" s="126">
        <f>Table65[[#This Row],[Employed Persons:
Males]]*Table65[[#This Row],[Smoking Prevalence:
Males]]</f>
        <v>535173</v>
      </c>
      <c r="H85" s="126">
        <f>Table65[[#This Row],[Employed Persons:
Females]]*Table65[[#This Row],[Smoking Prevalence:
Females]]</f>
        <v>58870.000000000007</v>
      </c>
      <c r="I85" s="51">
        <f>$C$9*Table65[[#This Row],[Employed Smokers:
Males]]*D$29</f>
        <v>71182596.197142854</v>
      </c>
      <c r="J85" s="15">
        <f>$C$9*Table65[[#This Row],[Employed Smokers:
Females]]*E$29</f>
        <v>5047401.666666667</v>
      </c>
      <c r="K85" s="15">
        <f>Table65[[#This Row],[Excess Absenteeism (Costs):
Males]]+Table65[[#This Row],[Excess Absenteeism (Costs):
Females]]</f>
        <v>76229997.863809526</v>
      </c>
      <c r="L85" s="132">
        <v>-9.1000000000000022E-3</v>
      </c>
      <c r="M85" s="136">
        <f>M84*(1+Table65[[#This Row],[Relative Change in Smoking Prevalence:
Increase Cigarette Taxes]])</f>
        <v>0.44418880751819906</v>
      </c>
      <c r="N85" s="136">
        <f>N84*(1+Table65[[#This Row],[Relative Change in Smoking Prevalence:
Increase Cigarette Taxes]])</f>
        <v>5.4549502677673584E-2</v>
      </c>
      <c r="O85" s="139">
        <f>Table65[[#This Row],[Employed Persons:
Males]]*Table65[[#This Row],[Smoking Prevalence Associated with Intervention: Males]]</f>
        <v>417048.8713788371</v>
      </c>
      <c r="P85" s="139">
        <f>Table65[[#This Row],[Employed Persons:
Females]]*Table65[[#This Row],[Smoking Prevalence Associated with Intervention: Females]]</f>
        <v>45876.131751923487</v>
      </c>
      <c r="Q85" s="142">
        <f t="shared" si="10"/>
        <v>55471074.597997151</v>
      </c>
      <c r="R85" s="142">
        <f t="shared" si="11"/>
        <v>3933332.1533018206</v>
      </c>
      <c r="S85" s="142">
        <f>Table65[[#This Row],[Excess Absenteeism (Costs) - Intervention Scenario:
Males]]+Table65[[#This Row],[Excess Absenteeism (Costs) - Intervention Scenario:
Females]]</f>
        <v>59404406.751298971</v>
      </c>
      <c r="T85" s="145">
        <f>Table65[[#This Row],[Excess Absenteeism (Costs):
Males]]-Table65[[#This Row],[Excess Absenteeism (Costs) - Intervention Scenario:
Males]]</f>
        <v>15711521.599145703</v>
      </c>
      <c r="U85" s="145">
        <f>Table65[[#This Row],[Excess Absenteeism (Costs):
Females]]-Table65[[#This Row],[Excess Absenteeism (Costs) - Intervention Scenario:
Females]]</f>
        <v>1114069.5133648464</v>
      </c>
      <c r="V85" s="145">
        <f>Table65[[#This Row],[Excess Absenteeism (Costs):
Total]]-Table65[[#This Row],[Excess Absenteeism (Costs) - Intervention Scenario:
Total]]</f>
        <v>16825591.112510554</v>
      </c>
    </row>
    <row r="86" spans="2:22" customFormat="1">
      <c r="B86" s="54">
        <v>13</v>
      </c>
      <c r="C86" s="125">
        <f t="shared" si="6"/>
        <v>938900</v>
      </c>
      <c r="D86" s="125">
        <f t="shared" si="7"/>
        <v>841000</v>
      </c>
      <c r="E86" s="121">
        <f t="shared" si="8"/>
        <v>0.56999999999999995</v>
      </c>
      <c r="F86" s="121">
        <f t="shared" si="9"/>
        <v>7.0000000000000007E-2</v>
      </c>
      <c r="G86" s="125">
        <f>Table65[[#This Row],[Employed Persons:
Males]]*Table65[[#This Row],[Smoking Prevalence:
Males]]</f>
        <v>535173</v>
      </c>
      <c r="H86" s="125">
        <f>Table65[[#This Row],[Employed Persons:
Females]]*Table65[[#This Row],[Smoking Prevalence:
Females]]</f>
        <v>58870.000000000007</v>
      </c>
      <c r="I86" s="50">
        <f>$C$9*Table65[[#This Row],[Employed Smokers:
Males]]*D$29</f>
        <v>71182596.197142854</v>
      </c>
      <c r="J86" s="15">
        <f>$C$9*Table65[[#This Row],[Employed Smokers:
Females]]*E$29</f>
        <v>5047401.666666667</v>
      </c>
      <c r="K86" s="15">
        <f>Table65[[#This Row],[Excess Absenteeism (Costs):
Males]]+Table65[[#This Row],[Excess Absenteeism (Costs):
Females]]</f>
        <v>76229997.863809526</v>
      </c>
      <c r="L86" s="132">
        <v>-9.1000000000000022E-3</v>
      </c>
      <c r="M86" s="136">
        <f>M85*(1+Table65[[#This Row],[Relative Change in Smoking Prevalence:
Increase Cigarette Taxes]])</f>
        <v>0.44014668936978346</v>
      </c>
      <c r="N86" s="136">
        <f>N85*(1+Table65[[#This Row],[Relative Change in Smoking Prevalence:
Increase Cigarette Taxes]])</f>
        <v>5.4053102203306752E-2</v>
      </c>
      <c r="O86" s="139">
        <f>Table65[[#This Row],[Employed Persons:
Males]]*Table65[[#This Row],[Smoking Prevalence Associated with Intervention: Males]]</f>
        <v>413253.72664928972</v>
      </c>
      <c r="P86" s="139">
        <f>Table65[[#This Row],[Employed Persons:
Females]]*Table65[[#This Row],[Smoking Prevalence Associated with Intervention: Females]]</f>
        <v>45458.658952980979</v>
      </c>
      <c r="Q86" s="142">
        <f t="shared" si="10"/>
        <v>54966287.819155388</v>
      </c>
      <c r="R86" s="142">
        <f t="shared" si="11"/>
        <v>3897538.8307067738</v>
      </c>
      <c r="S86" s="142">
        <f>Table65[[#This Row],[Excess Absenteeism (Costs) - Intervention Scenario:
Males]]+Table65[[#This Row],[Excess Absenteeism (Costs) - Intervention Scenario:
Females]]</f>
        <v>58863826.649862163</v>
      </c>
      <c r="T86" s="145">
        <f>Table65[[#This Row],[Excess Absenteeism (Costs):
Males]]-Table65[[#This Row],[Excess Absenteeism (Costs) - Intervention Scenario:
Males]]</f>
        <v>16216308.377987467</v>
      </c>
      <c r="U86" s="145">
        <f>Table65[[#This Row],[Excess Absenteeism (Costs):
Females]]-Table65[[#This Row],[Excess Absenteeism (Costs) - Intervention Scenario:
Females]]</f>
        <v>1149862.8359598932</v>
      </c>
      <c r="V86" s="145">
        <f>Table65[[#This Row],[Excess Absenteeism (Costs):
Total]]-Table65[[#This Row],[Excess Absenteeism (Costs) - Intervention Scenario:
Total]]</f>
        <v>17366171.213947363</v>
      </c>
    </row>
    <row r="87" spans="2:22" customFormat="1">
      <c r="B87" s="55">
        <v>14</v>
      </c>
      <c r="C87" s="126">
        <f t="shared" si="6"/>
        <v>938900</v>
      </c>
      <c r="D87" s="126">
        <f t="shared" si="7"/>
        <v>841000</v>
      </c>
      <c r="E87" s="122">
        <f t="shared" si="8"/>
        <v>0.56999999999999995</v>
      </c>
      <c r="F87" s="122">
        <f t="shared" si="9"/>
        <v>7.0000000000000007E-2</v>
      </c>
      <c r="G87" s="126">
        <f>Table65[[#This Row],[Employed Persons:
Males]]*Table65[[#This Row],[Smoking Prevalence:
Males]]</f>
        <v>535173</v>
      </c>
      <c r="H87" s="126">
        <f>Table65[[#This Row],[Employed Persons:
Females]]*Table65[[#This Row],[Smoking Prevalence:
Females]]</f>
        <v>58870.000000000007</v>
      </c>
      <c r="I87" s="51">
        <f>$C$9*Table65[[#This Row],[Employed Smokers:
Males]]*D$29</f>
        <v>71182596.197142854</v>
      </c>
      <c r="J87" s="15">
        <f>$C$9*Table65[[#This Row],[Employed Smokers:
Females]]*E$29</f>
        <v>5047401.666666667</v>
      </c>
      <c r="K87" s="15">
        <f>Table65[[#This Row],[Excess Absenteeism (Costs):
Males]]+Table65[[#This Row],[Excess Absenteeism (Costs):
Females]]</f>
        <v>76229997.863809526</v>
      </c>
      <c r="L87" s="132">
        <v>-9.1000000000000022E-3</v>
      </c>
      <c r="M87" s="136">
        <f>M86*(1+Table65[[#This Row],[Relative Change in Smoking Prevalence:
Increase Cigarette Taxes]])</f>
        <v>0.43614135449651842</v>
      </c>
      <c r="N87" s="136">
        <f>N86*(1+Table65[[#This Row],[Relative Change in Smoking Prevalence:
Increase Cigarette Taxes]])</f>
        <v>5.3561218973256663E-2</v>
      </c>
      <c r="O87" s="139">
        <f>Table65[[#This Row],[Employed Persons:
Males]]*Table65[[#This Row],[Smoking Prevalence Associated with Intervention: Males]]</f>
        <v>409493.11773678113</v>
      </c>
      <c r="P87" s="139">
        <f>Table65[[#This Row],[Employed Persons:
Females]]*Table65[[#This Row],[Smoking Prevalence Associated with Intervention: Females]]</f>
        <v>45044.985156508854</v>
      </c>
      <c r="Q87" s="142">
        <f t="shared" si="10"/>
        <v>54466094.600001067</v>
      </c>
      <c r="R87" s="142">
        <f t="shared" si="11"/>
        <v>3862071.2273473428</v>
      </c>
      <c r="S87" s="142">
        <f>Table65[[#This Row],[Excess Absenteeism (Costs) - Intervention Scenario:
Males]]+Table65[[#This Row],[Excess Absenteeism (Costs) - Intervention Scenario:
Females]]</f>
        <v>58328165.827348411</v>
      </c>
      <c r="T87" s="145">
        <f>Table65[[#This Row],[Excess Absenteeism (Costs):
Males]]-Table65[[#This Row],[Excess Absenteeism (Costs) - Intervention Scenario:
Males]]</f>
        <v>16716501.597141787</v>
      </c>
      <c r="U87" s="145">
        <f>Table65[[#This Row],[Excess Absenteeism (Costs):
Females]]-Table65[[#This Row],[Excess Absenteeism (Costs) - Intervention Scenario:
Females]]</f>
        <v>1185330.4393193242</v>
      </c>
      <c r="V87" s="145">
        <f>Table65[[#This Row],[Excess Absenteeism (Costs):
Total]]-Table65[[#This Row],[Excess Absenteeism (Costs) - Intervention Scenario:
Total]]</f>
        <v>17901832.036461115</v>
      </c>
    </row>
    <row r="88" spans="2:22" customFormat="1">
      <c r="B88" s="56">
        <v>15</v>
      </c>
      <c r="C88" s="127">
        <f t="shared" si="6"/>
        <v>938900</v>
      </c>
      <c r="D88" s="127">
        <f t="shared" si="7"/>
        <v>841000</v>
      </c>
      <c r="E88" s="123">
        <f t="shared" si="8"/>
        <v>0.56999999999999995</v>
      </c>
      <c r="F88" s="123">
        <f t="shared" si="9"/>
        <v>7.0000000000000007E-2</v>
      </c>
      <c r="G88" s="127">
        <f>Table65[[#This Row],[Employed Persons:
Males]]*Table65[[#This Row],[Smoking Prevalence:
Males]]</f>
        <v>535173</v>
      </c>
      <c r="H88" s="127">
        <f>Table65[[#This Row],[Employed Persons:
Females]]*Table65[[#This Row],[Smoking Prevalence:
Females]]</f>
        <v>58870.000000000007</v>
      </c>
      <c r="I88" s="52">
        <f>$C$9*Table65[[#This Row],[Employed Smokers:
Males]]*D$29</f>
        <v>71182596.197142854</v>
      </c>
      <c r="J88" s="15">
        <f>$C$9*Table65[[#This Row],[Employed Smokers:
Females]]*E$29</f>
        <v>5047401.666666667</v>
      </c>
      <c r="K88" s="15">
        <f>Table65[[#This Row],[Excess Absenteeism (Costs):
Males]]+Table65[[#This Row],[Excess Absenteeism (Costs):
Females]]</f>
        <v>76229997.863809526</v>
      </c>
      <c r="L88" s="132">
        <v>-9.1000000000000022E-3</v>
      </c>
      <c r="M88" s="136">
        <f>M87*(1+Table65[[#This Row],[Relative Change in Smoking Prevalence:
Increase Cigarette Taxes]])</f>
        <v>0.43217246817060012</v>
      </c>
      <c r="N88" s="136">
        <f>N87*(1+Table65[[#This Row],[Relative Change in Smoking Prevalence:
Increase Cigarette Taxes]])</f>
        <v>5.3073811880600029E-2</v>
      </c>
      <c r="O88" s="139">
        <f>Table65[[#This Row],[Employed Persons:
Males]]*Table65[[#This Row],[Smoking Prevalence Associated with Intervention: Males]]</f>
        <v>405766.73036537645</v>
      </c>
      <c r="P88" s="139">
        <f>Table65[[#This Row],[Employed Persons:
Females]]*Table65[[#This Row],[Smoking Prevalence Associated with Intervention: Females]]</f>
        <v>44635.075791584626</v>
      </c>
      <c r="Q88" s="142">
        <f t="shared" si="10"/>
        <v>53970453.139141053</v>
      </c>
      <c r="R88" s="142">
        <f t="shared" si="11"/>
        <v>3826926.3791784816</v>
      </c>
      <c r="S88" s="142">
        <f>Table65[[#This Row],[Excess Absenteeism (Costs) - Intervention Scenario:
Males]]+Table65[[#This Row],[Excess Absenteeism (Costs) - Intervention Scenario:
Females]]</f>
        <v>57797379.518319532</v>
      </c>
      <c r="T88" s="145">
        <f>Table65[[#This Row],[Excess Absenteeism (Costs):
Males]]-Table65[[#This Row],[Excess Absenteeism (Costs) - Intervention Scenario:
Males]]</f>
        <v>17212143.058001801</v>
      </c>
      <c r="U88" s="145">
        <f>Table65[[#This Row],[Excess Absenteeism (Costs):
Females]]-Table65[[#This Row],[Excess Absenteeism (Costs) - Intervention Scenario:
Females]]</f>
        <v>1220475.2874881853</v>
      </c>
      <c r="V88" s="145">
        <f>Table65[[#This Row],[Excess Absenteeism (Costs):
Total]]-Table65[[#This Row],[Excess Absenteeism (Costs) - Intervention Scenario:
Total]]</f>
        <v>18432618.345489994</v>
      </c>
    </row>
    <row r="89" spans="2:22" customFormat="1"/>
    <row r="90" spans="2:22" customFormat="1"/>
    <row r="91" spans="2:22" ht="21">
      <c r="B91" s="81" t="s">
        <v>116</v>
      </c>
    </row>
    <row r="92" spans="2:22" ht="21">
      <c r="B92" s="81"/>
    </row>
    <row r="93" spans="2:22" ht="135">
      <c r="B93" s="71" t="s">
        <v>111</v>
      </c>
      <c r="C93" s="129" t="s">
        <v>175</v>
      </c>
      <c r="D93" s="128"/>
      <c r="E93" s="128"/>
      <c r="F93" s="128"/>
      <c r="G93" s="133" t="s">
        <v>176</v>
      </c>
      <c r="H93" s="134"/>
      <c r="I93" s="134"/>
      <c r="J93" s="134"/>
      <c r="K93" s="134"/>
      <c r="L93" s="68" t="s">
        <v>110</v>
      </c>
      <c r="M93" s="74" t="s">
        <v>177</v>
      </c>
      <c r="N93" s="70"/>
      <c r="O93" s="73" t="s">
        <v>178</v>
      </c>
      <c r="P93" s="72"/>
      <c r="Q93" s="72"/>
      <c r="R93" s="72"/>
      <c r="S93" s="72"/>
      <c r="T93" s="78" t="s">
        <v>179</v>
      </c>
      <c r="U93" s="75"/>
      <c r="V93" s="75"/>
    </row>
    <row r="95" spans="2:22" ht="69" customHeight="1" thickBot="1">
      <c r="B95" s="35" t="s">
        <v>81</v>
      </c>
      <c r="C95" s="35" t="s">
        <v>157</v>
      </c>
      <c r="D95" s="35" t="s">
        <v>158</v>
      </c>
      <c r="E95" s="35" t="s">
        <v>155</v>
      </c>
      <c r="F95" s="35" t="s">
        <v>156</v>
      </c>
      <c r="G95" s="35" t="s">
        <v>159</v>
      </c>
      <c r="H95" s="35" t="s">
        <v>160</v>
      </c>
      <c r="I95" s="34" t="s">
        <v>166</v>
      </c>
      <c r="J95" s="34" t="s">
        <v>167</v>
      </c>
      <c r="K95" s="34" t="s">
        <v>168</v>
      </c>
      <c r="L95" s="63" t="s">
        <v>72</v>
      </c>
      <c r="M95" s="135" t="s">
        <v>162</v>
      </c>
      <c r="N95" s="135" t="s">
        <v>163</v>
      </c>
      <c r="O95" s="137" t="s">
        <v>164</v>
      </c>
      <c r="P95" s="137" t="s">
        <v>165</v>
      </c>
      <c r="Q95" s="137" t="s">
        <v>169</v>
      </c>
      <c r="R95" s="137" t="s">
        <v>170</v>
      </c>
      <c r="S95" s="137" t="s">
        <v>171</v>
      </c>
      <c r="T95" s="143" t="s">
        <v>173</v>
      </c>
      <c r="U95" s="143" t="s">
        <v>172</v>
      </c>
      <c r="V95" s="143" t="s">
        <v>174</v>
      </c>
    </row>
    <row r="96" spans="2:22" ht="15.75" thickTop="1">
      <c r="B96" s="53">
        <v>0</v>
      </c>
      <c r="C96" s="124">
        <f t="shared" ref="C96:C111" si="12">$D$24</f>
        <v>938900</v>
      </c>
      <c r="D96" s="124">
        <f t="shared" ref="D96:D111" si="13">$E$24</f>
        <v>841000</v>
      </c>
      <c r="E96" s="120">
        <f t="shared" ref="E96:E111" si="14">$D$25</f>
        <v>0.56999999999999995</v>
      </c>
      <c r="F96" s="120">
        <f t="shared" ref="F96:F111" si="15">$E$25</f>
        <v>7.0000000000000007E-2</v>
      </c>
      <c r="G96" s="124">
        <f>Table6567[[#This Row],[Employed Persons:
Males]]*Table6567[[#This Row],[Smoking Prevalence:
Males]]</f>
        <v>535173</v>
      </c>
      <c r="H96" s="124">
        <f>Table6567[[#This Row],[Employed Persons:
Females]]*Table6567[[#This Row],[Smoking Prevalence:
Females]]</f>
        <v>58870.000000000007</v>
      </c>
      <c r="I96" s="49">
        <f>$C$9*Table6567[[#This Row],[Employed Smokers:
Males]]*D$29</f>
        <v>71182596.197142854</v>
      </c>
      <c r="J96" s="49">
        <f>$C$9*Table6567[[#This Row],[Employed Smokers:
Females]]*E$29</f>
        <v>5047401.666666667</v>
      </c>
      <c r="K96" s="12">
        <f>Table6567[[#This Row],[Excess Absenteeism (Costs):
Males]]+Table6567[[#This Row],[Excess Absenteeism (Costs):
Females]]</f>
        <v>76229997.863809526</v>
      </c>
      <c r="L96" s="67"/>
      <c r="M96" s="136">
        <f>Table6567[[#This Row],[Smoking Prevalence:
Males]]</f>
        <v>0.56999999999999995</v>
      </c>
      <c r="N96" s="136">
        <f>Table6567[[#This Row],[Smoking Prevalence:
Females]]</f>
        <v>7.0000000000000007E-2</v>
      </c>
      <c r="O96" s="138">
        <f>Table6567[[#This Row],[Employed Persons:
Males]]*Table6567[[#This Row],[Smoking Prevalence Associated with Intervention: Males]]</f>
        <v>535173</v>
      </c>
      <c r="P96" s="138">
        <f>Table6567[[#This Row],[Employed Persons:
Females]]*Table6567[[#This Row],[Smoking Prevalence Associated with Intervention: Females]]</f>
        <v>58870.000000000007</v>
      </c>
      <c r="Q96" s="140">
        <f t="shared" ref="Q96:Q111" si="16">$C$9*O96*D$29</f>
        <v>71182596.197142854</v>
      </c>
      <c r="R96" s="140">
        <f t="shared" ref="R96:R111" si="17">$C$9*P96*E$29</f>
        <v>5047401.666666667</v>
      </c>
      <c r="S96" s="141">
        <f>Table6567[[#This Row],[Excess Absenteeism (Costs) - Intervention Scenario:
Males]]+Table6567[[#This Row],[Excess Absenteeism (Costs) - Intervention Scenario:
Females]]</f>
        <v>76229997.863809526</v>
      </c>
      <c r="T96" s="144">
        <f>Table6567[[#This Row],[Excess Absenteeism (Costs):
Males]]-Table6567[[#This Row],[Excess Absenteeism (Costs) - Intervention Scenario:
Males]]</f>
        <v>0</v>
      </c>
      <c r="U96" s="144">
        <f>Table6567[[#This Row],[Excess Absenteeism (Costs):
Females]]-Table6567[[#This Row],[Excess Absenteeism (Costs) - Intervention Scenario:
Females]]</f>
        <v>0</v>
      </c>
      <c r="V96" s="144">
        <f>Table6567[[#This Row],[Excess Absenteeism (Costs):
Total]]-Table6567[[#This Row],[Excess Absenteeism (Costs) - Intervention Scenario:
Total]]</f>
        <v>0</v>
      </c>
    </row>
    <row r="97" spans="2:22">
      <c r="B97" s="54">
        <v>1</v>
      </c>
      <c r="C97" s="125">
        <f t="shared" si="12"/>
        <v>938900</v>
      </c>
      <c r="D97" s="125">
        <f t="shared" si="13"/>
        <v>841000</v>
      </c>
      <c r="E97" s="121">
        <f t="shared" si="14"/>
        <v>0.56999999999999995</v>
      </c>
      <c r="F97" s="121">
        <f t="shared" si="15"/>
        <v>7.0000000000000007E-2</v>
      </c>
      <c r="G97" s="125">
        <f>Table6567[[#This Row],[Employed Persons:
Males]]*Table6567[[#This Row],[Smoking Prevalence:
Males]]</f>
        <v>535173</v>
      </c>
      <c r="H97" s="125">
        <f>Table6567[[#This Row],[Employed Persons:
Females]]*Table6567[[#This Row],[Smoking Prevalence:
Females]]</f>
        <v>58870.000000000007</v>
      </c>
      <c r="I97" s="50">
        <f>$C$9*Table6567[[#This Row],[Employed Smokers:
Males]]*D$29</f>
        <v>71182596.197142854</v>
      </c>
      <c r="J97" s="12">
        <f>$C$9*Table6567[[#This Row],[Employed Smokers:
Females]]*E$29</f>
        <v>5047401.666666667</v>
      </c>
      <c r="K97" s="12">
        <f>Table6567[[#This Row],[Excess Absenteeism (Costs):
Males]]+Table6567[[#This Row],[Excess Absenteeism (Costs):
Females]]</f>
        <v>76229997.863809526</v>
      </c>
      <c r="L97" s="130">
        <v>-1.0800000000000001E-2</v>
      </c>
      <c r="M97" s="136">
        <f>M96*(1+Table6567[[#This Row],[Relative Change in Smoking Prevalence:
Smoke-Free Air Laws]])</f>
        <v>0.5638439999999999</v>
      </c>
      <c r="N97" s="136">
        <f>N96*(1+Table6567[[#This Row],[Relative Change in Smoking Prevalence:
Smoke-Free Air Laws]])</f>
        <v>6.9244E-2</v>
      </c>
      <c r="O97" s="138">
        <f>Table6567[[#This Row],[Employed Persons:
Males]]*Table6567[[#This Row],[Smoking Prevalence Associated with Intervention: Males]]</f>
        <v>529393.13159999996</v>
      </c>
      <c r="P97" s="138">
        <f>Table6567[[#This Row],[Employed Persons:
Females]]*Table6567[[#This Row],[Smoking Prevalence Associated with Intervention: Females]]</f>
        <v>58234.203999999998</v>
      </c>
      <c r="Q97" s="141">
        <f t="shared" si="16"/>
        <v>70413824.15821372</v>
      </c>
      <c r="R97" s="141">
        <f t="shared" si="17"/>
        <v>4992889.7286666669</v>
      </c>
      <c r="S97" s="141">
        <f>Table6567[[#This Row],[Excess Absenteeism (Costs) - Intervention Scenario:
Males]]+Table6567[[#This Row],[Excess Absenteeism (Costs) - Intervention Scenario:
Females]]</f>
        <v>75406713.886880383</v>
      </c>
      <c r="T97" s="144">
        <f>Table6567[[#This Row],[Excess Absenteeism (Costs):
Males]]-Table6567[[#This Row],[Excess Absenteeism (Costs) - Intervention Scenario:
Males]]</f>
        <v>768772.03892913461</v>
      </c>
      <c r="U97" s="144">
        <f>Table6567[[#This Row],[Excess Absenteeism (Costs):
Females]]-Table6567[[#This Row],[Excess Absenteeism (Costs) - Intervention Scenario:
Females]]</f>
        <v>54511.938000000082</v>
      </c>
      <c r="V97" s="144">
        <f>Table6567[[#This Row],[Excess Absenteeism (Costs):
Total]]-Table6567[[#This Row],[Excess Absenteeism (Costs) - Intervention Scenario:
Total]]</f>
        <v>823283.97692914307</v>
      </c>
    </row>
    <row r="98" spans="2:22">
      <c r="B98" s="55">
        <v>2</v>
      </c>
      <c r="C98" s="126">
        <f t="shared" si="12"/>
        <v>938900</v>
      </c>
      <c r="D98" s="126">
        <f t="shared" si="13"/>
        <v>841000</v>
      </c>
      <c r="E98" s="122">
        <f t="shared" si="14"/>
        <v>0.56999999999999995</v>
      </c>
      <c r="F98" s="122">
        <f t="shared" si="15"/>
        <v>7.0000000000000007E-2</v>
      </c>
      <c r="G98" s="126">
        <f>Table6567[[#This Row],[Employed Persons:
Males]]*Table6567[[#This Row],[Smoking Prevalence:
Males]]</f>
        <v>535173</v>
      </c>
      <c r="H98" s="126">
        <f>Table6567[[#This Row],[Employed Persons:
Females]]*Table6567[[#This Row],[Smoking Prevalence:
Females]]</f>
        <v>58870.000000000007</v>
      </c>
      <c r="I98" s="51">
        <f>$C$9*Table6567[[#This Row],[Employed Smokers:
Males]]*D$29</f>
        <v>71182596.197142854</v>
      </c>
      <c r="J98" s="12">
        <f>$C$9*Table6567[[#This Row],[Employed Smokers:
Females]]*E$29</f>
        <v>5047401.666666667</v>
      </c>
      <c r="K98" s="12">
        <f>Table6567[[#This Row],[Excess Absenteeism (Costs):
Males]]+Table6567[[#This Row],[Excess Absenteeism (Costs):
Females]]</f>
        <v>76229997.863809526</v>
      </c>
      <c r="L98" s="130">
        <v>-1.0800000000000001E-2</v>
      </c>
      <c r="M98" s="136">
        <f>M97*(1+Table6567[[#This Row],[Relative Change in Smoking Prevalence:
Smoke-Free Air Laws]])</f>
        <v>0.55775448479999989</v>
      </c>
      <c r="N98" s="136">
        <f>N97*(1+Table6567[[#This Row],[Relative Change in Smoking Prevalence:
Smoke-Free Air Laws]])</f>
        <v>6.8496164799999995E-2</v>
      </c>
      <c r="O98" s="138">
        <f>Table6567[[#This Row],[Employed Persons:
Males]]*Table6567[[#This Row],[Smoking Prevalence Associated with Intervention: Males]]</f>
        <v>523675.6857787199</v>
      </c>
      <c r="P98" s="138">
        <f>Table6567[[#This Row],[Employed Persons:
Females]]*Table6567[[#This Row],[Smoking Prevalence Associated with Intervention: Females]]</f>
        <v>57605.274596799994</v>
      </c>
      <c r="Q98" s="141">
        <f t="shared" si="16"/>
        <v>69653354.85730499</v>
      </c>
      <c r="R98" s="141">
        <f t="shared" si="17"/>
        <v>4938966.5195970666</v>
      </c>
      <c r="S98" s="141">
        <f>Table6567[[#This Row],[Excess Absenteeism (Costs) - Intervention Scenario:
Males]]+Table6567[[#This Row],[Excess Absenteeism (Costs) - Intervention Scenario:
Females]]</f>
        <v>74592321.376902059</v>
      </c>
      <c r="T98" s="144">
        <f>Table6567[[#This Row],[Excess Absenteeism (Costs):
Males]]-Table6567[[#This Row],[Excess Absenteeism (Costs) - Intervention Scenario:
Males]]</f>
        <v>1529241.339837864</v>
      </c>
      <c r="U98" s="144">
        <f>Table6567[[#This Row],[Excess Absenteeism (Costs):
Females]]-Table6567[[#This Row],[Excess Absenteeism (Costs) - Intervention Scenario:
Females]]</f>
        <v>108435.14706960041</v>
      </c>
      <c r="V98" s="144">
        <f>Table6567[[#This Row],[Excess Absenteeism (Costs):
Total]]-Table6567[[#This Row],[Excess Absenteeism (Costs) - Intervention Scenario:
Total]]</f>
        <v>1637676.4869074672</v>
      </c>
    </row>
    <row r="99" spans="2:22">
      <c r="B99" s="54">
        <v>3</v>
      </c>
      <c r="C99" s="125">
        <f t="shared" si="12"/>
        <v>938900</v>
      </c>
      <c r="D99" s="125">
        <f t="shared" si="13"/>
        <v>841000</v>
      </c>
      <c r="E99" s="121">
        <f t="shared" si="14"/>
        <v>0.56999999999999995</v>
      </c>
      <c r="F99" s="121">
        <f t="shared" si="15"/>
        <v>7.0000000000000007E-2</v>
      </c>
      <c r="G99" s="125">
        <f>Table6567[[#This Row],[Employed Persons:
Males]]*Table6567[[#This Row],[Smoking Prevalence:
Males]]</f>
        <v>535173</v>
      </c>
      <c r="H99" s="125">
        <f>Table6567[[#This Row],[Employed Persons:
Females]]*Table6567[[#This Row],[Smoking Prevalence:
Females]]</f>
        <v>58870.000000000007</v>
      </c>
      <c r="I99" s="50">
        <f>$C$9*Table6567[[#This Row],[Employed Smokers:
Males]]*D$29</f>
        <v>71182596.197142854</v>
      </c>
      <c r="J99" s="12">
        <f>$C$9*Table6567[[#This Row],[Employed Smokers:
Females]]*E$29</f>
        <v>5047401.666666667</v>
      </c>
      <c r="K99" s="12">
        <f>Table6567[[#This Row],[Excess Absenteeism (Costs):
Males]]+Table6567[[#This Row],[Excess Absenteeism (Costs):
Females]]</f>
        <v>76229997.863809526</v>
      </c>
      <c r="L99" s="130">
        <v>-1.0800000000000001E-2</v>
      </c>
      <c r="M99" s="136">
        <f>M98*(1+Table6567[[#This Row],[Relative Change in Smoking Prevalence:
Smoke-Free Air Laws]])</f>
        <v>0.55173073636415992</v>
      </c>
      <c r="N99" s="136">
        <f>N98*(1+Table6567[[#This Row],[Relative Change in Smoking Prevalence:
Smoke-Free Air Laws]])</f>
        <v>6.7756406220159993E-2</v>
      </c>
      <c r="O99" s="138">
        <f>Table6567[[#This Row],[Employed Persons:
Males]]*Table6567[[#This Row],[Smoking Prevalence Associated with Intervention: Males]]</f>
        <v>518019.98837230977</v>
      </c>
      <c r="P99" s="138">
        <f>Table6567[[#This Row],[Employed Persons:
Females]]*Table6567[[#This Row],[Smoking Prevalence Associated with Intervention: Females]]</f>
        <v>56983.137631154554</v>
      </c>
      <c r="Q99" s="141">
        <f t="shared" si="16"/>
        <v>68901098.624846101</v>
      </c>
      <c r="R99" s="141">
        <f t="shared" si="17"/>
        <v>4885625.6811854178</v>
      </c>
      <c r="S99" s="141">
        <f>Table6567[[#This Row],[Excess Absenteeism (Costs) - Intervention Scenario:
Males]]+Table6567[[#This Row],[Excess Absenteeism (Costs) - Intervention Scenario:
Females]]</f>
        <v>73786724.306031525</v>
      </c>
      <c r="T99" s="144">
        <f>Table6567[[#This Row],[Excess Absenteeism (Costs):
Males]]-Table6567[[#This Row],[Excess Absenteeism (Costs) - Intervention Scenario:
Males]]</f>
        <v>2281497.5722967535</v>
      </c>
      <c r="U99" s="144">
        <f>Table6567[[#This Row],[Excess Absenteeism (Costs):
Females]]-Table6567[[#This Row],[Excess Absenteeism (Costs) - Intervention Scenario:
Females]]</f>
        <v>161775.98548124917</v>
      </c>
      <c r="V99" s="144">
        <f>Table6567[[#This Row],[Excess Absenteeism (Costs):
Total]]-Table6567[[#This Row],[Excess Absenteeism (Costs) - Intervention Scenario:
Total]]</f>
        <v>2443273.5577780008</v>
      </c>
    </row>
    <row r="100" spans="2:22">
      <c r="B100" s="55">
        <v>4</v>
      </c>
      <c r="C100" s="126">
        <f t="shared" si="12"/>
        <v>938900</v>
      </c>
      <c r="D100" s="126">
        <f t="shared" si="13"/>
        <v>841000</v>
      </c>
      <c r="E100" s="122">
        <f t="shared" si="14"/>
        <v>0.56999999999999995</v>
      </c>
      <c r="F100" s="122">
        <f t="shared" si="15"/>
        <v>7.0000000000000007E-2</v>
      </c>
      <c r="G100" s="126">
        <f>Table6567[[#This Row],[Employed Persons:
Males]]*Table6567[[#This Row],[Smoking Prevalence:
Males]]</f>
        <v>535173</v>
      </c>
      <c r="H100" s="126">
        <f>Table6567[[#This Row],[Employed Persons:
Females]]*Table6567[[#This Row],[Smoking Prevalence:
Females]]</f>
        <v>58870.000000000007</v>
      </c>
      <c r="I100" s="51">
        <f>$C$9*Table6567[[#This Row],[Employed Smokers:
Males]]*D$29</f>
        <v>71182596.197142854</v>
      </c>
      <c r="J100" s="12">
        <f>$C$9*Table6567[[#This Row],[Employed Smokers:
Females]]*E$29</f>
        <v>5047401.666666667</v>
      </c>
      <c r="K100" s="12">
        <f>Table6567[[#This Row],[Excess Absenteeism (Costs):
Males]]+Table6567[[#This Row],[Excess Absenteeism (Costs):
Females]]</f>
        <v>76229997.863809526</v>
      </c>
      <c r="L100" s="130">
        <v>-1.0800000000000001E-2</v>
      </c>
      <c r="M100" s="136">
        <f>M99*(1+Table6567[[#This Row],[Relative Change in Smoking Prevalence:
Smoke-Free Air Laws]])</f>
        <v>0.54577204441142702</v>
      </c>
      <c r="N100" s="136">
        <f>N99*(1+Table6567[[#This Row],[Relative Change in Smoking Prevalence:
Smoke-Free Air Laws]])</f>
        <v>6.7024637032982268E-2</v>
      </c>
      <c r="O100" s="138">
        <f>Table6567[[#This Row],[Employed Persons:
Males]]*Table6567[[#This Row],[Smoking Prevalence Associated with Intervention: Males]]</f>
        <v>512425.37249788881</v>
      </c>
      <c r="P100" s="138">
        <f>Table6567[[#This Row],[Employed Persons:
Females]]*Table6567[[#This Row],[Smoking Prevalence Associated with Intervention: Females]]</f>
        <v>56367.71974473809</v>
      </c>
      <c r="Q100" s="141">
        <f t="shared" si="16"/>
        <v>68156966.759697765</v>
      </c>
      <c r="R100" s="141">
        <f t="shared" si="17"/>
        <v>4832860.9238286158</v>
      </c>
      <c r="S100" s="141">
        <f>Table6567[[#This Row],[Excess Absenteeism (Costs) - Intervention Scenario:
Males]]+Table6567[[#This Row],[Excess Absenteeism (Costs) - Intervention Scenario:
Females]]</f>
        <v>72989827.683526382</v>
      </c>
      <c r="T100" s="144">
        <f>Table6567[[#This Row],[Excess Absenteeism (Costs):
Males]]-Table6567[[#This Row],[Excess Absenteeism (Costs) - Intervention Scenario:
Males]]</f>
        <v>3025629.4374450892</v>
      </c>
      <c r="U100" s="144">
        <f>Table6567[[#This Row],[Excess Absenteeism (Costs):
Females]]-Table6567[[#This Row],[Excess Absenteeism (Costs) - Intervention Scenario:
Females]]</f>
        <v>214540.74283805117</v>
      </c>
      <c r="V100" s="144">
        <f>Table6567[[#This Row],[Excess Absenteeism (Costs):
Total]]-Table6567[[#This Row],[Excess Absenteeism (Costs) - Intervention Scenario:
Total]]</f>
        <v>3240170.1802831441</v>
      </c>
    </row>
    <row r="101" spans="2:22" customFormat="1">
      <c r="B101" s="54">
        <v>5</v>
      </c>
      <c r="C101" s="125">
        <f t="shared" si="12"/>
        <v>938900</v>
      </c>
      <c r="D101" s="125">
        <f t="shared" si="13"/>
        <v>841000</v>
      </c>
      <c r="E101" s="121">
        <f t="shared" si="14"/>
        <v>0.56999999999999995</v>
      </c>
      <c r="F101" s="121">
        <f t="shared" si="15"/>
        <v>7.0000000000000007E-2</v>
      </c>
      <c r="G101" s="125">
        <f>Table6567[[#This Row],[Employed Persons:
Males]]*Table6567[[#This Row],[Smoking Prevalence:
Males]]</f>
        <v>535173</v>
      </c>
      <c r="H101" s="125">
        <f>Table6567[[#This Row],[Employed Persons:
Females]]*Table6567[[#This Row],[Smoking Prevalence:
Females]]</f>
        <v>58870.000000000007</v>
      </c>
      <c r="I101" s="50">
        <f>$C$9*Table6567[[#This Row],[Employed Smokers:
Males]]*D$29</f>
        <v>71182596.197142854</v>
      </c>
      <c r="J101" s="15">
        <f>$C$9*Table6567[[#This Row],[Employed Smokers:
Females]]*E$29</f>
        <v>5047401.666666667</v>
      </c>
      <c r="K101" s="15">
        <f>Table6567[[#This Row],[Excess Absenteeism (Costs):
Males]]+Table6567[[#This Row],[Excess Absenteeism (Costs):
Females]]</f>
        <v>76229997.863809526</v>
      </c>
      <c r="L101" s="131">
        <v>-1.0800000000000001E-2</v>
      </c>
      <c r="M101" s="136">
        <f>M100*(1+Table6567[[#This Row],[Relative Change in Smoking Prevalence:
Smoke-Free Air Laws]])</f>
        <v>0.53987770633178356</v>
      </c>
      <c r="N101" s="136">
        <f>N100*(1+Table6567[[#This Row],[Relative Change in Smoking Prevalence:
Smoke-Free Air Laws]])</f>
        <v>6.6300770953026056E-2</v>
      </c>
      <c r="O101" s="139">
        <f>Table6567[[#This Row],[Employed Persons:
Males]]*Table6567[[#This Row],[Smoking Prevalence Associated with Intervention: Males]]</f>
        <v>506891.17847491161</v>
      </c>
      <c r="P101" s="139">
        <f>Table6567[[#This Row],[Employed Persons:
Females]]*Table6567[[#This Row],[Smoking Prevalence Associated with Intervention: Females]]</f>
        <v>55758.948371494917</v>
      </c>
      <c r="Q101" s="142">
        <f t="shared" si="16"/>
        <v>67420871.51869303</v>
      </c>
      <c r="R101" s="142">
        <f t="shared" si="17"/>
        <v>4780666.0258512665</v>
      </c>
      <c r="S101" s="142">
        <f>Table6567[[#This Row],[Excess Absenteeism (Costs) - Intervention Scenario:
Males]]+Table6567[[#This Row],[Excess Absenteeism (Costs) - Intervention Scenario:
Females]]</f>
        <v>72201537.544544294</v>
      </c>
      <c r="T101" s="145">
        <f>Table6567[[#This Row],[Excess Absenteeism (Costs):
Males]]-Table6567[[#This Row],[Excess Absenteeism (Costs) - Intervention Scenario:
Males]]</f>
        <v>3761724.6784498245</v>
      </c>
      <c r="U101" s="145">
        <f>Table6567[[#This Row],[Excess Absenteeism (Costs):
Females]]-Table6567[[#This Row],[Excess Absenteeism (Costs) - Intervention Scenario:
Females]]</f>
        <v>266735.64081540052</v>
      </c>
      <c r="V101" s="145">
        <f>Table6567[[#This Row],[Excess Absenteeism (Costs):
Total]]-Table6567[[#This Row],[Excess Absenteeism (Costs) - Intervention Scenario:
Total]]</f>
        <v>4028460.3192652315</v>
      </c>
    </row>
    <row r="102" spans="2:22" customFormat="1">
      <c r="B102" s="55">
        <v>6</v>
      </c>
      <c r="C102" s="126">
        <f t="shared" si="12"/>
        <v>938900</v>
      </c>
      <c r="D102" s="126">
        <f t="shared" si="13"/>
        <v>841000</v>
      </c>
      <c r="E102" s="122">
        <f t="shared" si="14"/>
        <v>0.56999999999999995</v>
      </c>
      <c r="F102" s="122">
        <f t="shared" si="15"/>
        <v>7.0000000000000007E-2</v>
      </c>
      <c r="G102" s="126">
        <f>Table6567[[#This Row],[Employed Persons:
Males]]*Table6567[[#This Row],[Smoking Prevalence:
Males]]</f>
        <v>535173</v>
      </c>
      <c r="H102" s="126">
        <f>Table6567[[#This Row],[Employed Persons:
Females]]*Table6567[[#This Row],[Smoking Prevalence:
Females]]</f>
        <v>58870.000000000007</v>
      </c>
      <c r="I102" s="51">
        <f>$C$9*Table6567[[#This Row],[Employed Smokers:
Males]]*D$29</f>
        <v>71182596.197142854</v>
      </c>
      <c r="J102" s="15">
        <f>$C$9*Table6567[[#This Row],[Employed Smokers:
Females]]*E$29</f>
        <v>5047401.666666667</v>
      </c>
      <c r="K102" s="15">
        <f>Table6567[[#This Row],[Excess Absenteeism (Costs):
Males]]+Table6567[[#This Row],[Excess Absenteeism (Costs):
Females]]</f>
        <v>76229997.863809526</v>
      </c>
      <c r="L102" s="132">
        <v>-8.0000000000000004E-4</v>
      </c>
      <c r="M102" s="136">
        <f>M101*(1+Table6567[[#This Row],[Relative Change in Smoking Prevalence:
Smoke-Free Air Laws]])</f>
        <v>0.53944580416671817</v>
      </c>
      <c r="N102" s="136">
        <f>N101*(1+Table6567[[#This Row],[Relative Change in Smoking Prevalence:
Smoke-Free Air Laws]])</f>
        <v>6.6247730336263633E-2</v>
      </c>
      <c r="O102" s="139">
        <f>Table6567[[#This Row],[Employed Persons:
Males]]*Table6567[[#This Row],[Smoking Prevalence Associated with Intervention: Males]]</f>
        <v>506485.66553213168</v>
      </c>
      <c r="P102" s="139">
        <f>Table6567[[#This Row],[Employed Persons:
Females]]*Table6567[[#This Row],[Smoking Prevalence Associated with Intervention: Females]]</f>
        <v>55714.341212797714</v>
      </c>
      <c r="Q102" s="142">
        <f t="shared" si="16"/>
        <v>67366934.821478069</v>
      </c>
      <c r="R102" s="142">
        <f t="shared" si="17"/>
        <v>4776841.4930305844</v>
      </c>
      <c r="S102" s="142">
        <f>Table6567[[#This Row],[Excess Absenteeism (Costs) - Intervention Scenario:
Males]]+Table6567[[#This Row],[Excess Absenteeism (Costs) - Intervention Scenario:
Females]]</f>
        <v>72143776.314508647</v>
      </c>
      <c r="T102" s="145">
        <f>Table6567[[#This Row],[Excess Absenteeism (Costs):
Males]]-Table6567[[#This Row],[Excess Absenteeism (Costs) - Intervention Scenario:
Males]]</f>
        <v>3815661.3756647855</v>
      </c>
      <c r="U102" s="145">
        <f>Table6567[[#This Row],[Excess Absenteeism (Costs):
Females]]-Table6567[[#This Row],[Excess Absenteeism (Costs) - Intervention Scenario:
Females]]</f>
        <v>270560.17363608256</v>
      </c>
      <c r="V102" s="145">
        <f>Table6567[[#This Row],[Excess Absenteeism (Costs):
Total]]-Table6567[[#This Row],[Excess Absenteeism (Costs) - Intervention Scenario:
Total]]</f>
        <v>4086221.5493008792</v>
      </c>
    </row>
    <row r="103" spans="2:22" customFormat="1">
      <c r="B103" s="54">
        <v>7</v>
      </c>
      <c r="C103" s="125">
        <f t="shared" si="12"/>
        <v>938900</v>
      </c>
      <c r="D103" s="125">
        <f t="shared" si="13"/>
        <v>841000</v>
      </c>
      <c r="E103" s="121">
        <f t="shared" si="14"/>
        <v>0.56999999999999995</v>
      </c>
      <c r="F103" s="121">
        <f t="shared" si="15"/>
        <v>7.0000000000000007E-2</v>
      </c>
      <c r="G103" s="125">
        <f>Table6567[[#This Row],[Employed Persons:
Males]]*Table6567[[#This Row],[Smoking Prevalence:
Males]]</f>
        <v>535173</v>
      </c>
      <c r="H103" s="125">
        <f>Table6567[[#This Row],[Employed Persons:
Females]]*Table6567[[#This Row],[Smoking Prevalence:
Females]]</f>
        <v>58870.000000000007</v>
      </c>
      <c r="I103" s="50">
        <f>$C$9*Table6567[[#This Row],[Employed Smokers:
Males]]*D$29</f>
        <v>71182596.197142854</v>
      </c>
      <c r="J103" s="15">
        <f>$C$9*Table6567[[#This Row],[Employed Smokers:
Females]]*E$29</f>
        <v>5047401.666666667</v>
      </c>
      <c r="K103" s="15">
        <f>Table6567[[#This Row],[Excess Absenteeism (Costs):
Males]]+Table6567[[#This Row],[Excess Absenteeism (Costs):
Females]]</f>
        <v>76229997.863809526</v>
      </c>
      <c r="L103" s="132">
        <v>-8.0000000000000004E-4</v>
      </c>
      <c r="M103" s="136">
        <f>M102*(1+Table6567[[#This Row],[Relative Change in Smoking Prevalence:
Smoke-Free Air Laws]])</f>
        <v>0.53901424752338478</v>
      </c>
      <c r="N103" s="136">
        <f>N102*(1+Table6567[[#This Row],[Relative Change in Smoking Prevalence:
Smoke-Free Air Laws]])</f>
        <v>6.6194732151994617E-2</v>
      </c>
      <c r="O103" s="139">
        <f>Table6567[[#This Row],[Employed Persons:
Males]]*Table6567[[#This Row],[Smoking Prevalence Associated with Intervention: Males]]</f>
        <v>506080.47699970595</v>
      </c>
      <c r="P103" s="139">
        <f>Table6567[[#This Row],[Employed Persons:
Females]]*Table6567[[#This Row],[Smoking Prevalence Associated with Intervention: Females]]</f>
        <v>55669.769739827476</v>
      </c>
      <c r="Q103" s="142">
        <f t="shared" si="16"/>
        <v>67313041.273620889</v>
      </c>
      <c r="R103" s="142">
        <f t="shared" si="17"/>
        <v>4773020.0198361604</v>
      </c>
      <c r="S103" s="142">
        <f>Table6567[[#This Row],[Excess Absenteeism (Costs) - Intervention Scenario:
Males]]+Table6567[[#This Row],[Excess Absenteeism (Costs) - Intervention Scenario:
Females]]</f>
        <v>72086061.293457046</v>
      </c>
      <c r="T103" s="145">
        <f>Table6567[[#This Row],[Excess Absenteeism (Costs):
Males]]-Table6567[[#This Row],[Excess Absenteeism (Costs) - Intervention Scenario:
Males]]</f>
        <v>3869554.9235219657</v>
      </c>
      <c r="U103" s="145">
        <f>Table6567[[#This Row],[Excess Absenteeism (Costs):
Females]]-Table6567[[#This Row],[Excess Absenteeism (Costs) - Intervention Scenario:
Females]]</f>
        <v>274381.64683050662</v>
      </c>
      <c r="V103" s="145">
        <f>Table6567[[#This Row],[Excess Absenteeism (Costs):
Total]]-Table6567[[#This Row],[Excess Absenteeism (Costs) - Intervention Scenario:
Total]]</f>
        <v>4143936.5703524798</v>
      </c>
    </row>
    <row r="104" spans="2:22" customFormat="1">
      <c r="B104" s="55">
        <v>8</v>
      </c>
      <c r="C104" s="126">
        <f t="shared" si="12"/>
        <v>938900</v>
      </c>
      <c r="D104" s="126">
        <f t="shared" si="13"/>
        <v>841000</v>
      </c>
      <c r="E104" s="122">
        <f t="shared" si="14"/>
        <v>0.56999999999999995</v>
      </c>
      <c r="F104" s="122">
        <f t="shared" si="15"/>
        <v>7.0000000000000007E-2</v>
      </c>
      <c r="G104" s="126">
        <f>Table6567[[#This Row],[Employed Persons:
Males]]*Table6567[[#This Row],[Smoking Prevalence:
Males]]</f>
        <v>535173</v>
      </c>
      <c r="H104" s="126">
        <f>Table6567[[#This Row],[Employed Persons:
Females]]*Table6567[[#This Row],[Smoking Prevalence:
Females]]</f>
        <v>58870.000000000007</v>
      </c>
      <c r="I104" s="51">
        <f>$C$9*Table6567[[#This Row],[Employed Smokers:
Males]]*D$29</f>
        <v>71182596.197142854</v>
      </c>
      <c r="J104" s="15">
        <f>$C$9*Table6567[[#This Row],[Employed Smokers:
Females]]*E$29</f>
        <v>5047401.666666667</v>
      </c>
      <c r="K104" s="15">
        <f>Table6567[[#This Row],[Excess Absenteeism (Costs):
Males]]+Table6567[[#This Row],[Excess Absenteeism (Costs):
Females]]</f>
        <v>76229997.863809526</v>
      </c>
      <c r="L104" s="132">
        <v>-8.0000000000000004E-4</v>
      </c>
      <c r="M104" s="136">
        <f>M103*(1+Table6567[[#This Row],[Relative Change in Smoking Prevalence:
Smoke-Free Air Laws]])</f>
        <v>0.53858303612536607</v>
      </c>
      <c r="N104" s="136">
        <f>N103*(1+Table6567[[#This Row],[Relative Change in Smoking Prevalence:
Smoke-Free Air Laws]])</f>
        <v>6.6141776366273025E-2</v>
      </c>
      <c r="O104" s="139">
        <f>Table6567[[#This Row],[Employed Persons:
Males]]*Table6567[[#This Row],[Smoking Prevalence Associated with Intervention: Males]]</f>
        <v>505675.61261810618</v>
      </c>
      <c r="P104" s="139">
        <f>Table6567[[#This Row],[Employed Persons:
Females]]*Table6567[[#This Row],[Smoking Prevalence Associated with Intervention: Females]]</f>
        <v>55625.233924035616</v>
      </c>
      <c r="Q104" s="142">
        <f t="shared" si="16"/>
        <v>67259190.840601996</v>
      </c>
      <c r="R104" s="142">
        <f t="shared" si="17"/>
        <v>4769201.6038202923</v>
      </c>
      <c r="S104" s="142">
        <f>Table6567[[#This Row],[Excess Absenteeism (Costs) - Intervention Scenario:
Males]]+Table6567[[#This Row],[Excess Absenteeism (Costs) - Intervention Scenario:
Females]]</f>
        <v>72028392.44442229</v>
      </c>
      <c r="T104" s="145">
        <f>Table6567[[#This Row],[Excess Absenteeism (Costs):
Males]]-Table6567[[#This Row],[Excess Absenteeism (Costs) - Intervention Scenario:
Males]]</f>
        <v>3923405.3565408587</v>
      </c>
      <c r="U104" s="145">
        <f>Table6567[[#This Row],[Excess Absenteeism (Costs):
Females]]-Table6567[[#This Row],[Excess Absenteeism (Costs) - Intervention Scenario:
Females]]</f>
        <v>278200.0628463747</v>
      </c>
      <c r="V104" s="145">
        <f>Table6567[[#This Row],[Excess Absenteeism (Costs):
Total]]-Table6567[[#This Row],[Excess Absenteeism (Costs) - Intervention Scenario:
Total]]</f>
        <v>4201605.4193872362</v>
      </c>
    </row>
    <row r="105" spans="2:22" customFormat="1">
      <c r="B105" s="54">
        <v>9</v>
      </c>
      <c r="C105" s="125">
        <f t="shared" si="12"/>
        <v>938900</v>
      </c>
      <c r="D105" s="125">
        <f t="shared" si="13"/>
        <v>841000</v>
      </c>
      <c r="E105" s="121">
        <f t="shared" si="14"/>
        <v>0.56999999999999995</v>
      </c>
      <c r="F105" s="121">
        <f t="shared" si="15"/>
        <v>7.0000000000000007E-2</v>
      </c>
      <c r="G105" s="125">
        <f>Table6567[[#This Row],[Employed Persons:
Males]]*Table6567[[#This Row],[Smoking Prevalence:
Males]]</f>
        <v>535173</v>
      </c>
      <c r="H105" s="125">
        <f>Table6567[[#This Row],[Employed Persons:
Females]]*Table6567[[#This Row],[Smoking Prevalence:
Females]]</f>
        <v>58870.000000000007</v>
      </c>
      <c r="I105" s="50">
        <f>$C$9*Table6567[[#This Row],[Employed Smokers:
Males]]*D$29</f>
        <v>71182596.197142854</v>
      </c>
      <c r="J105" s="15">
        <f>$C$9*Table6567[[#This Row],[Employed Smokers:
Females]]*E$29</f>
        <v>5047401.666666667</v>
      </c>
      <c r="K105" s="15">
        <f>Table6567[[#This Row],[Excess Absenteeism (Costs):
Males]]+Table6567[[#This Row],[Excess Absenteeism (Costs):
Females]]</f>
        <v>76229997.863809526</v>
      </c>
      <c r="L105" s="132">
        <v>-8.0000000000000004E-4</v>
      </c>
      <c r="M105" s="136">
        <f>M104*(1+Table6567[[#This Row],[Relative Change in Smoking Prevalence:
Smoke-Free Air Laws]])</f>
        <v>0.53815216969646573</v>
      </c>
      <c r="N105" s="136">
        <f>N104*(1+Table6567[[#This Row],[Relative Change in Smoking Prevalence:
Smoke-Free Air Laws]])</f>
        <v>6.6088862945180002E-2</v>
      </c>
      <c r="O105" s="139">
        <f>Table6567[[#This Row],[Employed Persons:
Males]]*Table6567[[#This Row],[Smoking Prevalence Associated with Intervention: Males]]</f>
        <v>505271.07212801167</v>
      </c>
      <c r="P105" s="139">
        <f>Table6567[[#This Row],[Employed Persons:
Females]]*Table6567[[#This Row],[Smoking Prevalence Associated with Intervention: Females]]</f>
        <v>55580.733736896378</v>
      </c>
      <c r="Q105" s="142">
        <f t="shared" si="16"/>
        <v>67205383.487929508</v>
      </c>
      <c r="R105" s="142">
        <f t="shared" si="17"/>
        <v>4765386.242537234</v>
      </c>
      <c r="S105" s="142">
        <f>Table6567[[#This Row],[Excess Absenteeism (Costs) - Intervention Scenario:
Males]]+Table6567[[#This Row],[Excess Absenteeism (Costs) - Intervention Scenario:
Females]]</f>
        <v>71970769.730466738</v>
      </c>
      <c r="T105" s="145">
        <f>Table6567[[#This Row],[Excess Absenteeism (Costs):
Males]]-Table6567[[#This Row],[Excess Absenteeism (Costs) - Intervention Scenario:
Males]]</f>
        <v>3977212.7092133462</v>
      </c>
      <c r="U105" s="145">
        <f>Table6567[[#This Row],[Excess Absenteeism (Costs):
Females]]-Table6567[[#This Row],[Excess Absenteeism (Costs) - Intervention Scenario:
Females]]</f>
        <v>282015.424129433</v>
      </c>
      <c r="V105" s="145">
        <f>Table6567[[#This Row],[Excess Absenteeism (Costs):
Total]]-Table6567[[#This Row],[Excess Absenteeism (Costs) - Intervention Scenario:
Total]]</f>
        <v>4259228.1333427876</v>
      </c>
    </row>
    <row r="106" spans="2:22" customFormat="1">
      <c r="B106" s="55">
        <v>10</v>
      </c>
      <c r="C106" s="126">
        <f t="shared" si="12"/>
        <v>938900</v>
      </c>
      <c r="D106" s="126">
        <f t="shared" si="13"/>
        <v>841000</v>
      </c>
      <c r="E106" s="122">
        <f t="shared" si="14"/>
        <v>0.56999999999999995</v>
      </c>
      <c r="F106" s="122">
        <f t="shared" si="15"/>
        <v>7.0000000000000007E-2</v>
      </c>
      <c r="G106" s="126">
        <f>Table6567[[#This Row],[Employed Persons:
Males]]*Table6567[[#This Row],[Smoking Prevalence:
Males]]</f>
        <v>535173</v>
      </c>
      <c r="H106" s="126">
        <f>Table6567[[#This Row],[Employed Persons:
Females]]*Table6567[[#This Row],[Smoking Prevalence:
Females]]</f>
        <v>58870.000000000007</v>
      </c>
      <c r="I106" s="51">
        <f>$C$9*Table6567[[#This Row],[Employed Smokers:
Males]]*D$29</f>
        <v>71182596.197142854</v>
      </c>
      <c r="J106" s="15">
        <f>$C$9*Table6567[[#This Row],[Employed Smokers:
Females]]*E$29</f>
        <v>5047401.666666667</v>
      </c>
      <c r="K106" s="15">
        <f>Table6567[[#This Row],[Excess Absenteeism (Costs):
Males]]+Table6567[[#This Row],[Excess Absenteeism (Costs):
Females]]</f>
        <v>76229997.863809526</v>
      </c>
      <c r="L106" s="132">
        <v>-8.0000000000000004E-4</v>
      </c>
      <c r="M106" s="136">
        <f>M105*(1+Table6567[[#This Row],[Relative Change in Smoking Prevalence:
Smoke-Free Air Laws]])</f>
        <v>0.53772164796070854</v>
      </c>
      <c r="N106" s="136">
        <f>N105*(1+Table6567[[#This Row],[Relative Change in Smoking Prevalence:
Smoke-Free Air Laws]])</f>
        <v>6.6035991854823853E-2</v>
      </c>
      <c r="O106" s="139">
        <f>Table6567[[#This Row],[Employed Persons:
Males]]*Table6567[[#This Row],[Smoking Prevalence Associated with Intervention: Males]]</f>
        <v>504866.85527030926</v>
      </c>
      <c r="P106" s="139">
        <f>Table6567[[#This Row],[Employed Persons:
Females]]*Table6567[[#This Row],[Smoking Prevalence Associated with Intervention: Females]]</f>
        <v>55536.269149906861</v>
      </c>
      <c r="Q106" s="142">
        <f t="shared" si="16"/>
        <v>67151619.181139156</v>
      </c>
      <c r="R106" s="142">
        <f t="shared" si="17"/>
        <v>4761573.9335432053</v>
      </c>
      <c r="S106" s="142">
        <f>Table6567[[#This Row],[Excess Absenteeism (Costs) - Intervention Scenario:
Males]]+Table6567[[#This Row],[Excess Absenteeism (Costs) - Intervention Scenario:
Females]]</f>
        <v>71913193.114682361</v>
      </c>
      <c r="T106" s="145">
        <f>Table6567[[#This Row],[Excess Absenteeism (Costs):
Males]]-Table6567[[#This Row],[Excess Absenteeism (Costs) - Intervention Scenario:
Males]]</f>
        <v>4030977.0160036981</v>
      </c>
      <c r="U106" s="145">
        <f>Table6567[[#This Row],[Excess Absenteeism (Costs):
Females]]-Table6567[[#This Row],[Excess Absenteeism (Costs) - Intervention Scenario:
Females]]</f>
        <v>285827.73312346172</v>
      </c>
      <c r="V106" s="145">
        <f>Table6567[[#This Row],[Excess Absenteeism (Costs):
Total]]-Table6567[[#This Row],[Excess Absenteeism (Costs) - Intervention Scenario:
Total]]</f>
        <v>4316804.7491271645</v>
      </c>
    </row>
    <row r="107" spans="2:22" customFormat="1">
      <c r="B107" s="54">
        <v>11</v>
      </c>
      <c r="C107" s="125">
        <f t="shared" si="12"/>
        <v>938900</v>
      </c>
      <c r="D107" s="125">
        <f t="shared" si="13"/>
        <v>841000</v>
      </c>
      <c r="E107" s="121">
        <f t="shared" si="14"/>
        <v>0.56999999999999995</v>
      </c>
      <c r="F107" s="121">
        <f t="shared" si="15"/>
        <v>7.0000000000000007E-2</v>
      </c>
      <c r="G107" s="125">
        <f>Table6567[[#This Row],[Employed Persons:
Males]]*Table6567[[#This Row],[Smoking Prevalence:
Males]]</f>
        <v>535173</v>
      </c>
      <c r="H107" s="125">
        <f>Table6567[[#This Row],[Employed Persons:
Females]]*Table6567[[#This Row],[Smoking Prevalence:
Females]]</f>
        <v>58870.000000000007</v>
      </c>
      <c r="I107" s="50">
        <f>$C$9*Table6567[[#This Row],[Employed Smokers:
Males]]*D$29</f>
        <v>71182596.197142854</v>
      </c>
      <c r="J107" s="15">
        <f>$C$9*Table6567[[#This Row],[Employed Smokers:
Females]]*E$29</f>
        <v>5047401.666666667</v>
      </c>
      <c r="K107" s="15">
        <f>Table6567[[#This Row],[Excess Absenteeism (Costs):
Males]]+Table6567[[#This Row],[Excess Absenteeism (Costs):
Females]]</f>
        <v>76229997.863809526</v>
      </c>
      <c r="L107" s="132">
        <v>-8.0000000000000004E-4</v>
      </c>
      <c r="M107" s="136">
        <f>M106*(1+Table6567[[#This Row],[Relative Change in Smoking Prevalence:
Smoke-Free Air Laws]])</f>
        <v>0.53729147064233995</v>
      </c>
      <c r="N107" s="136">
        <f>N106*(1+Table6567[[#This Row],[Relative Change in Smoking Prevalence:
Smoke-Free Air Laws]])</f>
        <v>6.5983163061339986E-2</v>
      </c>
      <c r="O107" s="139">
        <f>Table6567[[#This Row],[Employed Persons:
Males]]*Table6567[[#This Row],[Smoking Prevalence Associated with Intervention: Males]]</f>
        <v>504462.96178609296</v>
      </c>
      <c r="P107" s="139">
        <f>Table6567[[#This Row],[Employed Persons:
Females]]*Table6567[[#This Row],[Smoking Prevalence Associated with Intervention: Females]]</f>
        <v>55491.840134586928</v>
      </c>
      <c r="Q107" s="142">
        <f t="shared" si="16"/>
        <v>67097897.885794245</v>
      </c>
      <c r="R107" s="142">
        <f t="shared" si="17"/>
        <v>4757764.6743963696</v>
      </c>
      <c r="S107" s="142">
        <f>Table6567[[#This Row],[Excess Absenteeism (Costs) - Intervention Scenario:
Males]]+Table6567[[#This Row],[Excess Absenteeism (Costs) - Intervention Scenario:
Females]]</f>
        <v>71855662.560190618</v>
      </c>
      <c r="T107" s="145">
        <f>Table6567[[#This Row],[Excess Absenteeism (Costs):
Males]]-Table6567[[#This Row],[Excess Absenteeism (Costs) - Intervention Scenario:
Males]]</f>
        <v>4084698.3113486096</v>
      </c>
      <c r="U107" s="145">
        <f>Table6567[[#This Row],[Excess Absenteeism (Costs):
Females]]-Table6567[[#This Row],[Excess Absenteeism (Costs) - Intervention Scenario:
Females]]</f>
        <v>289636.99227029737</v>
      </c>
      <c r="V107" s="145">
        <f>Table6567[[#This Row],[Excess Absenteeism (Costs):
Total]]-Table6567[[#This Row],[Excess Absenteeism (Costs) - Intervention Scenario:
Total]]</f>
        <v>4374335.3036189079</v>
      </c>
    </row>
    <row r="108" spans="2:22" customFormat="1">
      <c r="B108" s="55">
        <v>12</v>
      </c>
      <c r="C108" s="126">
        <f t="shared" si="12"/>
        <v>938900</v>
      </c>
      <c r="D108" s="126">
        <f t="shared" si="13"/>
        <v>841000</v>
      </c>
      <c r="E108" s="122">
        <f t="shared" si="14"/>
        <v>0.56999999999999995</v>
      </c>
      <c r="F108" s="122">
        <f t="shared" si="15"/>
        <v>7.0000000000000007E-2</v>
      </c>
      <c r="G108" s="126">
        <f>Table6567[[#This Row],[Employed Persons:
Males]]*Table6567[[#This Row],[Smoking Prevalence:
Males]]</f>
        <v>535173</v>
      </c>
      <c r="H108" s="126">
        <f>Table6567[[#This Row],[Employed Persons:
Females]]*Table6567[[#This Row],[Smoking Prevalence:
Females]]</f>
        <v>58870.000000000007</v>
      </c>
      <c r="I108" s="51">
        <f>$C$9*Table6567[[#This Row],[Employed Smokers:
Males]]*D$29</f>
        <v>71182596.197142854</v>
      </c>
      <c r="J108" s="15">
        <f>$C$9*Table6567[[#This Row],[Employed Smokers:
Females]]*E$29</f>
        <v>5047401.666666667</v>
      </c>
      <c r="K108" s="15">
        <f>Table6567[[#This Row],[Excess Absenteeism (Costs):
Males]]+Table6567[[#This Row],[Excess Absenteeism (Costs):
Females]]</f>
        <v>76229997.863809526</v>
      </c>
      <c r="L108" s="132">
        <v>-8.0000000000000004E-4</v>
      </c>
      <c r="M108" s="136">
        <f>M107*(1+Table6567[[#This Row],[Relative Change in Smoking Prevalence:
Smoke-Free Air Laws]])</f>
        <v>0.53686163746582605</v>
      </c>
      <c r="N108" s="136">
        <f>N107*(1+Table6567[[#This Row],[Relative Change in Smoking Prevalence:
Smoke-Free Air Laws]])</f>
        <v>6.5930376530890913E-2</v>
      </c>
      <c r="O108" s="139">
        <f>Table6567[[#This Row],[Employed Persons:
Males]]*Table6567[[#This Row],[Smoking Prevalence Associated with Intervention: Males]]</f>
        <v>504059.39141666406</v>
      </c>
      <c r="P108" s="139">
        <f>Table6567[[#This Row],[Employed Persons:
Females]]*Table6567[[#This Row],[Smoking Prevalence Associated with Intervention: Females]]</f>
        <v>55447.446662479255</v>
      </c>
      <c r="Q108" s="142">
        <f t="shared" si="16"/>
        <v>67044219.567485608</v>
      </c>
      <c r="R108" s="142">
        <f t="shared" si="17"/>
        <v>4753958.4626568519</v>
      </c>
      <c r="S108" s="142">
        <f>Table6567[[#This Row],[Excess Absenteeism (Costs) - Intervention Scenario:
Males]]+Table6567[[#This Row],[Excess Absenteeism (Costs) - Intervention Scenario:
Females]]</f>
        <v>71798178.030142456</v>
      </c>
      <c r="T108" s="145">
        <f>Table6567[[#This Row],[Excess Absenteeism (Costs):
Males]]-Table6567[[#This Row],[Excess Absenteeism (Costs) - Intervention Scenario:
Males]]</f>
        <v>4138376.6296572462</v>
      </c>
      <c r="U108" s="145">
        <f>Table6567[[#This Row],[Excess Absenteeism (Costs):
Females]]-Table6567[[#This Row],[Excess Absenteeism (Costs) - Intervention Scenario:
Females]]</f>
        <v>293443.20400981512</v>
      </c>
      <c r="V108" s="145">
        <f>Table6567[[#This Row],[Excess Absenteeism (Costs):
Total]]-Table6567[[#This Row],[Excess Absenteeism (Costs) - Intervention Scenario:
Total]]</f>
        <v>4431819.8336670697</v>
      </c>
    </row>
    <row r="109" spans="2:22" customFormat="1">
      <c r="B109" s="54">
        <v>13</v>
      </c>
      <c r="C109" s="125">
        <f t="shared" si="12"/>
        <v>938900</v>
      </c>
      <c r="D109" s="125">
        <f t="shared" si="13"/>
        <v>841000</v>
      </c>
      <c r="E109" s="121">
        <f t="shared" si="14"/>
        <v>0.56999999999999995</v>
      </c>
      <c r="F109" s="121">
        <f t="shared" si="15"/>
        <v>7.0000000000000007E-2</v>
      </c>
      <c r="G109" s="125">
        <f>Table6567[[#This Row],[Employed Persons:
Males]]*Table6567[[#This Row],[Smoking Prevalence:
Males]]</f>
        <v>535173</v>
      </c>
      <c r="H109" s="125">
        <f>Table6567[[#This Row],[Employed Persons:
Females]]*Table6567[[#This Row],[Smoking Prevalence:
Females]]</f>
        <v>58870.000000000007</v>
      </c>
      <c r="I109" s="50">
        <f>$C$9*Table6567[[#This Row],[Employed Smokers:
Males]]*D$29</f>
        <v>71182596.197142854</v>
      </c>
      <c r="J109" s="15">
        <f>$C$9*Table6567[[#This Row],[Employed Smokers:
Females]]*E$29</f>
        <v>5047401.666666667</v>
      </c>
      <c r="K109" s="15">
        <f>Table6567[[#This Row],[Excess Absenteeism (Costs):
Males]]+Table6567[[#This Row],[Excess Absenteeism (Costs):
Females]]</f>
        <v>76229997.863809526</v>
      </c>
      <c r="L109" s="132">
        <v>-8.0000000000000004E-4</v>
      </c>
      <c r="M109" s="136">
        <f>M108*(1+Table6567[[#This Row],[Relative Change in Smoking Prevalence:
Smoke-Free Air Laws]])</f>
        <v>0.53643214815585338</v>
      </c>
      <c r="N109" s="136">
        <f>N108*(1+Table6567[[#This Row],[Relative Change in Smoking Prevalence:
Smoke-Free Air Laws]])</f>
        <v>6.5877632229666194E-2</v>
      </c>
      <c r="O109" s="139">
        <f>Table6567[[#This Row],[Employed Persons:
Males]]*Table6567[[#This Row],[Smoking Prevalence Associated with Intervention: Males]]</f>
        <v>503656.14390353073</v>
      </c>
      <c r="P109" s="139">
        <f>Table6567[[#This Row],[Employed Persons:
Females]]*Table6567[[#This Row],[Smoking Prevalence Associated with Intervention: Females]]</f>
        <v>55403.088705149268</v>
      </c>
      <c r="Q109" s="142">
        <f t="shared" si="16"/>
        <v>66990584.191831619</v>
      </c>
      <c r="R109" s="142">
        <f t="shared" si="17"/>
        <v>4750155.295886727</v>
      </c>
      <c r="S109" s="142">
        <f>Table6567[[#This Row],[Excess Absenteeism (Costs) - Intervention Scenario:
Males]]+Table6567[[#This Row],[Excess Absenteeism (Costs) - Intervention Scenario:
Females]]</f>
        <v>71740739.487718344</v>
      </c>
      <c r="T109" s="145">
        <f>Table6567[[#This Row],[Excess Absenteeism (Costs):
Males]]-Table6567[[#This Row],[Excess Absenteeism (Costs) - Intervention Scenario:
Males]]</f>
        <v>4192012.0053112358</v>
      </c>
      <c r="U109" s="145">
        <f>Table6567[[#This Row],[Excess Absenteeism (Costs):
Females]]-Table6567[[#This Row],[Excess Absenteeism (Costs) - Intervention Scenario:
Females]]</f>
        <v>297246.37077993993</v>
      </c>
      <c r="V109" s="145">
        <f>Table6567[[#This Row],[Excess Absenteeism (Costs):
Total]]-Table6567[[#This Row],[Excess Absenteeism (Costs) - Intervention Scenario:
Total]]</f>
        <v>4489258.3760911822</v>
      </c>
    </row>
    <row r="110" spans="2:22" customFormat="1">
      <c r="B110" s="55">
        <v>14</v>
      </c>
      <c r="C110" s="126">
        <f t="shared" si="12"/>
        <v>938900</v>
      </c>
      <c r="D110" s="126">
        <f t="shared" si="13"/>
        <v>841000</v>
      </c>
      <c r="E110" s="122">
        <f t="shared" si="14"/>
        <v>0.56999999999999995</v>
      </c>
      <c r="F110" s="122">
        <f t="shared" si="15"/>
        <v>7.0000000000000007E-2</v>
      </c>
      <c r="G110" s="126">
        <f>Table6567[[#This Row],[Employed Persons:
Males]]*Table6567[[#This Row],[Smoking Prevalence:
Males]]</f>
        <v>535173</v>
      </c>
      <c r="H110" s="126">
        <f>Table6567[[#This Row],[Employed Persons:
Females]]*Table6567[[#This Row],[Smoking Prevalence:
Females]]</f>
        <v>58870.000000000007</v>
      </c>
      <c r="I110" s="51">
        <f>$C$9*Table6567[[#This Row],[Employed Smokers:
Males]]*D$29</f>
        <v>71182596.197142854</v>
      </c>
      <c r="J110" s="15">
        <f>$C$9*Table6567[[#This Row],[Employed Smokers:
Females]]*E$29</f>
        <v>5047401.666666667</v>
      </c>
      <c r="K110" s="15">
        <f>Table6567[[#This Row],[Excess Absenteeism (Costs):
Males]]+Table6567[[#This Row],[Excess Absenteeism (Costs):
Females]]</f>
        <v>76229997.863809526</v>
      </c>
      <c r="L110" s="132">
        <v>-8.0000000000000004E-4</v>
      </c>
      <c r="M110" s="136">
        <f>M109*(1+Table6567[[#This Row],[Relative Change in Smoking Prevalence:
Smoke-Free Air Laws]])</f>
        <v>0.53600300243732868</v>
      </c>
      <c r="N110" s="136">
        <f>N109*(1+Table6567[[#This Row],[Relative Change in Smoking Prevalence:
Smoke-Free Air Laws]])</f>
        <v>6.5824930123882464E-2</v>
      </c>
      <c r="O110" s="139">
        <f>Table6567[[#This Row],[Employed Persons:
Males]]*Table6567[[#This Row],[Smoking Prevalence Associated with Intervention: Males]]</f>
        <v>503253.21898840787</v>
      </c>
      <c r="P110" s="139">
        <f>Table6567[[#This Row],[Employed Persons:
Females]]*Table6567[[#This Row],[Smoking Prevalence Associated with Intervention: Females]]</f>
        <v>55358.766234185154</v>
      </c>
      <c r="Q110" s="142">
        <f t="shared" si="16"/>
        <v>66936991.724478148</v>
      </c>
      <c r="R110" s="142">
        <f t="shared" si="17"/>
        <v>4746355.1716500176</v>
      </c>
      <c r="S110" s="142">
        <f>Table6567[[#This Row],[Excess Absenteeism (Costs) - Intervention Scenario:
Males]]+Table6567[[#This Row],[Excess Absenteeism (Costs) - Intervention Scenario:
Females]]</f>
        <v>71683346.896128163</v>
      </c>
      <c r="T110" s="145">
        <f>Table6567[[#This Row],[Excess Absenteeism (Costs):
Males]]-Table6567[[#This Row],[Excess Absenteeism (Costs) - Intervention Scenario:
Males]]</f>
        <v>4245604.4726647064</v>
      </c>
      <c r="U110" s="145">
        <f>Table6567[[#This Row],[Excess Absenteeism (Costs):
Females]]-Table6567[[#This Row],[Excess Absenteeism (Costs) - Intervention Scenario:
Females]]</f>
        <v>301046.49501664937</v>
      </c>
      <c r="V110" s="145">
        <f>Table6567[[#This Row],[Excess Absenteeism (Costs):
Total]]-Table6567[[#This Row],[Excess Absenteeism (Costs) - Intervention Scenario:
Total]]</f>
        <v>4546650.9676813632</v>
      </c>
    </row>
    <row r="111" spans="2:22" customFormat="1">
      <c r="B111" s="56">
        <v>15</v>
      </c>
      <c r="C111" s="127">
        <f t="shared" si="12"/>
        <v>938900</v>
      </c>
      <c r="D111" s="127">
        <f t="shared" si="13"/>
        <v>841000</v>
      </c>
      <c r="E111" s="123">
        <f t="shared" si="14"/>
        <v>0.56999999999999995</v>
      </c>
      <c r="F111" s="123">
        <f t="shared" si="15"/>
        <v>7.0000000000000007E-2</v>
      </c>
      <c r="G111" s="127">
        <f>Table6567[[#This Row],[Employed Persons:
Males]]*Table6567[[#This Row],[Smoking Prevalence:
Males]]</f>
        <v>535173</v>
      </c>
      <c r="H111" s="127">
        <f>Table6567[[#This Row],[Employed Persons:
Females]]*Table6567[[#This Row],[Smoking Prevalence:
Females]]</f>
        <v>58870.000000000007</v>
      </c>
      <c r="I111" s="52">
        <f>$C$9*Table6567[[#This Row],[Employed Smokers:
Males]]*D$29</f>
        <v>71182596.197142854</v>
      </c>
      <c r="J111" s="15">
        <f>$C$9*Table6567[[#This Row],[Employed Smokers:
Females]]*E$29</f>
        <v>5047401.666666667</v>
      </c>
      <c r="K111" s="15">
        <f>Table6567[[#This Row],[Excess Absenteeism (Costs):
Males]]+Table6567[[#This Row],[Excess Absenteeism (Costs):
Females]]</f>
        <v>76229997.863809526</v>
      </c>
      <c r="L111" s="132">
        <v>-8.0000000000000004E-4</v>
      </c>
      <c r="M111" s="136">
        <f>M110*(1+Table6567[[#This Row],[Relative Change in Smoking Prevalence:
Smoke-Free Air Laws]])</f>
        <v>0.53557420003537881</v>
      </c>
      <c r="N111" s="136">
        <f>N110*(1+Table6567[[#This Row],[Relative Change in Smoking Prevalence:
Smoke-Free Air Laws]])</f>
        <v>6.5772270179783363E-2</v>
      </c>
      <c r="O111" s="139">
        <f>Table6567[[#This Row],[Employed Persons:
Males]]*Table6567[[#This Row],[Smoking Prevalence Associated with Intervention: Males]]</f>
        <v>502850.61641321715</v>
      </c>
      <c r="P111" s="139">
        <f>Table6567[[#This Row],[Employed Persons:
Females]]*Table6567[[#This Row],[Smoking Prevalence Associated with Intervention: Females]]</f>
        <v>55314.479221197806</v>
      </c>
      <c r="Q111" s="142">
        <f t="shared" si="16"/>
        <v>66883442.131098568</v>
      </c>
      <c r="R111" s="142">
        <f t="shared" si="17"/>
        <v>4742558.087512698</v>
      </c>
      <c r="S111" s="142">
        <f>Table6567[[#This Row],[Excess Absenteeism (Costs) - Intervention Scenario:
Males]]+Table6567[[#This Row],[Excess Absenteeism (Costs) - Intervention Scenario:
Females]]</f>
        <v>71626000.21861127</v>
      </c>
      <c r="T111" s="145">
        <f>Table6567[[#This Row],[Excess Absenteeism (Costs):
Males]]-Table6567[[#This Row],[Excess Absenteeism (Costs) - Intervention Scenario:
Males]]</f>
        <v>4299154.0660442859</v>
      </c>
      <c r="U111" s="145">
        <f>Table6567[[#This Row],[Excess Absenteeism (Costs):
Females]]-Table6567[[#This Row],[Excess Absenteeism (Costs) - Intervention Scenario:
Females]]</f>
        <v>304843.57915396895</v>
      </c>
      <c r="V111" s="145">
        <f>Table6567[[#This Row],[Excess Absenteeism (Costs):
Total]]-Table6567[[#This Row],[Excess Absenteeism (Costs) - Intervention Scenario:
Total]]</f>
        <v>4603997.6451982558</v>
      </c>
    </row>
    <row r="114" spans="2:22" ht="21">
      <c r="B114" s="81" t="s">
        <v>117</v>
      </c>
    </row>
    <row r="115" spans="2:22" ht="21">
      <c r="B115" s="81"/>
    </row>
    <row r="116" spans="2:22" ht="135">
      <c r="B116" s="71" t="s">
        <v>111</v>
      </c>
      <c r="C116" s="129" t="s">
        <v>175</v>
      </c>
      <c r="D116" s="128"/>
      <c r="E116" s="128"/>
      <c r="F116" s="128"/>
      <c r="G116" s="133" t="s">
        <v>176</v>
      </c>
      <c r="H116" s="134"/>
      <c r="I116" s="134"/>
      <c r="J116" s="134"/>
      <c r="K116" s="134"/>
      <c r="L116" s="68" t="s">
        <v>110</v>
      </c>
      <c r="M116" s="74" t="s">
        <v>177</v>
      </c>
      <c r="N116" s="70"/>
      <c r="O116" s="73" t="s">
        <v>178</v>
      </c>
      <c r="P116" s="72"/>
      <c r="Q116" s="72"/>
      <c r="R116" s="72"/>
      <c r="S116" s="72"/>
      <c r="T116" s="78" t="s">
        <v>179</v>
      </c>
      <c r="U116" s="75"/>
      <c r="V116" s="75"/>
    </row>
    <row r="118" spans="2:22" ht="69" customHeight="1" thickBot="1">
      <c r="B118" s="35" t="s">
        <v>81</v>
      </c>
      <c r="C118" s="35" t="s">
        <v>157</v>
      </c>
      <c r="D118" s="35" t="s">
        <v>158</v>
      </c>
      <c r="E118" s="35" t="s">
        <v>155</v>
      </c>
      <c r="F118" s="35" t="s">
        <v>156</v>
      </c>
      <c r="G118" s="35" t="s">
        <v>159</v>
      </c>
      <c r="H118" s="35" t="s">
        <v>160</v>
      </c>
      <c r="I118" s="34" t="s">
        <v>166</v>
      </c>
      <c r="J118" s="34" t="s">
        <v>167</v>
      </c>
      <c r="K118" s="34" t="s">
        <v>168</v>
      </c>
      <c r="L118" s="63" t="s">
        <v>73</v>
      </c>
      <c r="M118" s="135" t="s">
        <v>162</v>
      </c>
      <c r="N118" s="135" t="s">
        <v>163</v>
      </c>
      <c r="O118" s="137" t="s">
        <v>164</v>
      </c>
      <c r="P118" s="137" t="s">
        <v>165</v>
      </c>
      <c r="Q118" s="137" t="s">
        <v>169</v>
      </c>
      <c r="R118" s="137" t="s">
        <v>170</v>
      </c>
      <c r="S118" s="137" t="s">
        <v>171</v>
      </c>
      <c r="T118" s="143" t="s">
        <v>173</v>
      </c>
      <c r="U118" s="143" t="s">
        <v>172</v>
      </c>
      <c r="V118" s="143" t="s">
        <v>174</v>
      </c>
    </row>
    <row r="119" spans="2:22" ht="15.75" thickTop="1">
      <c r="B119" s="53">
        <v>0</v>
      </c>
      <c r="C119" s="124">
        <f t="shared" ref="C119:C134" si="18">$D$24</f>
        <v>938900</v>
      </c>
      <c r="D119" s="124">
        <f t="shared" ref="D119:D134" si="19">$E$24</f>
        <v>841000</v>
      </c>
      <c r="E119" s="120">
        <f t="shared" ref="E119:E134" si="20">$D$25</f>
        <v>0.56999999999999995</v>
      </c>
      <c r="F119" s="120">
        <f t="shared" ref="F119:F134" si="21">$E$25</f>
        <v>7.0000000000000007E-2</v>
      </c>
      <c r="G119" s="124">
        <f>Table656768[[#This Row],[Employed Persons:
Males]]*Table656768[[#This Row],[Smoking Prevalence:
Males]]</f>
        <v>535173</v>
      </c>
      <c r="H119" s="124">
        <f>Table656768[[#This Row],[Employed Persons:
Females]]*Table656768[[#This Row],[Smoking Prevalence:
Females]]</f>
        <v>58870.000000000007</v>
      </c>
      <c r="I119" s="49">
        <f>$C$9*Table656768[[#This Row],[Employed Smokers:
Males]]*D$29</f>
        <v>71182596.197142854</v>
      </c>
      <c r="J119" s="49">
        <f>$C$9*Table656768[[#This Row],[Employed Smokers:
Females]]*E$29</f>
        <v>5047401.666666667</v>
      </c>
      <c r="K119" s="12">
        <f>Table656768[[#This Row],[Excess Absenteeism (Costs):
Males]]+Table656768[[#This Row],[Excess Absenteeism (Costs):
Females]]</f>
        <v>76229997.863809526</v>
      </c>
      <c r="L119" s="67"/>
      <c r="M119" s="136">
        <f>Table656768[[#This Row],[Smoking Prevalence:
Males]]</f>
        <v>0.56999999999999995</v>
      </c>
      <c r="N119" s="136">
        <f>Table656768[[#This Row],[Smoking Prevalence:
Females]]</f>
        <v>7.0000000000000007E-2</v>
      </c>
      <c r="O119" s="138">
        <f>Table656768[[#This Row],[Employed Persons:
Males]]*Table656768[[#This Row],[Smoking Prevalence Associated with Intervention: Males]]</f>
        <v>535173</v>
      </c>
      <c r="P119" s="138">
        <f>Table656768[[#This Row],[Employed Persons:
Females]]*Table656768[[#This Row],[Smoking Prevalence Associated with Intervention: Females]]</f>
        <v>58870.000000000007</v>
      </c>
      <c r="Q119" s="140">
        <f t="shared" ref="Q119:Q134" si="22">$C$9*O119*D$29</f>
        <v>71182596.197142854</v>
      </c>
      <c r="R119" s="140">
        <f t="shared" ref="R119:R134" si="23">$C$9*P119*E$29</f>
        <v>5047401.666666667</v>
      </c>
      <c r="S119" s="141">
        <f>Table656768[[#This Row],[Excess Absenteeism (Costs) - Intervention Scenario:
Males]]+Table656768[[#This Row],[Excess Absenteeism (Costs) - Intervention Scenario:
Females]]</f>
        <v>76229997.863809526</v>
      </c>
      <c r="T119" s="144">
        <f>Table656768[[#This Row],[Excess Absenteeism (Costs):
Males]]-Table656768[[#This Row],[Excess Absenteeism (Costs) - Intervention Scenario:
Males]]</f>
        <v>0</v>
      </c>
      <c r="U119" s="144">
        <f>Table656768[[#This Row],[Excess Absenteeism (Costs):
Females]]-Table656768[[#This Row],[Excess Absenteeism (Costs) - Intervention Scenario:
Females]]</f>
        <v>0</v>
      </c>
      <c r="V119" s="144">
        <f>Table656768[[#This Row],[Excess Absenteeism (Costs):
Total]]-Table656768[[#This Row],[Excess Absenteeism (Costs) - Intervention Scenario:
Total]]</f>
        <v>0</v>
      </c>
    </row>
    <row r="120" spans="2:22">
      <c r="B120" s="54">
        <v>1</v>
      </c>
      <c r="C120" s="125">
        <f t="shared" si="18"/>
        <v>938900</v>
      </c>
      <c r="D120" s="125">
        <f t="shared" si="19"/>
        <v>841000</v>
      </c>
      <c r="E120" s="121">
        <f t="shared" si="20"/>
        <v>0.56999999999999995</v>
      </c>
      <c r="F120" s="121">
        <f t="shared" si="21"/>
        <v>7.0000000000000007E-2</v>
      </c>
      <c r="G120" s="125">
        <f>Table656768[[#This Row],[Employed Persons:
Males]]*Table656768[[#This Row],[Smoking Prevalence:
Males]]</f>
        <v>535173</v>
      </c>
      <c r="H120" s="125">
        <f>Table656768[[#This Row],[Employed Persons:
Females]]*Table656768[[#This Row],[Smoking Prevalence:
Females]]</f>
        <v>58870.000000000007</v>
      </c>
      <c r="I120" s="50">
        <f>$C$9*Table656768[[#This Row],[Employed Smokers:
Males]]*D$29</f>
        <v>71182596.197142854</v>
      </c>
      <c r="J120" s="12">
        <f>$C$9*Table656768[[#This Row],[Employed Smokers:
Females]]*E$29</f>
        <v>5047401.666666667</v>
      </c>
      <c r="K120" s="12">
        <f>Table656768[[#This Row],[Excess Absenteeism (Costs):
Males]]+Table656768[[#This Row],[Excess Absenteeism (Costs):
Females]]</f>
        <v>76229997.863809526</v>
      </c>
      <c r="L120" s="130">
        <v>-0.02</v>
      </c>
      <c r="M120" s="136">
        <f>M119*(1+Table656768[[#This Row],[Relative Change in Smoking Prevalence:
Enforce Marketing Restrictions]])</f>
        <v>0.55859999999999999</v>
      </c>
      <c r="N120" s="136">
        <f>N119*(1+Table656768[[#This Row],[Relative Change in Smoking Prevalence:
Enforce Marketing Restrictions]])</f>
        <v>6.8600000000000008E-2</v>
      </c>
      <c r="O120" s="138">
        <f>Table656768[[#This Row],[Employed Persons:
Males]]*Table656768[[#This Row],[Smoking Prevalence Associated with Intervention: Males]]</f>
        <v>524469.54</v>
      </c>
      <c r="P120" s="138">
        <f>Table656768[[#This Row],[Employed Persons:
Females]]*Table656768[[#This Row],[Smoking Prevalence Associated with Intervention: Females]]</f>
        <v>57692.600000000006</v>
      </c>
      <c r="Q120" s="141">
        <f t="shared" si="22"/>
        <v>69758944.27320002</v>
      </c>
      <c r="R120" s="141">
        <f t="shared" si="23"/>
        <v>4946453.6333333338</v>
      </c>
      <c r="S120" s="141">
        <f>Table656768[[#This Row],[Excess Absenteeism (Costs) - Intervention Scenario:
Males]]+Table656768[[#This Row],[Excess Absenteeism (Costs) - Intervention Scenario:
Females]]</f>
        <v>74705397.90653336</v>
      </c>
      <c r="T120" s="144">
        <f>Table656768[[#This Row],[Excess Absenteeism (Costs):
Males]]-Table656768[[#This Row],[Excess Absenteeism (Costs) - Intervention Scenario:
Males]]</f>
        <v>1423651.9239428341</v>
      </c>
      <c r="U120" s="144">
        <f>Table656768[[#This Row],[Excess Absenteeism (Costs):
Females]]-Table656768[[#This Row],[Excess Absenteeism (Costs) - Intervention Scenario:
Females]]</f>
        <v>100948.03333333321</v>
      </c>
      <c r="V120" s="144">
        <f>Table656768[[#This Row],[Excess Absenteeism (Costs):
Total]]-Table656768[[#This Row],[Excess Absenteeism (Costs) - Intervention Scenario:
Total]]</f>
        <v>1524599.9572761655</v>
      </c>
    </row>
    <row r="121" spans="2:22">
      <c r="B121" s="55">
        <v>2</v>
      </c>
      <c r="C121" s="126">
        <f t="shared" si="18"/>
        <v>938900</v>
      </c>
      <c r="D121" s="126">
        <f t="shared" si="19"/>
        <v>841000</v>
      </c>
      <c r="E121" s="122">
        <f t="shared" si="20"/>
        <v>0.56999999999999995</v>
      </c>
      <c r="F121" s="122">
        <f t="shared" si="21"/>
        <v>7.0000000000000007E-2</v>
      </c>
      <c r="G121" s="126">
        <f>Table656768[[#This Row],[Employed Persons:
Males]]*Table656768[[#This Row],[Smoking Prevalence:
Males]]</f>
        <v>535173</v>
      </c>
      <c r="H121" s="126">
        <f>Table656768[[#This Row],[Employed Persons:
Females]]*Table656768[[#This Row],[Smoking Prevalence:
Females]]</f>
        <v>58870.000000000007</v>
      </c>
      <c r="I121" s="51">
        <f>$C$9*Table656768[[#This Row],[Employed Smokers:
Males]]*D$29</f>
        <v>71182596.197142854</v>
      </c>
      <c r="J121" s="12">
        <f>$C$9*Table656768[[#This Row],[Employed Smokers:
Females]]*E$29</f>
        <v>5047401.666666667</v>
      </c>
      <c r="K121" s="12">
        <f>Table656768[[#This Row],[Excess Absenteeism (Costs):
Males]]+Table656768[[#This Row],[Excess Absenteeism (Costs):
Females]]</f>
        <v>76229997.863809526</v>
      </c>
      <c r="L121" s="130">
        <v>-0.02</v>
      </c>
      <c r="M121" s="136">
        <f>M120*(1+Table656768[[#This Row],[Relative Change in Smoking Prevalence:
Enforce Marketing Restrictions]])</f>
        <v>0.54742800000000003</v>
      </c>
      <c r="N121" s="136">
        <f>N120*(1+Table656768[[#This Row],[Relative Change in Smoking Prevalence:
Enforce Marketing Restrictions]])</f>
        <v>6.722800000000001E-2</v>
      </c>
      <c r="O121" s="138">
        <f>Table656768[[#This Row],[Employed Persons:
Males]]*Table656768[[#This Row],[Smoking Prevalence Associated with Intervention: Males]]</f>
        <v>513980.14920000004</v>
      </c>
      <c r="P121" s="138">
        <f>Table656768[[#This Row],[Employed Persons:
Females]]*Table656768[[#This Row],[Smoking Prevalence Associated with Intervention: Females]]</f>
        <v>56538.748000000007</v>
      </c>
      <c r="Q121" s="141">
        <f t="shared" si="22"/>
        <v>68363765.387736008</v>
      </c>
      <c r="R121" s="141">
        <f t="shared" si="23"/>
        <v>4847524.5606666673</v>
      </c>
      <c r="S121" s="141">
        <f>Table656768[[#This Row],[Excess Absenteeism (Costs) - Intervention Scenario:
Males]]+Table656768[[#This Row],[Excess Absenteeism (Costs) - Intervention Scenario:
Females]]</f>
        <v>73211289.948402673</v>
      </c>
      <c r="T121" s="144">
        <f>Table656768[[#This Row],[Excess Absenteeism (Costs):
Males]]-Table656768[[#This Row],[Excess Absenteeism (Costs) - Intervention Scenario:
Males]]</f>
        <v>2818830.8094068468</v>
      </c>
      <c r="U121" s="144">
        <f>Table656768[[#This Row],[Excess Absenteeism (Costs):
Females]]-Table656768[[#This Row],[Excess Absenteeism (Costs) - Intervention Scenario:
Females]]</f>
        <v>199877.10599999968</v>
      </c>
      <c r="V121" s="144">
        <f>Table656768[[#This Row],[Excess Absenteeism (Costs):
Total]]-Table656768[[#This Row],[Excess Absenteeism (Costs) - Intervention Scenario:
Total]]</f>
        <v>3018707.915406853</v>
      </c>
    </row>
    <row r="122" spans="2:22">
      <c r="B122" s="54">
        <v>3</v>
      </c>
      <c r="C122" s="125">
        <f t="shared" si="18"/>
        <v>938900</v>
      </c>
      <c r="D122" s="125">
        <f t="shared" si="19"/>
        <v>841000</v>
      </c>
      <c r="E122" s="121">
        <f t="shared" si="20"/>
        <v>0.56999999999999995</v>
      </c>
      <c r="F122" s="121">
        <f t="shared" si="21"/>
        <v>7.0000000000000007E-2</v>
      </c>
      <c r="G122" s="125">
        <f>Table656768[[#This Row],[Employed Persons:
Males]]*Table656768[[#This Row],[Smoking Prevalence:
Males]]</f>
        <v>535173</v>
      </c>
      <c r="H122" s="125">
        <f>Table656768[[#This Row],[Employed Persons:
Females]]*Table656768[[#This Row],[Smoking Prevalence:
Females]]</f>
        <v>58870.000000000007</v>
      </c>
      <c r="I122" s="50">
        <f>$C$9*Table656768[[#This Row],[Employed Smokers:
Males]]*D$29</f>
        <v>71182596.197142854</v>
      </c>
      <c r="J122" s="12">
        <f>$C$9*Table656768[[#This Row],[Employed Smokers:
Females]]*E$29</f>
        <v>5047401.666666667</v>
      </c>
      <c r="K122" s="12">
        <f>Table656768[[#This Row],[Excess Absenteeism (Costs):
Males]]+Table656768[[#This Row],[Excess Absenteeism (Costs):
Females]]</f>
        <v>76229997.863809526</v>
      </c>
      <c r="L122" s="130">
        <v>-0.02</v>
      </c>
      <c r="M122" s="136">
        <f>M121*(1+Table656768[[#This Row],[Relative Change in Smoking Prevalence:
Enforce Marketing Restrictions]])</f>
        <v>0.53647944000000003</v>
      </c>
      <c r="N122" s="136">
        <f>N121*(1+Table656768[[#This Row],[Relative Change in Smoking Prevalence:
Enforce Marketing Restrictions]])</f>
        <v>6.5883440000000015E-2</v>
      </c>
      <c r="O122" s="138">
        <f>Table656768[[#This Row],[Employed Persons:
Males]]*Table656768[[#This Row],[Smoking Prevalence Associated with Intervention: Males]]</f>
        <v>503700.54621600005</v>
      </c>
      <c r="P122" s="138">
        <f>Table656768[[#This Row],[Employed Persons:
Females]]*Table656768[[#This Row],[Smoking Prevalence Associated with Intervention: Females]]</f>
        <v>55407.973040000012</v>
      </c>
      <c r="Q122" s="141">
        <f t="shared" si="22"/>
        <v>66996490.07998129</v>
      </c>
      <c r="R122" s="141">
        <f t="shared" si="23"/>
        <v>4750574.0694533344</v>
      </c>
      <c r="S122" s="141">
        <f>Table656768[[#This Row],[Excess Absenteeism (Costs) - Intervention Scenario:
Males]]+Table656768[[#This Row],[Excess Absenteeism (Costs) - Intervention Scenario:
Females]]</f>
        <v>71747064.149434626</v>
      </c>
      <c r="T122" s="144">
        <f>Table656768[[#This Row],[Excess Absenteeism (Costs):
Males]]-Table656768[[#This Row],[Excess Absenteeism (Costs) - Intervention Scenario:
Males]]</f>
        <v>4186106.1171615645</v>
      </c>
      <c r="U122" s="144">
        <f>Table656768[[#This Row],[Excess Absenteeism (Costs):
Females]]-Table656768[[#This Row],[Excess Absenteeism (Costs) - Intervention Scenario:
Females]]</f>
        <v>296827.59721333254</v>
      </c>
      <c r="V122" s="144">
        <f>Table656768[[#This Row],[Excess Absenteeism (Costs):
Total]]-Table656768[[#This Row],[Excess Absenteeism (Costs) - Intervention Scenario:
Total]]</f>
        <v>4482933.7143748999</v>
      </c>
    </row>
    <row r="123" spans="2:22">
      <c r="B123" s="55">
        <v>4</v>
      </c>
      <c r="C123" s="126">
        <f t="shared" si="18"/>
        <v>938900</v>
      </c>
      <c r="D123" s="126">
        <f t="shared" si="19"/>
        <v>841000</v>
      </c>
      <c r="E123" s="122">
        <f t="shared" si="20"/>
        <v>0.56999999999999995</v>
      </c>
      <c r="F123" s="122">
        <f t="shared" si="21"/>
        <v>7.0000000000000007E-2</v>
      </c>
      <c r="G123" s="126">
        <f>Table656768[[#This Row],[Employed Persons:
Males]]*Table656768[[#This Row],[Smoking Prevalence:
Males]]</f>
        <v>535173</v>
      </c>
      <c r="H123" s="126">
        <f>Table656768[[#This Row],[Employed Persons:
Females]]*Table656768[[#This Row],[Smoking Prevalence:
Females]]</f>
        <v>58870.000000000007</v>
      </c>
      <c r="I123" s="51">
        <f>$C$9*Table656768[[#This Row],[Employed Smokers:
Males]]*D$29</f>
        <v>71182596.197142854</v>
      </c>
      <c r="J123" s="12">
        <f>$C$9*Table656768[[#This Row],[Employed Smokers:
Females]]*E$29</f>
        <v>5047401.666666667</v>
      </c>
      <c r="K123" s="12">
        <f>Table656768[[#This Row],[Excess Absenteeism (Costs):
Males]]+Table656768[[#This Row],[Excess Absenteeism (Costs):
Females]]</f>
        <v>76229997.863809526</v>
      </c>
      <c r="L123" s="130">
        <v>-0.02</v>
      </c>
      <c r="M123" s="136">
        <f>M122*(1+Table656768[[#This Row],[Relative Change in Smoking Prevalence:
Enforce Marketing Restrictions]])</f>
        <v>0.52574985120000006</v>
      </c>
      <c r="N123" s="136">
        <f>N122*(1+Table656768[[#This Row],[Relative Change in Smoking Prevalence:
Enforce Marketing Restrictions]])</f>
        <v>6.4565771200000011E-2</v>
      </c>
      <c r="O123" s="138">
        <f>Table656768[[#This Row],[Employed Persons:
Males]]*Table656768[[#This Row],[Smoking Prevalence Associated with Intervention: Males]]</f>
        <v>493626.53529168008</v>
      </c>
      <c r="P123" s="138">
        <f>Table656768[[#This Row],[Employed Persons:
Females]]*Table656768[[#This Row],[Smoking Prevalence Associated with Intervention: Females]]</f>
        <v>54299.81357920001</v>
      </c>
      <c r="Q123" s="141">
        <f t="shared" si="22"/>
        <v>65656560.278381668</v>
      </c>
      <c r="R123" s="141">
        <f t="shared" si="23"/>
        <v>4655562.5880642673</v>
      </c>
      <c r="S123" s="141">
        <f>Table656768[[#This Row],[Excess Absenteeism (Costs) - Intervention Scenario:
Males]]+Table656768[[#This Row],[Excess Absenteeism (Costs) - Intervention Scenario:
Females]]</f>
        <v>70312122.866445929</v>
      </c>
      <c r="T123" s="144">
        <f>Table656768[[#This Row],[Excess Absenteeism (Costs):
Males]]-Table656768[[#This Row],[Excess Absenteeism (Costs) - Intervention Scenario:
Males]]</f>
        <v>5526035.9187611863</v>
      </c>
      <c r="U123" s="144">
        <f>Table656768[[#This Row],[Excess Absenteeism (Costs):
Females]]-Table656768[[#This Row],[Excess Absenteeism (Costs) - Intervention Scenario:
Females]]</f>
        <v>391839.07860239968</v>
      </c>
      <c r="V123" s="144">
        <f>Table656768[[#This Row],[Excess Absenteeism (Costs):
Total]]-Table656768[[#This Row],[Excess Absenteeism (Costs) - Intervention Scenario:
Total]]</f>
        <v>5917874.9973635972</v>
      </c>
    </row>
    <row r="124" spans="2:22" customFormat="1">
      <c r="B124" s="54">
        <v>5</v>
      </c>
      <c r="C124" s="125">
        <f t="shared" si="18"/>
        <v>938900</v>
      </c>
      <c r="D124" s="125">
        <f t="shared" si="19"/>
        <v>841000</v>
      </c>
      <c r="E124" s="121">
        <f t="shared" si="20"/>
        <v>0.56999999999999995</v>
      </c>
      <c r="F124" s="121">
        <f t="shared" si="21"/>
        <v>7.0000000000000007E-2</v>
      </c>
      <c r="G124" s="125">
        <f>Table656768[[#This Row],[Employed Persons:
Males]]*Table656768[[#This Row],[Smoking Prevalence:
Males]]</f>
        <v>535173</v>
      </c>
      <c r="H124" s="125">
        <f>Table656768[[#This Row],[Employed Persons:
Females]]*Table656768[[#This Row],[Smoking Prevalence:
Females]]</f>
        <v>58870.000000000007</v>
      </c>
      <c r="I124" s="50">
        <f>$C$9*Table656768[[#This Row],[Employed Smokers:
Males]]*D$29</f>
        <v>71182596.197142854</v>
      </c>
      <c r="J124" s="15">
        <f>$C$9*Table656768[[#This Row],[Employed Smokers:
Females]]*E$29</f>
        <v>5047401.666666667</v>
      </c>
      <c r="K124" s="15">
        <f>Table656768[[#This Row],[Excess Absenteeism (Costs):
Males]]+Table656768[[#This Row],[Excess Absenteeism (Costs):
Females]]</f>
        <v>76229997.863809526</v>
      </c>
      <c r="L124" s="131">
        <v>-0.02</v>
      </c>
      <c r="M124" s="136">
        <f>M123*(1+Table656768[[#This Row],[Relative Change in Smoking Prevalence:
Enforce Marketing Restrictions]])</f>
        <v>0.51523485417600001</v>
      </c>
      <c r="N124" s="136">
        <f>N123*(1+Table656768[[#This Row],[Relative Change in Smoking Prevalence:
Enforce Marketing Restrictions]])</f>
        <v>6.3274455776000008E-2</v>
      </c>
      <c r="O124" s="139">
        <f>Table656768[[#This Row],[Employed Persons:
Males]]*Table656768[[#This Row],[Smoking Prevalence Associated with Intervention: Males]]</f>
        <v>483754.00458584639</v>
      </c>
      <c r="P124" s="139">
        <f>Table656768[[#This Row],[Employed Persons:
Females]]*Table656768[[#This Row],[Smoking Prevalence Associated with Intervention: Females]]</f>
        <v>53213.817307616009</v>
      </c>
      <c r="Q124" s="142">
        <f t="shared" si="22"/>
        <v>64343429.072814018</v>
      </c>
      <c r="R124" s="142">
        <f t="shared" si="23"/>
        <v>4562451.3363029817</v>
      </c>
      <c r="S124" s="142">
        <f>Table656768[[#This Row],[Excess Absenteeism (Costs) - Intervention Scenario:
Males]]+Table656768[[#This Row],[Excess Absenteeism (Costs) - Intervention Scenario:
Females]]</f>
        <v>68905880.409116998</v>
      </c>
      <c r="T124" s="145">
        <f>Table656768[[#This Row],[Excess Absenteeism (Costs):
Males]]-Table656768[[#This Row],[Excess Absenteeism (Costs) - Intervention Scenario:
Males]]</f>
        <v>6839167.1243288368</v>
      </c>
      <c r="U124" s="145">
        <f>Table656768[[#This Row],[Excess Absenteeism (Costs):
Females]]-Table656768[[#This Row],[Excess Absenteeism (Costs) - Intervention Scenario:
Females]]</f>
        <v>484950.33036368527</v>
      </c>
      <c r="V124" s="145">
        <f>Table656768[[#This Row],[Excess Absenteeism (Costs):
Total]]-Table656768[[#This Row],[Excess Absenteeism (Costs) - Intervention Scenario:
Total]]</f>
        <v>7324117.4546925277</v>
      </c>
    </row>
    <row r="125" spans="2:22" customFormat="1">
      <c r="B125" s="55">
        <v>6</v>
      </c>
      <c r="C125" s="126">
        <f t="shared" si="18"/>
        <v>938900</v>
      </c>
      <c r="D125" s="126">
        <f t="shared" si="19"/>
        <v>841000</v>
      </c>
      <c r="E125" s="122">
        <f t="shared" si="20"/>
        <v>0.56999999999999995</v>
      </c>
      <c r="F125" s="122">
        <f t="shared" si="21"/>
        <v>7.0000000000000007E-2</v>
      </c>
      <c r="G125" s="126">
        <f>Table656768[[#This Row],[Employed Persons:
Males]]*Table656768[[#This Row],[Smoking Prevalence:
Males]]</f>
        <v>535173</v>
      </c>
      <c r="H125" s="126">
        <f>Table656768[[#This Row],[Employed Persons:
Females]]*Table656768[[#This Row],[Smoking Prevalence:
Females]]</f>
        <v>58870.000000000007</v>
      </c>
      <c r="I125" s="51">
        <f>$C$9*Table656768[[#This Row],[Employed Smokers:
Males]]*D$29</f>
        <v>71182596.197142854</v>
      </c>
      <c r="J125" s="15">
        <f>$C$9*Table656768[[#This Row],[Employed Smokers:
Females]]*E$29</f>
        <v>5047401.666666667</v>
      </c>
      <c r="K125" s="15">
        <f>Table656768[[#This Row],[Excess Absenteeism (Costs):
Males]]+Table656768[[#This Row],[Excess Absenteeism (Costs):
Females]]</f>
        <v>76229997.863809526</v>
      </c>
      <c r="L125" s="132">
        <v>-1.9999999999999992E-3</v>
      </c>
      <c r="M125" s="136">
        <f>M124*(1+Table656768[[#This Row],[Relative Change in Smoking Prevalence:
Enforce Marketing Restrictions]])</f>
        <v>0.51420438446764805</v>
      </c>
      <c r="N125" s="136">
        <f>N124*(1+Table656768[[#This Row],[Relative Change in Smoking Prevalence:
Enforce Marketing Restrictions]])</f>
        <v>6.3147906864448003E-2</v>
      </c>
      <c r="O125" s="139">
        <f>Table656768[[#This Row],[Employed Persons:
Males]]*Table656768[[#This Row],[Smoking Prevalence Associated with Intervention: Males]]</f>
        <v>482786.49657667475</v>
      </c>
      <c r="P125" s="139">
        <f>Table656768[[#This Row],[Employed Persons:
Females]]*Table656768[[#This Row],[Smoking Prevalence Associated with Intervention: Females]]</f>
        <v>53107.389673000769</v>
      </c>
      <c r="Q125" s="142">
        <f t="shared" si="22"/>
        <v>64214742.214668408</v>
      </c>
      <c r="R125" s="142">
        <f t="shared" si="23"/>
        <v>4553326.4336303752</v>
      </c>
      <c r="S125" s="142">
        <f>Table656768[[#This Row],[Excess Absenteeism (Costs) - Intervention Scenario:
Males]]+Table656768[[#This Row],[Excess Absenteeism (Costs) - Intervention Scenario:
Females]]</f>
        <v>68768068.648298785</v>
      </c>
      <c r="T125" s="145">
        <f>Table656768[[#This Row],[Excess Absenteeism (Costs):
Males]]-Table656768[[#This Row],[Excess Absenteeism (Costs) - Intervention Scenario:
Males]]</f>
        <v>6967853.9824744463</v>
      </c>
      <c r="U125" s="145">
        <f>Table656768[[#This Row],[Excess Absenteeism (Costs):
Females]]-Table656768[[#This Row],[Excess Absenteeism (Costs) - Intervention Scenario:
Females]]</f>
        <v>494075.23303629179</v>
      </c>
      <c r="V125" s="145">
        <f>Table656768[[#This Row],[Excess Absenteeism (Costs):
Total]]-Table656768[[#This Row],[Excess Absenteeism (Costs) - Intervention Scenario:
Total]]</f>
        <v>7461929.2155107409</v>
      </c>
    </row>
    <row r="126" spans="2:22" customFormat="1">
      <c r="B126" s="54">
        <v>7</v>
      </c>
      <c r="C126" s="125">
        <f t="shared" si="18"/>
        <v>938900</v>
      </c>
      <c r="D126" s="125">
        <f t="shared" si="19"/>
        <v>841000</v>
      </c>
      <c r="E126" s="121">
        <f t="shared" si="20"/>
        <v>0.56999999999999995</v>
      </c>
      <c r="F126" s="121">
        <f t="shared" si="21"/>
        <v>7.0000000000000007E-2</v>
      </c>
      <c r="G126" s="125">
        <f>Table656768[[#This Row],[Employed Persons:
Males]]*Table656768[[#This Row],[Smoking Prevalence:
Males]]</f>
        <v>535173</v>
      </c>
      <c r="H126" s="125">
        <f>Table656768[[#This Row],[Employed Persons:
Females]]*Table656768[[#This Row],[Smoking Prevalence:
Females]]</f>
        <v>58870.000000000007</v>
      </c>
      <c r="I126" s="50">
        <f>$C$9*Table656768[[#This Row],[Employed Smokers:
Males]]*D$29</f>
        <v>71182596.197142854</v>
      </c>
      <c r="J126" s="15">
        <f>$C$9*Table656768[[#This Row],[Employed Smokers:
Females]]*E$29</f>
        <v>5047401.666666667</v>
      </c>
      <c r="K126" s="15">
        <f>Table656768[[#This Row],[Excess Absenteeism (Costs):
Males]]+Table656768[[#This Row],[Excess Absenteeism (Costs):
Females]]</f>
        <v>76229997.863809526</v>
      </c>
      <c r="L126" s="132">
        <v>-1.9999999999999992E-3</v>
      </c>
      <c r="M126" s="136">
        <f>M125*(1+Table656768[[#This Row],[Relative Change in Smoking Prevalence:
Enforce Marketing Restrictions]])</f>
        <v>0.51317597569871276</v>
      </c>
      <c r="N126" s="136">
        <f>N125*(1+Table656768[[#This Row],[Relative Change in Smoking Prevalence:
Enforce Marketing Restrictions]])</f>
        <v>6.3021611050719101E-2</v>
      </c>
      <c r="O126" s="139">
        <f>Table656768[[#This Row],[Employed Persons:
Males]]*Table656768[[#This Row],[Smoking Prevalence Associated with Intervention: Males]]</f>
        <v>481820.92358352139</v>
      </c>
      <c r="P126" s="139">
        <f>Table656768[[#This Row],[Employed Persons:
Females]]*Table656768[[#This Row],[Smoking Prevalence Associated with Intervention: Females]]</f>
        <v>53001.174893654766</v>
      </c>
      <c r="Q126" s="142">
        <f t="shared" si="22"/>
        <v>64086312.730239064</v>
      </c>
      <c r="R126" s="142">
        <f t="shared" si="23"/>
        <v>4544219.7807631148</v>
      </c>
      <c r="S126" s="142">
        <f>Table656768[[#This Row],[Excess Absenteeism (Costs) - Intervention Scenario:
Males]]+Table656768[[#This Row],[Excess Absenteeism (Costs) - Intervention Scenario:
Females]]</f>
        <v>68630532.511002183</v>
      </c>
      <c r="T126" s="145">
        <f>Table656768[[#This Row],[Excess Absenteeism (Costs):
Males]]-Table656768[[#This Row],[Excess Absenteeism (Costs) - Intervention Scenario:
Males]]</f>
        <v>7096283.4669037908</v>
      </c>
      <c r="U126" s="145">
        <f>Table656768[[#This Row],[Excess Absenteeism (Costs):
Females]]-Table656768[[#This Row],[Excess Absenteeism (Costs) - Intervention Scenario:
Females]]</f>
        <v>503181.88590355217</v>
      </c>
      <c r="V126" s="145">
        <f>Table656768[[#This Row],[Excess Absenteeism (Costs):
Total]]-Table656768[[#This Row],[Excess Absenteeism (Costs) - Intervention Scenario:
Total]]</f>
        <v>7599465.352807343</v>
      </c>
    </row>
    <row r="127" spans="2:22" customFormat="1">
      <c r="B127" s="55">
        <v>8</v>
      </c>
      <c r="C127" s="126">
        <f t="shared" si="18"/>
        <v>938900</v>
      </c>
      <c r="D127" s="126">
        <f t="shared" si="19"/>
        <v>841000</v>
      </c>
      <c r="E127" s="122">
        <f t="shared" si="20"/>
        <v>0.56999999999999995</v>
      </c>
      <c r="F127" s="122">
        <f t="shared" si="21"/>
        <v>7.0000000000000007E-2</v>
      </c>
      <c r="G127" s="126">
        <f>Table656768[[#This Row],[Employed Persons:
Males]]*Table656768[[#This Row],[Smoking Prevalence:
Males]]</f>
        <v>535173</v>
      </c>
      <c r="H127" s="126">
        <f>Table656768[[#This Row],[Employed Persons:
Females]]*Table656768[[#This Row],[Smoking Prevalence:
Females]]</f>
        <v>58870.000000000007</v>
      </c>
      <c r="I127" s="51">
        <f>$C$9*Table656768[[#This Row],[Employed Smokers:
Males]]*D$29</f>
        <v>71182596.197142854</v>
      </c>
      <c r="J127" s="15">
        <f>$C$9*Table656768[[#This Row],[Employed Smokers:
Females]]*E$29</f>
        <v>5047401.666666667</v>
      </c>
      <c r="K127" s="15">
        <f>Table656768[[#This Row],[Excess Absenteeism (Costs):
Males]]+Table656768[[#This Row],[Excess Absenteeism (Costs):
Females]]</f>
        <v>76229997.863809526</v>
      </c>
      <c r="L127" s="132">
        <v>-1.9999999999999992E-3</v>
      </c>
      <c r="M127" s="136">
        <f>M126*(1+Table656768[[#This Row],[Relative Change in Smoking Prevalence:
Enforce Marketing Restrictions]])</f>
        <v>0.51214962374731532</v>
      </c>
      <c r="N127" s="136">
        <f>N126*(1+Table656768[[#This Row],[Relative Change in Smoking Prevalence:
Enforce Marketing Restrictions]])</f>
        <v>6.289556782861766E-2</v>
      </c>
      <c r="O127" s="139">
        <f>Table656768[[#This Row],[Employed Persons:
Males]]*Table656768[[#This Row],[Smoking Prevalence Associated with Intervention: Males]]</f>
        <v>480857.28173635434</v>
      </c>
      <c r="P127" s="139">
        <f>Table656768[[#This Row],[Employed Persons:
Females]]*Table656768[[#This Row],[Smoking Prevalence Associated with Intervention: Females]]</f>
        <v>52895.172543867455</v>
      </c>
      <c r="Q127" s="142">
        <f t="shared" si="22"/>
        <v>63958140.10477858</v>
      </c>
      <c r="R127" s="142">
        <f t="shared" si="23"/>
        <v>4535131.3412015876</v>
      </c>
      <c r="S127" s="142">
        <f>Table656768[[#This Row],[Excess Absenteeism (Costs) - Intervention Scenario:
Males]]+Table656768[[#This Row],[Excess Absenteeism (Costs) - Intervention Scenario:
Females]]</f>
        <v>68493271.445980161</v>
      </c>
      <c r="T127" s="145">
        <f>Table656768[[#This Row],[Excess Absenteeism (Costs):
Males]]-Table656768[[#This Row],[Excess Absenteeism (Costs) - Intervention Scenario:
Males]]</f>
        <v>7224456.092364274</v>
      </c>
      <c r="U127" s="145">
        <f>Table656768[[#This Row],[Excess Absenteeism (Costs):
Females]]-Table656768[[#This Row],[Excess Absenteeism (Costs) - Intervention Scenario:
Females]]</f>
        <v>512270.3254650794</v>
      </c>
      <c r="V127" s="145">
        <f>Table656768[[#This Row],[Excess Absenteeism (Costs):
Total]]-Table656768[[#This Row],[Excess Absenteeism (Costs) - Intervention Scenario:
Total]]</f>
        <v>7736726.4178293645</v>
      </c>
    </row>
    <row r="128" spans="2:22" customFormat="1">
      <c r="B128" s="54">
        <v>9</v>
      </c>
      <c r="C128" s="125">
        <f t="shared" si="18"/>
        <v>938900</v>
      </c>
      <c r="D128" s="125">
        <f t="shared" si="19"/>
        <v>841000</v>
      </c>
      <c r="E128" s="121">
        <f t="shared" si="20"/>
        <v>0.56999999999999995</v>
      </c>
      <c r="F128" s="121">
        <f t="shared" si="21"/>
        <v>7.0000000000000007E-2</v>
      </c>
      <c r="G128" s="125">
        <f>Table656768[[#This Row],[Employed Persons:
Males]]*Table656768[[#This Row],[Smoking Prevalence:
Males]]</f>
        <v>535173</v>
      </c>
      <c r="H128" s="125">
        <f>Table656768[[#This Row],[Employed Persons:
Females]]*Table656768[[#This Row],[Smoking Prevalence:
Females]]</f>
        <v>58870.000000000007</v>
      </c>
      <c r="I128" s="50">
        <f>$C$9*Table656768[[#This Row],[Employed Smokers:
Males]]*D$29</f>
        <v>71182596.197142854</v>
      </c>
      <c r="J128" s="15">
        <f>$C$9*Table656768[[#This Row],[Employed Smokers:
Females]]*E$29</f>
        <v>5047401.666666667</v>
      </c>
      <c r="K128" s="15">
        <f>Table656768[[#This Row],[Excess Absenteeism (Costs):
Males]]+Table656768[[#This Row],[Excess Absenteeism (Costs):
Females]]</f>
        <v>76229997.863809526</v>
      </c>
      <c r="L128" s="132">
        <v>-1.9999999999999992E-3</v>
      </c>
      <c r="M128" s="136">
        <f>M127*(1+Table656768[[#This Row],[Relative Change in Smoking Prevalence:
Enforce Marketing Restrictions]])</f>
        <v>0.51112532449982073</v>
      </c>
      <c r="N128" s="136">
        <f>N127*(1+Table656768[[#This Row],[Relative Change in Smoking Prevalence:
Enforce Marketing Restrictions]])</f>
        <v>6.2769776692960425E-2</v>
      </c>
      <c r="O128" s="139">
        <f>Table656768[[#This Row],[Employed Persons:
Males]]*Table656768[[#This Row],[Smoking Prevalence Associated with Intervention: Males]]</f>
        <v>479895.56717288168</v>
      </c>
      <c r="P128" s="139">
        <f>Table656768[[#This Row],[Employed Persons:
Females]]*Table656768[[#This Row],[Smoking Prevalence Associated with Intervention: Females]]</f>
        <v>52789.38219877972</v>
      </c>
      <c r="Q128" s="142">
        <f t="shared" si="22"/>
        <v>63830223.824569032</v>
      </c>
      <c r="R128" s="142">
        <f t="shared" si="23"/>
        <v>4526061.0785191851</v>
      </c>
      <c r="S128" s="142">
        <f>Table656768[[#This Row],[Excess Absenteeism (Costs) - Intervention Scenario:
Males]]+Table656768[[#This Row],[Excess Absenteeism (Costs) - Intervention Scenario:
Females]]</f>
        <v>68356284.903088212</v>
      </c>
      <c r="T128" s="145">
        <f>Table656768[[#This Row],[Excess Absenteeism (Costs):
Males]]-Table656768[[#This Row],[Excess Absenteeism (Costs) - Intervention Scenario:
Males]]</f>
        <v>7352372.3725738227</v>
      </c>
      <c r="U128" s="145">
        <f>Table656768[[#This Row],[Excess Absenteeism (Costs):
Females]]-Table656768[[#This Row],[Excess Absenteeism (Costs) - Intervention Scenario:
Females]]</f>
        <v>521340.5881474819</v>
      </c>
      <c r="V128" s="145">
        <f>Table656768[[#This Row],[Excess Absenteeism (Costs):
Total]]-Table656768[[#This Row],[Excess Absenteeism (Costs) - Intervention Scenario:
Total]]</f>
        <v>7873712.960721314</v>
      </c>
    </row>
    <row r="129" spans="2:22" customFormat="1">
      <c r="B129" s="55">
        <v>10</v>
      </c>
      <c r="C129" s="126">
        <f t="shared" si="18"/>
        <v>938900</v>
      </c>
      <c r="D129" s="126">
        <f t="shared" si="19"/>
        <v>841000</v>
      </c>
      <c r="E129" s="122">
        <f t="shared" si="20"/>
        <v>0.56999999999999995</v>
      </c>
      <c r="F129" s="122">
        <f t="shared" si="21"/>
        <v>7.0000000000000007E-2</v>
      </c>
      <c r="G129" s="126">
        <f>Table656768[[#This Row],[Employed Persons:
Males]]*Table656768[[#This Row],[Smoking Prevalence:
Males]]</f>
        <v>535173</v>
      </c>
      <c r="H129" s="126">
        <f>Table656768[[#This Row],[Employed Persons:
Females]]*Table656768[[#This Row],[Smoking Prevalence:
Females]]</f>
        <v>58870.000000000007</v>
      </c>
      <c r="I129" s="51">
        <f>$C$9*Table656768[[#This Row],[Employed Smokers:
Males]]*D$29</f>
        <v>71182596.197142854</v>
      </c>
      <c r="J129" s="15">
        <f>$C$9*Table656768[[#This Row],[Employed Smokers:
Females]]*E$29</f>
        <v>5047401.666666667</v>
      </c>
      <c r="K129" s="15">
        <f>Table656768[[#This Row],[Excess Absenteeism (Costs):
Males]]+Table656768[[#This Row],[Excess Absenteeism (Costs):
Females]]</f>
        <v>76229997.863809526</v>
      </c>
      <c r="L129" s="132">
        <v>-1.9999999999999992E-3</v>
      </c>
      <c r="M129" s="136">
        <f>M128*(1+Table656768[[#This Row],[Relative Change in Smoking Prevalence:
Enforce Marketing Restrictions]])</f>
        <v>0.5101030738508211</v>
      </c>
      <c r="N129" s="136">
        <f>N128*(1+Table656768[[#This Row],[Relative Change in Smoking Prevalence:
Enforce Marketing Restrictions]])</f>
        <v>6.264423713957451E-2</v>
      </c>
      <c r="O129" s="139">
        <f>Table656768[[#This Row],[Employed Persons:
Males]]*Table656768[[#This Row],[Smoking Prevalence Associated with Intervention: Males]]</f>
        <v>478935.77603853593</v>
      </c>
      <c r="P129" s="139">
        <f>Table656768[[#This Row],[Employed Persons:
Females]]*Table656768[[#This Row],[Smoking Prevalence Associated with Intervention: Females]]</f>
        <v>52683.803434382164</v>
      </c>
      <c r="Q129" s="142">
        <f t="shared" si="22"/>
        <v>63702563.376919895</v>
      </c>
      <c r="R129" s="142">
        <f t="shared" si="23"/>
        <v>4517008.9563621469</v>
      </c>
      <c r="S129" s="142">
        <f>Table656768[[#This Row],[Excess Absenteeism (Costs) - Intervention Scenario:
Males]]+Table656768[[#This Row],[Excess Absenteeism (Costs) - Intervention Scenario:
Females]]</f>
        <v>68219572.333282039</v>
      </c>
      <c r="T129" s="145">
        <f>Table656768[[#This Row],[Excess Absenteeism (Costs):
Males]]-Table656768[[#This Row],[Excess Absenteeism (Costs) - Intervention Scenario:
Males]]</f>
        <v>7480032.8202229589</v>
      </c>
      <c r="U129" s="145">
        <f>Table656768[[#This Row],[Excess Absenteeism (Costs):
Females]]-Table656768[[#This Row],[Excess Absenteeism (Costs) - Intervention Scenario:
Females]]</f>
        <v>530392.71030452009</v>
      </c>
      <c r="V129" s="145">
        <f>Table656768[[#This Row],[Excess Absenteeism (Costs):
Total]]-Table656768[[#This Row],[Excess Absenteeism (Costs) - Intervention Scenario:
Total]]</f>
        <v>8010425.5305274874</v>
      </c>
    </row>
    <row r="130" spans="2:22" customFormat="1">
      <c r="B130" s="54">
        <v>11</v>
      </c>
      <c r="C130" s="125">
        <f t="shared" si="18"/>
        <v>938900</v>
      </c>
      <c r="D130" s="125">
        <f t="shared" si="19"/>
        <v>841000</v>
      </c>
      <c r="E130" s="121">
        <f t="shared" si="20"/>
        <v>0.56999999999999995</v>
      </c>
      <c r="F130" s="121">
        <f t="shared" si="21"/>
        <v>7.0000000000000007E-2</v>
      </c>
      <c r="G130" s="125">
        <f>Table656768[[#This Row],[Employed Persons:
Males]]*Table656768[[#This Row],[Smoking Prevalence:
Males]]</f>
        <v>535173</v>
      </c>
      <c r="H130" s="125">
        <f>Table656768[[#This Row],[Employed Persons:
Females]]*Table656768[[#This Row],[Smoking Prevalence:
Females]]</f>
        <v>58870.000000000007</v>
      </c>
      <c r="I130" s="50">
        <f>$C$9*Table656768[[#This Row],[Employed Smokers:
Males]]*D$29</f>
        <v>71182596.197142854</v>
      </c>
      <c r="J130" s="15">
        <f>$C$9*Table656768[[#This Row],[Employed Smokers:
Females]]*E$29</f>
        <v>5047401.666666667</v>
      </c>
      <c r="K130" s="15">
        <f>Table656768[[#This Row],[Excess Absenteeism (Costs):
Males]]+Table656768[[#This Row],[Excess Absenteeism (Costs):
Females]]</f>
        <v>76229997.863809526</v>
      </c>
      <c r="L130" s="132">
        <v>-1.9999999999999992E-3</v>
      </c>
      <c r="M130" s="136">
        <f>M129*(1+Table656768[[#This Row],[Relative Change in Smoking Prevalence:
Enforce Marketing Restrictions]])</f>
        <v>0.5090828677031195</v>
      </c>
      <c r="N130" s="136">
        <f>N129*(1+Table656768[[#This Row],[Relative Change in Smoking Prevalence:
Enforce Marketing Restrictions]])</f>
        <v>6.2518948665295365E-2</v>
      </c>
      <c r="O130" s="139">
        <f>Table656768[[#This Row],[Employed Persons:
Males]]*Table656768[[#This Row],[Smoking Prevalence Associated with Intervention: Males]]</f>
        <v>477977.90448645892</v>
      </c>
      <c r="P130" s="139">
        <f>Table656768[[#This Row],[Employed Persons:
Females]]*Table656768[[#This Row],[Smoking Prevalence Associated with Intervention: Females]]</f>
        <v>52578.4358275134</v>
      </c>
      <c r="Q130" s="142">
        <f t="shared" si="22"/>
        <v>63575158.250166066</v>
      </c>
      <c r="R130" s="142">
        <f t="shared" si="23"/>
        <v>4507974.9384494228</v>
      </c>
      <c r="S130" s="142">
        <f>Table656768[[#This Row],[Excess Absenteeism (Costs) - Intervention Scenario:
Males]]+Table656768[[#This Row],[Excess Absenteeism (Costs) - Intervention Scenario:
Females]]</f>
        <v>68083133.188615486</v>
      </c>
      <c r="T130" s="145">
        <f>Table656768[[#This Row],[Excess Absenteeism (Costs):
Males]]-Table656768[[#This Row],[Excess Absenteeism (Costs) - Intervention Scenario:
Males]]</f>
        <v>7607437.9469767883</v>
      </c>
      <c r="U130" s="145">
        <f>Table656768[[#This Row],[Excess Absenteeism (Costs):
Females]]-Table656768[[#This Row],[Excess Absenteeism (Costs) - Intervention Scenario:
Females]]</f>
        <v>539426.72821724415</v>
      </c>
      <c r="V130" s="145">
        <f>Table656768[[#This Row],[Excess Absenteeism (Costs):
Total]]-Table656768[[#This Row],[Excess Absenteeism (Costs) - Intervention Scenario:
Total]]</f>
        <v>8146864.6751940399</v>
      </c>
    </row>
    <row r="131" spans="2:22" customFormat="1">
      <c r="B131" s="55">
        <v>12</v>
      </c>
      <c r="C131" s="126">
        <f t="shared" si="18"/>
        <v>938900</v>
      </c>
      <c r="D131" s="126">
        <f t="shared" si="19"/>
        <v>841000</v>
      </c>
      <c r="E131" s="122">
        <f t="shared" si="20"/>
        <v>0.56999999999999995</v>
      </c>
      <c r="F131" s="122">
        <f t="shared" si="21"/>
        <v>7.0000000000000007E-2</v>
      </c>
      <c r="G131" s="126">
        <f>Table656768[[#This Row],[Employed Persons:
Males]]*Table656768[[#This Row],[Smoking Prevalence:
Males]]</f>
        <v>535173</v>
      </c>
      <c r="H131" s="126">
        <f>Table656768[[#This Row],[Employed Persons:
Females]]*Table656768[[#This Row],[Smoking Prevalence:
Females]]</f>
        <v>58870.000000000007</v>
      </c>
      <c r="I131" s="51">
        <f>$C$9*Table656768[[#This Row],[Employed Smokers:
Males]]*D$29</f>
        <v>71182596.197142854</v>
      </c>
      <c r="J131" s="15">
        <f>$C$9*Table656768[[#This Row],[Employed Smokers:
Females]]*E$29</f>
        <v>5047401.666666667</v>
      </c>
      <c r="K131" s="15">
        <f>Table656768[[#This Row],[Excess Absenteeism (Costs):
Males]]+Table656768[[#This Row],[Excess Absenteeism (Costs):
Females]]</f>
        <v>76229997.863809526</v>
      </c>
      <c r="L131" s="132">
        <v>-1.9999999999999992E-3</v>
      </c>
      <c r="M131" s="136">
        <f>M130*(1+Table656768[[#This Row],[Relative Change in Smoking Prevalence:
Enforce Marketing Restrictions]])</f>
        <v>0.50806470196771325</v>
      </c>
      <c r="N131" s="136">
        <f>N130*(1+Table656768[[#This Row],[Relative Change in Smoking Prevalence:
Enforce Marketing Restrictions]])</f>
        <v>6.2393910767964772E-2</v>
      </c>
      <c r="O131" s="139">
        <f>Table656768[[#This Row],[Employed Persons:
Males]]*Table656768[[#This Row],[Smoking Prevalence Associated with Intervention: Males]]</f>
        <v>477021.94867748598</v>
      </c>
      <c r="P131" s="139">
        <f>Table656768[[#This Row],[Employed Persons:
Females]]*Table656768[[#This Row],[Smoking Prevalence Associated with Intervention: Females]]</f>
        <v>52473.278955858375</v>
      </c>
      <c r="Q131" s="142">
        <f t="shared" si="22"/>
        <v>63448007.93366573</v>
      </c>
      <c r="R131" s="142">
        <f t="shared" si="23"/>
        <v>4498958.9885725239</v>
      </c>
      <c r="S131" s="142">
        <f>Table656768[[#This Row],[Excess Absenteeism (Costs) - Intervention Scenario:
Males]]+Table656768[[#This Row],[Excess Absenteeism (Costs) - Intervention Scenario:
Females]]</f>
        <v>67946966.922238261</v>
      </c>
      <c r="T131" s="145">
        <f>Table656768[[#This Row],[Excess Absenteeism (Costs):
Males]]-Table656768[[#This Row],[Excess Absenteeism (Costs) - Intervention Scenario:
Males]]</f>
        <v>7734588.2634771243</v>
      </c>
      <c r="U131" s="145">
        <f>Table656768[[#This Row],[Excess Absenteeism (Costs):
Females]]-Table656768[[#This Row],[Excess Absenteeism (Costs) - Intervention Scenario:
Females]]</f>
        <v>548442.67809414305</v>
      </c>
      <c r="V131" s="145">
        <f>Table656768[[#This Row],[Excess Absenteeism (Costs):
Total]]-Table656768[[#This Row],[Excess Absenteeism (Costs) - Intervention Scenario:
Total]]</f>
        <v>8283030.9415712655</v>
      </c>
    </row>
    <row r="132" spans="2:22" customFormat="1">
      <c r="B132" s="54">
        <v>13</v>
      </c>
      <c r="C132" s="125">
        <f t="shared" si="18"/>
        <v>938900</v>
      </c>
      <c r="D132" s="125">
        <f t="shared" si="19"/>
        <v>841000</v>
      </c>
      <c r="E132" s="121">
        <f t="shared" si="20"/>
        <v>0.56999999999999995</v>
      </c>
      <c r="F132" s="121">
        <f t="shared" si="21"/>
        <v>7.0000000000000007E-2</v>
      </c>
      <c r="G132" s="125">
        <f>Table656768[[#This Row],[Employed Persons:
Males]]*Table656768[[#This Row],[Smoking Prevalence:
Males]]</f>
        <v>535173</v>
      </c>
      <c r="H132" s="125">
        <f>Table656768[[#This Row],[Employed Persons:
Females]]*Table656768[[#This Row],[Smoking Prevalence:
Females]]</f>
        <v>58870.000000000007</v>
      </c>
      <c r="I132" s="50">
        <f>$C$9*Table656768[[#This Row],[Employed Smokers:
Males]]*D$29</f>
        <v>71182596.197142854</v>
      </c>
      <c r="J132" s="15">
        <f>$C$9*Table656768[[#This Row],[Employed Smokers:
Females]]*E$29</f>
        <v>5047401.666666667</v>
      </c>
      <c r="K132" s="15">
        <f>Table656768[[#This Row],[Excess Absenteeism (Costs):
Males]]+Table656768[[#This Row],[Excess Absenteeism (Costs):
Females]]</f>
        <v>76229997.863809526</v>
      </c>
      <c r="L132" s="132">
        <v>-1.9999999999999992E-3</v>
      </c>
      <c r="M132" s="136">
        <f>M131*(1+Table656768[[#This Row],[Relative Change in Smoking Prevalence:
Enforce Marketing Restrictions]])</f>
        <v>0.50704857256377778</v>
      </c>
      <c r="N132" s="136">
        <f>N131*(1+Table656768[[#This Row],[Relative Change in Smoking Prevalence:
Enforce Marketing Restrictions]])</f>
        <v>6.2269122946428841E-2</v>
      </c>
      <c r="O132" s="139">
        <f>Table656768[[#This Row],[Employed Persons:
Males]]*Table656768[[#This Row],[Smoking Prevalence Associated with Intervention: Males]]</f>
        <v>476067.90478013095</v>
      </c>
      <c r="P132" s="139">
        <f>Table656768[[#This Row],[Employed Persons:
Females]]*Table656768[[#This Row],[Smoking Prevalence Associated with Intervention: Females]]</f>
        <v>52368.332397946659</v>
      </c>
      <c r="Q132" s="142">
        <f t="shared" si="22"/>
        <v>63321111.917798392</v>
      </c>
      <c r="R132" s="142">
        <f t="shared" si="23"/>
        <v>4489961.070595379</v>
      </c>
      <c r="S132" s="142">
        <f>Table656768[[#This Row],[Excess Absenteeism (Costs) - Intervention Scenario:
Males]]+Table656768[[#This Row],[Excess Absenteeism (Costs) - Intervention Scenario:
Females]]</f>
        <v>67811072.988393769</v>
      </c>
      <c r="T132" s="145">
        <f>Table656768[[#This Row],[Excess Absenteeism (Costs):
Males]]-Table656768[[#This Row],[Excess Absenteeism (Costs) - Intervention Scenario:
Males]]</f>
        <v>7861484.2793444619</v>
      </c>
      <c r="U132" s="145">
        <f>Table656768[[#This Row],[Excess Absenteeism (Costs):
Females]]-Table656768[[#This Row],[Excess Absenteeism (Costs) - Intervention Scenario:
Females]]</f>
        <v>557440.59607128799</v>
      </c>
      <c r="V132" s="145">
        <f>Table656768[[#This Row],[Excess Absenteeism (Costs):
Total]]-Table656768[[#This Row],[Excess Absenteeism (Costs) - Intervention Scenario:
Total]]</f>
        <v>8418924.8754157573</v>
      </c>
    </row>
    <row r="133" spans="2:22" customFormat="1">
      <c r="B133" s="55">
        <v>14</v>
      </c>
      <c r="C133" s="126">
        <f t="shared" si="18"/>
        <v>938900</v>
      </c>
      <c r="D133" s="126">
        <f t="shared" si="19"/>
        <v>841000</v>
      </c>
      <c r="E133" s="122">
        <f t="shared" si="20"/>
        <v>0.56999999999999995</v>
      </c>
      <c r="F133" s="122">
        <f t="shared" si="21"/>
        <v>7.0000000000000007E-2</v>
      </c>
      <c r="G133" s="126">
        <f>Table656768[[#This Row],[Employed Persons:
Males]]*Table656768[[#This Row],[Smoking Prevalence:
Males]]</f>
        <v>535173</v>
      </c>
      <c r="H133" s="126">
        <f>Table656768[[#This Row],[Employed Persons:
Females]]*Table656768[[#This Row],[Smoking Prevalence:
Females]]</f>
        <v>58870.000000000007</v>
      </c>
      <c r="I133" s="51">
        <f>$C$9*Table656768[[#This Row],[Employed Smokers:
Males]]*D$29</f>
        <v>71182596.197142854</v>
      </c>
      <c r="J133" s="15">
        <f>$C$9*Table656768[[#This Row],[Employed Smokers:
Females]]*E$29</f>
        <v>5047401.666666667</v>
      </c>
      <c r="K133" s="15">
        <f>Table656768[[#This Row],[Excess Absenteeism (Costs):
Males]]+Table656768[[#This Row],[Excess Absenteeism (Costs):
Females]]</f>
        <v>76229997.863809526</v>
      </c>
      <c r="L133" s="132">
        <v>-1.9999999999999992E-3</v>
      </c>
      <c r="M133" s="136">
        <f>M132*(1+Table656768[[#This Row],[Relative Change in Smoking Prevalence:
Enforce Marketing Restrictions]])</f>
        <v>0.50603447541865021</v>
      </c>
      <c r="N133" s="136">
        <f>N132*(1+Table656768[[#This Row],[Relative Change in Smoking Prevalence:
Enforce Marketing Restrictions]])</f>
        <v>6.2144584700535986E-2</v>
      </c>
      <c r="O133" s="139">
        <f>Table656768[[#This Row],[Employed Persons:
Males]]*Table656768[[#This Row],[Smoking Prevalence Associated with Intervention: Males]]</f>
        <v>475115.7689705707</v>
      </c>
      <c r="P133" s="139">
        <f>Table656768[[#This Row],[Employed Persons:
Females]]*Table656768[[#This Row],[Smoking Prevalence Associated with Intervention: Females]]</f>
        <v>52263.595733150767</v>
      </c>
      <c r="Q133" s="142">
        <f t="shared" si="22"/>
        <v>63194469.69396279</v>
      </c>
      <c r="R133" s="142">
        <f t="shared" si="23"/>
        <v>4480981.1484541884</v>
      </c>
      <c r="S133" s="142">
        <f>Table656768[[#This Row],[Excess Absenteeism (Costs) - Intervention Scenario:
Males]]+Table656768[[#This Row],[Excess Absenteeism (Costs) - Intervention Scenario:
Females]]</f>
        <v>67675450.842416972</v>
      </c>
      <c r="T133" s="145">
        <f>Table656768[[#This Row],[Excess Absenteeism (Costs):
Males]]-Table656768[[#This Row],[Excess Absenteeism (Costs) - Intervention Scenario:
Males]]</f>
        <v>7988126.5031800643</v>
      </c>
      <c r="U133" s="145">
        <f>Table656768[[#This Row],[Excess Absenteeism (Costs):
Females]]-Table656768[[#This Row],[Excess Absenteeism (Costs) - Intervention Scenario:
Females]]</f>
        <v>566420.51821247861</v>
      </c>
      <c r="V133" s="145">
        <f>Table656768[[#This Row],[Excess Absenteeism (Costs):
Total]]-Table656768[[#This Row],[Excess Absenteeism (Costs) - Intervention Scenario:
Total]]</f>
        <v>8554547.021392554</v>
      </c>
    </row>
    <row r="134" spans="2:22" customFormat="1">
      <c r="B134" s="56">
        <v>15</v>
      </c>
      <c r="C134" s="127">
        <f t="shared" si="18"/>
        <v>938900</v>
      </c>
      <c r="D134" s="127">
        <f t="shared" si="19"/>
        <v>841000</v>
      </c>
      <c r="E134" s="123">
        <f t="shared" si="20"/>
        <v>0.56999999999999995</v>
      </c>
      <c r="F134" s="123">
        <f t="shared" si="21"/>
        <v>7.0000000000000007E-2</v>
      </c>
      <c r="G134" s="127">
        <f>Table656768[[#This Row],[Employed Persons:
Males]]*Table656768[[#This Row],[Smoking Prevalence:
Males]]</f>
        <v>535173</v>
      </c>
      <c r="H134" s="127">
        <f>Table656768[[#This Row],[Employed Persons:
Females]]*Table656768[[#This Row],[Smoking Prevalence:
Females]]</f>
        <v>58870.000000000007</v>
      </c>
      <c r="I134" s="52">
        <f>$C$9*Table656768[[#This Row],[Employed Smokers:
Males]]*D$29</f>
        <v>71182596.197142854</v>
      </c>
      <c r="J134" s="15">
        <f>$C$9*Table656768[[#This Row],[Employed Smokers:
Females]]*E$29</f>
        <v>5047401.666666667</v>
      </c>
      <c r="K134" s="15">
        <f>Table656768[[#This Row],[Excess Absenteeism (Costs):
Males]]+Table656768[[#This Row],[Excess Absenteeism (Costs):
Females]]</f>
        <v>76229997.863809526</v>
      </c>
      <c r="L134" s="132">
        <v>-1.9999999999999992E-3</v>
      </c>
      <c r="M134" s="136">
        <f>M133*(1+Table656768[[#This Row],[Relative Change in Smoking Prevalence:
Enforce Marketing Restrictions]])</f>
        <v>0.50502240646781293</v>
      </c>
      <c r="N134" s="136">
        <f>N133*(1+Table656768[[#This Row],[Relative Change in Smoking Prevalence:
Enforce Marketing Restrictions]])</f>
        <v>6.2020295531134917E-2</v>
      </c>
      <c r="O134" s="139">
        <f>Table656768[[#This Row],[Employed Persons:
Males]]*Table656768[[#This Row],[Smoking Prevalence Associated with Intervention: Males]]</f>
        <v>474165.53743262956</v>
      </c>
      <c r="P134" s="139">
        <f>Table656768[[#This Row],[Employed Persons:
Females]]*Table656768[[#This Row],[Smoking Prevalence Associated with Intervention: Females]]</f>
        <v>52159.068541684464</v>
      </c>
      <c r="Q134" s="142">
        <f t="shared" si="22"/>
        <v>63068080.754574865</v>
      </c>
      <c r="R134" s="142">
        <f t="shared" si="23"/>
        <v>4472019.1861572806</v>
      </c>
      <c r="S134" s="142">
        <f>Table656768[[#This Row],[Excess Absenteeism (Costs) - Intervention Scenario:
Males]]+Table656768[[#This Row],[Excess Absenteeism (Costs) - Intervention Scenario:
Females]]</f>
        <v>67540099.940732151</v>
      </c>
      <c r="T134" s="145">
        <f>Table656768[[#This Row],[Excess Absenteeism (Costs):
Males]]-Table656768[[#This Row],[Excess Absenteeism (Costs) - Intervention Scenario:
Males]]</f>
        <v>8114515.4425679892</v>
      </c>
      <c r="U134" s="145">
        <f>Table656768[[#This Row],[Excess Absenteeism (Costs):
Females]]-Table656768[[#This Row],[Excess Absenteeism (Costs) - Intervention Scenario:
Females]]</f>
        <v>575382.4805093864</v>
      </c>
      <c r="V134" s="145">
        <f>Table656768[[#This Row],[Excess Absenteeism (Costs):
Total]]-Table656768[[#This Row],[Excess Absenteeism (Costs) - Intervention Scenario:
Total]]</f>
        <v>8689897.9230773747</v>
      </c>
    </row>
    <row r="137" spans="2:22" ht="21">
      <c r="B137" s="81" t="s">
        <v>118</v>
      </c>
    </row>
    <row r="138" spans="2:22" ht="21">
      <c r="B138" s="81"/>
    </row>
    <row r="139" spans="2:22" ht="135">
      <c r="B139" s="71" t="s">
        <v>111</v>
      </c>
      <c r="C139" s="129" t="s">
        <v>175</v>
      </c>
      <c r="D139" s="128"/>
      <c r="E139" s="128"/>
      <c r="F139" s="128"/>
      <c r="G139" s="133" t="s">
        <v>176</v>
      </c>
      <c r="H139" s="134"/>
      <c r="I139" s="134"/>
      <c r="J139" s="134"/>
      <c r="K139" s="134"/>
      <c r="L139" s="68" t="s">
        <v>110</v>
      </c>
      <c r="M139" s="74" t="s">
        <v>177</v>
      </c>
      <c r="N139" s="70"/>
      <c r="O139" s="73" t="s">
        <v>178</v>
      </c>
      <c r="P139" s="72"/>
      <c r="Q139" s="72"/>
      <c r="R139" s="72"/>
      <c r="S139" s="72"/>
      <c r="T139" s="78" t="s">
        <v>179</v>
      </c>
      <c r="U139" s="75"/>
      <c r="V139" s="75"/>
    </row>
    <row r="141" spans="2:22" ht="69" customHeight="1" thickBot="1">
      <c r="B141" s="35" t="s">
        <v>81</v>
      </c>
      <c r="C141" s="35" t="s">
        <v>157</v>
      </c>
      <c r="D141" s="35" t="s">
        <v>158</v>
      </c>
      <c r="E141" s="35" t="s">
        <v>155</v>
      </c>
      <c r="F141" s="35" t="s">
        <v>156</v>
      </c>
      <c r="G141" s="35" t="s">
        <v>159</v>
      </c>
      <c r="H141" s="35" t="s">
        <v>160</v>
      </c>
      <c r="I141" s="34" t="s">
        <v>166</v>
      </c>
      <c r="J141" s="34" t="s">
        <v>167</v>
      </c>
      <c r="K141" s="34" t="s">
        <v>168</v>
      </c>
      <c r="L141" s="63" t="s">
        <v>74</v>
      </c>
      <c r="M141" s="135" t="s">
        <v>162</v>
      </c>
      <c r="N141" s="135" t="s">
        <v>163</v>
      </c>
      <c r="O141" s="137" t="s">
        <v>164</v>
      </c>
      <c r="P141" s="137" t="s">
        <v>165</v>
      </c>
      <c r="Q141" s="137" t="s">
        <v>169</v>
      </c>
      <c r="R141" s="137" t="s">
        <v>170</v>
      </c>
      <c r="S141" s="137" t="s">
        <v>171</v>
      </c>
      <c r="T141" s="143" t="s">
        <v>173</v>
      </c>
      <c r="U141" s="143" t="s">
        <v>172</v>
      </c>
      <c r="V141" s="143" t="s">
        <v>174</v>
      </c>
    </row>
    <row r="142" spans="2:22" ht="15.75" thickTop="1">
      <c r="B142" s="53">
        <v>0</v>
      </c>
      <c r="C142" s="124">
        <f t="shared" ref="C142:C157" si="24">$D$24</f>
        <v>938900</v>
      </c>
      <c r="D142" s="124">
        <f t="shared" ref="D142:D157" si="25">$E$24</f>
        <v>841000</v>
      </c>
      <c r="E142" s="120">
        <f t="shared" ref="E142:E157" si="26">$D$25</f>
        <v>0.56999999999999995</v>
      </c>
      <c r="F142" s="120">
        <f t="shared" ref="F142:F157" si="27">$E$25</f>
        <v>7.0000000000000007E-2</v>
      </c>
      <c r="G142" s="124">
        <f>Table65676869[[#This Row],[Employed Persons:
Males]]*Table65676869[[#This Row],[Smoking Prevalence:
Males]]</f>
        <v>535173</v>
      </c>
      <c r="H142" s="124">
        <f>Table65676869[[#This Row],[Employed Persons:
Females]]*Table65676869[[#This Row],[Smoking Prevalence:
Females]]</f>
        <v>58870.000000000007</v>
      </c>
      <c r="I142" s="49">
        <f>$C$9*Table65676869[[#This Row],[Employed Smokers:
Males]]*D$29</f>
        <v>71182596.197142854</v>
      </c>
      <c r="J142" s="49">
        <f>$C$9*Table65676869[[#This Row],[Employed Smokers:
Females]]*E$29</f>
        <v>5047401.666666667</v>
      </c>
      <c r="K142" s="12">
        <f>Table65676869[[#This Row],[Excess Absenteeism (Costs):
Males]]+Table65676869[[#This Row],[Excess Absenteeism (Costs):
Females]]</f>
        <v>76229997.863809526</v>
      </c>
      <c r="L142" s="67"/>
      <c r="M142" s="136">
        <f>Table65676869[[#This Row],[Smoking Prevalence:
Males]]</f>
        <v>0.56999999999999995</v>
      </c>
      <c r="N142" s="136">
        <f>Table65676869[[#This Row],[Smoking Prevalence:
Females]]</f>
        <v>7.0000000000000007E-2</v>
      </c>
      <c r="O142" s="138">
        <f>Table65676869[[#This Row],[Employed Persons:
Males]]*Table65676869[[#This Row],[Smoking Prevalence Associated with Intervention: Males]]</f>
        <v>535173</v>
      </c>
      <c r="P142" s="138">
        <f>Table65676869[[#This Row],[Employed Persons:
Females]]*Table65676869[[#This Row],[Smoking Prevalence Associated with Intervention: Females]]</f>
        <v>58870.000000000007</v>
      </c>
      <c r="Q142" s="140">
        <f t="shared" ref="Q142:Q157" si="28">$C$9*O142*D$29</f>
        <v>71182596.197142854</v>
      </c>
      <c r="R142" s="140">
        <f t="shared" ref="R142:R157" si="29">$C$9*P142*E$29</f>
        <v>5047401.666666667</v>
      </c>
      <c r="S142" s="141">
        <f>Table65676869[[#This Row],[Excess Absenteeism (Costs) - Intervention Scenario:
Males]]+Table65676869[[#This Row],[Excess Absenteeism (Costs) - Intervention Scenario:
Females]]</f>
        <v>76229997.863809526</v>
      </c>
      <c r="T142" s="144">
        <f>Table65676869[[#This Row],[Excess Absenteeism (Costs):
Males]]-Table65676869[[#This Row],[Excess Absenteeism (Costs) - Intervention Scenario:
Males]]</f>
        <v>0</v>
      </c>
      <c r="U142" s="144">
        <f>Table65676869[[#This Row],[Excess Absenteeism (Costs):
Females]]-Table65676869[[#This Row],[Excess Absenteeism (Costs) - Intervention Scenario:
Females]]</f>
        <v>0</v>
      </c>
      <c r="V142" s="144">
        <f>Table65676869[[#This Row],[Excess Absenteeism (Costs):
Total]]-Table65676869[[#This Row],[Excess Absenteeism (Costs) - Intervention Scenario:
Total]]</f>
        <v>0</v>
      </c>
    </row>
    <row r="143" spans="2:22">
      <c r="B143" s="54">
        <v>1</v>
      </c>
      <c r="C143" s="125">
        <f t="shared" si="24"/>
        <v>938900</v>
      </c>
      <c r="D143" s="125">
        <f t="shared" si="25"/>
        <v>841000</v>
      </c>
      <c r="E143" s="121">
        <f t="shared" si="26"/>
        <v>0.56999999999999995</v>
      </c>
      <c r="F143" s="121">
        <f t="shared" si="27"/>
        <v>7.0000000000000007E-2</v>
      </c>
      <c r="G143" s="125">
        <f>Table65676869[[#This Row],[Employed Persons:
Males]]*Table65676869[[#This Row],[Smoking Prevalence:
Males]]</f>
        <v>535173</v>
      </c>
      <c r="H143" s="125">
        <f>Table65676869[[#This Row],[Employed Persons:
Females]]*Table65676869[[#This Row],[Smoking Prevalence:
Females]]</f>
        <v>58870.000000000007</v>
      </c>
      <c r="I143" s="50">
        <f>$C$9*Table65676869[[#This Row],[Employed Smokers:
Males]]*D$29</f>
        <v>71182596.197142854</v>
      </c>
      <c r="J143" s="12">
        <f>$C$9*Table65676869[[#This Row],[Employed Smokers:
Females]]*E$29</f>
        <v>5047401.666666667</v>
      </c>
      <c r="K143" s="12">
        <f>Table65676869[[#This Row],[Excess Absenteeism (Costs):
Males]]+Table65676869[[#This Row],[Excess Absenteeism (Costs):
Females]]</f>
        <v>76229997.863809526</v>
      </c>
      <c r="L143" s="130">
        <v>-1.2E-2</v>
      </c>
      <c r="M143" s="136">
        <f>M142*(1+Table65676869[[#This Row],[Relative Change in Smoking Prevalence:
Cigarette Package Warnings]])</f>
        <v>0.56315999999999999</v>
      </c>
      <c r="N143" s="136">
        <f>N142*(1+Table65676869[[#This Row],[Relative Change in Smoking Prevalence:
Cigarette Package Warnings]])</f>
        <v>6.9159999999999999E-2</v>
      </c>
      <c r="O143" s="138">
        <f>Table65676869[[#This Row],[Employed Persons:
Males]]*Table65676869[[#This Row],[Smoking Prevalence Associated with Intervention: Males]]</f>
        <v>528750.924</v>
      </c>
      <c r="P143" s="138">
        <f>Table65676869[[#This Row],[Employed Persons:
Females]]*Table65676869[[#This Row],[Smoking Prevalence Associated with Intervention: Females]]</f>
        <v>58163.56</v>
      </c>
      <c r="Q143" s="141">
        <f t="shared" si="28"/>
        <v>70328405.042777151</v>
      </c>
      <c r="R143" s="141">
        <f t="shared" si="29"/>
        <v>4986832.8466666657</v>
      </c>
      <c r="S143" s="141">
        <f>Table65676869[[#This Row],[Excess Absenteeism (Costs) - Intervention Scenario:
Males]]+Table65676869[[#This Row],[Excess Absenteeism (Costs) - Intervention Scenario:
Females]]</f>
        <v>75315237.889443815</v>
      </c>
      <c r="T143" s="144">
        <f>Table65676869[[#This Row],[Excess Absenteeism (Costs):
Males]]-Table65676869[[#This Row],[Excess Absenteeism (Costs) - Intervention Scenario:
Males]]</f>
        <v>854191.15436570346</v>
      </c>
      <c r="U143" s="144">
        <f>Table65676869[[#This Row],[Excess Absenteeism (Costs):
Females]]-Table65676869[[#This Row],[Excess Absenteeism (Costs) - Intervention Scenario:
Females]]</f>
        <v>60568.820000001229</v>
      </c>
      <c r="V143" s="144">
        <f>Table65676869[[#This Row],[Excess Absenteeism (Costs):
Total]]-Table65676869[[#This Row],[Excess Absenteeism (Costs) - Intervention Scenario:
Total]]</f>
        <v>914759.97436571121</v>
      </c>
    </row>
    <row r="144" spans="2:22">
      <c r="B144" s="55">
        <v>2</v>
      </c>
      <c r="C144" s="126">
        <f t="shared" si="24"/>
        <v>938900</v>
      </c>
      <c r="D144" s="126">
        <f t="shared" si="25"/>
        <v>841000</v>
      </c>
      <c r="E144" s="122">
        <f t="shared" si="26"/>
        <v>0.56999999999999995</v>
      </c>
      <c r="F144" s="122">
        <f t="shared" si="27"/>
        <v>7.0000000000000007E-2</v>
      </c>
      <c r="G144" s="126">
        <f>Table65676869[[#This Row],[Employed Persons:
Males]]*Table65676869[[#This Row],[Smoking Prevalence:
Males]]</f>
        <v>535173</v>
      </c>
      <c r="H144" s="126">
        <f>Table65676869[[#This Row],[Employed Persons:
Females]]*Table65676869[[#This Row],[Smoking Prevalence:
Females]]</f>
        <v>58870.000000000007</v>
      </c>
      <c r="I144" s="51">
        <f>$C$9*Table65676869[[#This Row],[Employed Smokers:
Males]]*D$29</f>
        <v>71182596.197142854</v>
      </c>
      <c r="J144" s="12">
        <f>$C$9*Table65676869[[#This Row],[Employed Smokers:
Females]]*E$29</f>
        <v>5047401.666666667</v>
      </c>
      <c r="K144" s="12">
        <f>Table65676869[[#This Row],[Excess Absenteeism (Costs):
Males]]+Table65676869[[#This Row],[Excess Absenteeism (Costs):
Females]]</f>
        <v>76229997.863809526</v>
      </c>
      <c r="L144" s="130">
        <v>-1.2E-2</v>
      </c>
      <c r="M144" s="136">
        <f>M143*(1+Table65676869[[#This Row],[Relative Change in Smoking Prevalence:
Cigarette Package Warnings]])</f>
        <v>0.55640208000000002</v>
      </c>
      <c r="N144" s="136">
        <f>N143*(1+Table65676869[[#This Row],[Relative Change in Smoking Prevalence:
Cigarette Package Warnings]])</f>
        <v>6.8330080000000001E-2</v>
      </c>
      <c r="O144" s="138">
        <f>Table65676869[[#This Row],[Employed Persons:
Males]]*Table65676869[[#This Row],[Smoking Prevalence Associated with Intervention: Males]]</f>
        <v>522405.91291200003</v>
      </c>
      <c r="P144" s="138">
        <f>Table65676869[[#This Row],[Employed Persons:
Females]]*Table65676869[[#This Row],[Smoking Prevalence Associated with Intervention: Females]]</f>
        <v>57465.597280000002</v>
      </c>
      <c r="Q144" s="141">
        <f t="shared" si="28"/>
        <v>69484464.182263821</v>
      </c>
      <c r="R144" s="141">
        <f t="shared" si="29"/>
        <v>4926990.8525066674</v>
      </c>
      <c r="S144" s="141">
        <f>Table65676869[[#This Row],[Excess Absenteeism (Costs) - Intervention Scenario:
Males]]+Table65676869[[#This Row],[Excess Absenteeism (Costs) - Intervention Scenario:
Females]]</f>
        <v>74411455.034770489</v>
      </c>
      <c r="T144" s="144">
        <f>Table65676869[[#This Row],[Excess Absenteeism (Costs):
Males]]-Table65676869[[#This Row],[Excess Absenteeism (Costs) - Intervention Scenario:
Males]]</f>
        <v>1698132.014879033</v>
      </c>
      <c r="U144" s="144">
        <f>Table65676869[[#This Row],[Excess Absenteeism (Costs):
Females]]-Table65676869[[#This Row],[Excess Absenteeism (Costs) - Intervention Scenario:
Females]]</f>
        <v>120410.8141599996</v>
      </c>
      <c r="V144" s="144">
        <f>Table65676869[[#This Row],[Excess Absenteeism (Costs):
Total]]-Table65676869[[#This Row],[Excess Absenteeism (Costs) - Intervention Scenario:
Total]]</f>
        <v>1818542.8290390372</v>
      </c>
    </row>
    <row r="145" spans="2:22">
      <c r="B145" s="54">
        <v>3</v>
      </c>
      <c r="C145" s="125">
        <f t="shared" si="24"/>
        <v>938900</v>
      </c>
      <c r="D145" s="125">
        <f t="shared" si="25"/>
        <v>841000</v>
      </c>
      <c r="E145" s="121">
        <f t="shared" si="26"/>
        <v>0.56999999999999995</v>
      </c>
      <c r="F145" s="121">
        <f t="shared" si="27"/>
        <v>7.0000000000000007E-2</v>
      </c>
      <c r="G145" s="125">
        <f>Table65676869[[#This Row],[Employed Persons:
Males]]*Table65676869[[#This Row],[Smoking Prevalence:
Males]]</f>
        <v>535173</v>
      </c>
      <c r="H145" s="125">
        <f>Table65676869[[#This Row],[Employed Persons:
Females]]*Table65676869[[#This Row],[Smoking Prevalence:
Females]]</f>
        <v>58870.000000000007</v>
      </c>
      <c r="I145" s="50">
        <f>$C$9*Table65676869[[#This Row],[Employed Smokers:
Males]]*D$29</f>
        <v>71182596.197142854</v>
      </c>
      <c r="J145" s="12">
        <f>$C$9*Table65676869[[#This Row],[Employed Smokers:
Females]]*E$29</f>
        <v>5047401.666666667</v>
      </c>
      <c r="K145" s="12">
        <f>Table65676869[[#This Row],[Excess Absenteeism (Costs):
Males]]+Table65676869[[#This Row],[Excess Absenteeism (Costs):
Females]]</f>
        <v>76229997.863809526</v>
      </c>
      <c r="L145" s="130">
        <v>-1.2E-2</v>
      </c>
      <c r="M145" s="136">
        <f>M144*(1+Table65676869[[#This Row],[Relative Change in Smoking Prevalence:
Cigarette Package Warnings]])</f>
        <v>0.54972525504000003</v>
      </c>
      <c r="N145" s="136">
        <f>N144*(1+Table65676869[[#This Row],[Relative Change in Smoking Prevalence:
Cigarette Package Warnings]])</f>
        <v>6.7510119039999997E-2</v>
      </c>
      <c r="O145" s="138">
        <f>Table65676869[[#This Row],[Employed Persons:
Males]]*Table65676869[[#This Row],[Smoking Prevalence Associated with Intervention: Males]]</f>
        <v>516137.04195705603</v>
      </c>
      <c r="P145" s="138">
        <f>Table65676869[[#This Row],[Employed Persons:
Females]]*Table65676869[[#This Row],[Smoking Prevalence Associated with Intervention: Females]]</f>
        <v>56776.010112639997</v>
      </c>
      <c r="Q145" s="141">
        <f t="shared" si="28"/>
        <v>68650650.612076655</v>
      </c>
      <c r="R145" s="141">
        <f t="shared" si="29"/>
        <v>4867866.9622765863</v>
      </c>
      <c r="S145" s="141">
        <f>Table65676869[[#This Row],[Excess Absenteeism (Costs) - Intervention Scenario:
Males]]+Table65676869[[#This Row],[Excess Absenteeism (Costs) - Intervention Scenario:
Females]]</f>
        <v>73518517.574353248</v>
      </c>
      <c r="T145" s="144">
        <f>Table65676869[[#This Row],[Excess Absenteeism (Costs):
Males]]-Table65676869[[#This Row],[Excess Absenteeism (Costs) - Intervention Scenario:
Males]]</f>
        <v>2531945.5850661993</v>
      </c>
      <c r="U145" s="144">
        <f>Table65676869[[#This Row],[Excess Absenteeism (Costs):
Females]]-Table65676869[[#This Row],[Excess Absenteeism (Costs) - Intervention Scenario:
Females]]</f>
        <v>179534.70439008065</v>
      </c>
      <c r="V145" s="144">
        <f>Table65676869[[#This Row],[Excess Absenteeism (Costs):
Total]]-Table65676869[[#This Row],[Excess Absenteeism (Costs) - Intervention Scenario:
Total]]</f>
        <v>2711480.2894562781</v>
      </c>
    </row>
    <row r="146" spans="2:22">
      <c r="B146" s="55">
        <v>4</v>
      </c>
      <c r="C146" s="126">
        <f t="shared" si="24"/>
        <v>938900</v>
      </c>
      <c r="D146" s="126">
        <f t="shared" si="25"/>
        <v>841000</v>
      </c>
      <c r="E146" s="122">
        <f t="shared" si="26"/>
        <v>0.56999999999999995</v>
      </c>
      <c r="F146" s="122">
        <f t="shared" si="27"/>
        <v>7.0000000000000007E-2</v>
      </c>
      <c r="G146" s="126">
        <f>Table65676869[[#This Row],[Employed Persons:
Males]]*Table65676869[[#This Row],[Smoking Prevalence:
Males]]</f>
        <v>535173</v>
      </c>
      <c r="H146" s="126">
        <f>Table65676869[[#This Row],[Employed Persons:
Females]]*Table65676869[[#This Row],[Smoking Prevalence:
Females]]</f>
        <v>58870.000000000007</v>
      </c>
      <c r="I146" s="51">
        <f>$C$9*Table65676869[[#This Row],[Employed Smokers:
Males]]*D$29</f>
        <v>71182596.197142854</v>
      </c>
      <c r="J146" s="12">
        <f>$C$9*Table65676869[[#This Row],[Employed Smokers:
Females]]*E$29</f>
        <v>5047401.666666667</v>
      </c>
      <c r="K146" s="12">
        <f>Table65676869[[#This Row],[Excess Absenteeism (Costs):
Males]]+Table65676869[[#This Row],[Excess Absenteeism (Costs):
Females]]</f>
        <v>76229997.863809526</v>
      </c>
      <c r="L146" s="130">
        <v>-1.2E-2</v>
      </c>
      <c r="M146" s="136">
        <f>M145*(1+Table65676869[[#This Row],[Relative Change in Smoking Prevalence:
Cigarette Package Warnings]])</f>
        <v>0.54312855197952004</v>
      </c>
      <c r="N146" s="136">
        <f>N145*(1+Table65676869[[#This Row],[Relative Change in Smoking Prevalence:
Cigarette Package Warnings]])</f>
        <v>6.6699997611519998E-2</v>
      </c>
      <c r="O146" s="138">
        <f>Table65676869[[#This Row],[Employed Persons:
Males]]*Table65676869[[#This Row],[Smoking Prevalence Associated with Intervention: Males]]</f>
        <v>509943.39745357138</v>
      </c>
      <c r="P146" s="138">
        <f>Table65676869[[#This Row],[Employed Persons:
Females]]*Table65676869[[#This Row],[Smoking Prevalence Associated with Intervention: Females]]</f>
        <v>56094.697991288318</v>
      </c>
      <c r="Q146" s="141">
        <f t="shared" si="28"/>
        <v>67826842.804731742</v>
      </c>
      <c r="R146" s="141">
        <f t="shared" si="29"/>
        <v>4809452.5587292677</v>
      </c>
      <c r="S146" s="141">
        <f>Table65676869[[#This Row],[Excess Absenteeism (Costs) - Intervention Scenario:
Males]]+Table65676869[[#This Row],[Excess Absenteeism (Costs) - Intervention Scenario:
Females]]</f>
        <v>72636295.363461003</v>
      </c>
      <c r="T146" s="144">
        <f>Table65676869[[#This Row],[Excess Absenteeism (Costs):
Males]]-Table65676869[[#This Row],[Excess Absenteeism (Costs) - Intervention Scenario:
Males]]</f>
        <v>3355753.3924111128</v>
      </c>
      <c r="U146" s="144">
        <f>Table65676869[[#This Row],[Excess Absenteeism (Costs):
Females]]-Table65676869[[#This Row],[Excess Absenteeism (Costs) - Intervention Scenario:
Females]]</f>
        <v>237949.1079373993</v>
      </c>
      <c r="V146" s="144">
        <f>Table65676869[[#This Row],[Excess Absenteeism (Costs):
Total]]-Table65676869[[#This Row],[Excess Absenteeism (Costs) - Intervention Scenario:
Total]]</f>
        <v>3593702.5003485233</v>
      </c>
    </row>
    <row r="147" spans="2:22" customFormat="1">
      <c r="B147" s="54">
        <v>5</v>
      </c>
      <c r="C147" s="125">
        <f t="shared" si="24"/>
        <v>938900</v>
      </c>
      <c r="D147" s="125">
        <f t="shared" si="25"/>
        <v>841000</v>
      </c>
      <c r="E147" s="121">
        <f t="shared" si="26"/>
        <v>0.56999999999999995</v>
      </c>
      <c r="F147" s="121">
        <f t="shared" si="27"/>
        <v>7.0000000000000007E-2</v>
      </c>
      <c r="G147" s="125">
        <f>Table65676869[[#This Row],[Employed Persons:
Males]]*Table65676869[[#This Row],[Smoking Prevalence:
Males]]</f>
        <v>535173</v>
      </c>
      <c r="H147" s="125">
        <f>Table65676869[[#This Row],[Employed Persons:
Females]]*Table65676869[[#This Row],[Smoking Prevalence:
Females]]</f>
        <v>58870.000000000007</v>
      </c>
      <c r="I147" s="50">
        <f>$C$9*Table65676869[[#This Row],[Employed Smokers:
Males]]*D$29</f>
        <v>71182596.197142854</v>
      </c>
      <c r="J147" s="15">
        <f>$C$9*Table65676869[[#This Row],[Employed Smokers:
Females]]*E$29</f>
        <v>5047401.666666667</v>
      </c>
      <c r="K147" s="15">
        <f>Table65676869[[#This Row],[Excess Absenteeism (Costs):
Males]]+Table65676869[[#This Row],[Excess Absenteeism (Costs):
Females]]</f>
        <v>76229997.863809526</v>
      </c>
      <c r="L147" s="131">
        <v>-1.2E-2</v>
      </c>
      <c r="M147" s="136">
        <f>M146*(1+Table65676869[[#This Row],[Relative Change in Smoking Prevalence:
Cigarette Package Warnings]])</f>
        <v>0.53661100935576578</v>
      </c>
      <c r="N147" s="136">
        <f>N146*(1+Table65676869[[#This Row],[Relative Change in Smoking Prevalence:
Cigarette Package Warnings]])</f>
        <v>6.5899597640181759E-2</v>
      </c>
      <c r="O147" s="139">
        <f>Table65676869[[#This Row],[Employed Persons:
Males]]*Table65676869[[#This Row],[Smoking Prevalence Associated with Intervention: Males]]</f>
        <v>503824.07668412849</v>
      </c>
      <c r="P147" s="139">
        <f>Table65676869[[#This Row],[Employed Persons:
Females]]*Table65676869[[#This Row],[Smoking Prevalence Associated with Intervention: Females]]</f>
        <v>55421.561615392857</v>
      </c>
      <c r="Q147" s="142">
        <f t="shared" si="28"/>
        <v>67012920.69107496</v>
      </c>
      <c r="R147" s="142">
        <f t="shared" si="29"/>
        <v>4751739.1280245157</v>
      </c>
      <c r="S147" s="142">
        <f>Table65676869[[#This Row],[Excess Absenteeism (Costs) - Intervention Scenario:
Males]]+Table65676869[[#This Row],[Excess Absenteeism (Costs) - Intervention Scenario:
Females]]</f>
        <v>71764659.819099471</v>
      </c>
      <c r="T147" s="145">
        <f>Table65676869[[#This Row],[Excess Absenteeism (Costs):
Males]]-Table65676869[[#This Row],[Excess Absenteeism (Costs) - Intervention Scenario:
Males]]</f>
        <v>4169675.5060678944</v>
      </c>
      <c r="U147" s="145">
        <f>Table65676869[[#This Row],[Excess Absenteeism (Costs):
Females]]-Table65676869[[#This Row],[Excess Absenteeism (Costs) - Intervention Scenario:
Females]]</f>
        <v>295662.53864215128</v>
      </c>
      <c r="V147" s="145">
        <f>Table65676869[[#This Row],[Excess Absenteeism (Costs):
Total]]-Table65676869[[#This Row],[Excess Absenteeism (Costs) - Intervention Scenario:
Total]]</f>
        <v>4465338.044710055</v>
      </c>
    </row>
    <row r="148" spans="2:22" customFormat="1">
      <c r="B148" s="55">
        <v>6</v>
      </c>
      <c r="C148" s="126">
        <f t="shared" si="24"/>
        <v>938900</v>
      </c>
      <c r="D148" s="126">
        <f t="shared" si="25"/>
        <v>841000</v>
      </c>
      <c r="E148" s="122">
        <f t="shared" si="26"/>
        <v>0.56999999999999995</v>
      </c>
      <c r="F148" s="122">
        <f t="shared" si="27"/>
        <v>7.0000000000000007E-2</v>
      </c>
      <c r="G148" s="126">
        <f>Table65676869[[#This Row],[Employed Persons:
Males]]*Table65676869[[#This Row],[Smoking Prevalence:
Males]]</f>
        <v>535173</v>
      </c>
      <c r="H148" s="126">
        <f>Table65676869[[#This Row],[Employed Persons:
Females]]*Table65676869[[#This Row],[Smoking Prevalence:
Females]]</f>
        <v>58870.000000000007</v>
      </c>
      <c r="I148" s="51">
        <f>$C$9*Table65676869[[#This Row],[Employed Smokers:
Males]]*D$29</f>
        <v>71182596.197142854</v>
      </c>
      <c r="J148" s="15">
        <f>$C$9*Table65676869[[#This Row],[Employed Smokers:
Females]]*E$29</f>
        <v>5047401.666666667</v>
      </c>
      <c r="K148" s="15">
        <f>Table65676869[[#This Row],[Excess Absenteeism (Costs):
Males]]+Table65676869[[#This Row],[Excess Absenteeism (Costs):
Females]]</f>
        <v>76229997.863809526</v>
      </c>
      <c r="L148" s="132">
        <v>-3.0000000000000001E-3</v>
      </c>
      <c r="M148" s="136">
        <f>M147*(1+Table65676869[[#This Row],[Relative Change in Smoking Prevalence:
Cigarette Package Warnings]])</f>
        <v>0.5350011763276985</v>
      </c>
      <c r="N148" s="136">
        <f>N147*(1+Table65676869[[#This Row],[Relative Change in Smoking Prevalence:
Cigarette Package Warnings]])</f>
        <v>6.5701898847261214E-2</v>
      </c>
      <c r="O148" s="139">
        <f>Table65676869[[#This Row],[Employed Persons:
Males]]*Table65676869[[#This Row],[Smoking Prevalence Associated with Intervention: Males]]</f>
        <v>502312.60445407615</v>
      </c>
      <c r="P148" s="139">
        <f>Table65676869[[#This Row],[Employed Persons:
Females]]*Table65676869[[#This Row],[Smoking Prevalence Associated with Intervention: Females]]</f>
        <v>55255.296930546683</v>
      </c>
      <c r="Q148" s="142">
        <f t="shared" si="28"/>
        <v>66811881.929001741</v>
      </c>
      <c r="R148" s="142">
        <f t="shared" si="29"/>
        <v>4737483.9106404437</v>
      </c>
      <c r="S148" s="142">
        <f>Table65676869[[#This Row],[Excess Absenteeism (Costs) - Intervention Scenario:
Males]]+Table65676869[[#This Row],[Excess Absenteeism (Costs) - Intervention Scenario:
Females]]</f>
        <v>71549365.839642182</v>
      </c>
      <c r="T148" s="145">
        <f>Table65676869[[#This Row],[Excess Absenteeism (Costs):
Males]]-Table65676869[[#This Row],[Excess Absenteeism (Costs) - Intervention Scenario:
Males]]</f>
        <v>4370714.2681411132</v>
      </c>
      <c r="U148" s="145">
        <f>Table65676869[[#This Row],[Excess Absenteeism (Costs):
Females]]-Table65676869[[#This Row],[Excess Absenteeism (Costs) - Intervention Scenario:
Females]]</f>
        <v>309917.7560262233</v>
      </c>
      <c r="V148" s="145">
        <f>Table65676869[[#This Row],[Excess Absenteeism (Costs):
Total]]-Table65676869[[#This Row],[Excess Absenteeism (Costs) - Intervention Scenario:
Total]]</f>
        <v>4680632.024167344</v>
      </c>
    </row>
    <row r="149" spans="2:22" customFormat="1">
      <c r="B149" s="54">
        <v>7</v>
      </c>
      <c r="C149" s="125">
        <f t="shared" si="24"/>
        <v>938900</v>
      </c>
      <c r="D149" s="125">
        <f t="shared" si="25"/>
        <v>841000</v>
      </c>
      <c r="E149" s="121">
        <f t="shared" si="26"/>
        <v>0.56999999999999995</v>
      </c>
      <c r="F149" s="121">
        <f t="shared" si="27"/>
        <v>7.0000000000000007E-2</v>
      </c>
      <c r="G149" s="125">
        <f>Table65676869[[#This Row],[Employed Persons:
Males]]*Table65676869[[#This Row],[Smoking Prevalence:
Males]]</f>
        <v>535173</v>
      </c>
      <c r="H149" s="125">
        <f>Table65676869[[#This Row],[Employed Persons:
Females]]*Table65676869[[#This Row],[Smoking Prevalence:
Females]]</f>
        <v>58870.000000000007</v>
      </c>
      <c r="I149" s="50">
        <f>$C$9*Table65676869[[#This Row],[Employed Smokers:
Males]]*D$29</f>
        <v>71182596.197142854</v>
      </c>
      <c r="J149" s="15">
        <f>$C$9*Table65676869[[#This Row],[Employed Smokers:
Females]]*E$29</f>
        <v>5047401.666666667</v>
      </c>
      <c r="K149" s="15">
        <f>Table65676869[[#This Row],[Excess Absenteeism (Costs):
Males]]+Table65676869[[#This Row],[Excess Absenteeism (Costs):
Females]]</f>
        <v>76229997.863809526</v>
      </c>
      <c r="L149" s="132">
        <v>-3.0000000000000001E-3</v>
      </c>
      <c r="M149" s="136">
        <f>M148*(1+Table65676869[[#This Row],[Relative Change in Smoking Prevalence:
Cigarette Package Warnings]])</f>
        <v>0.53339617279871543</v>
      </c>
      <c r="N149" s="136">
        <f>N148*(1+Table65676869[[#This Row],[Relative Change in Smoking Prevalence:
Cigarette Package Warnings]])</f>
        <v>6.5504793150719429E-2</v>
      </c>
      <c r="O149" s="139">
        <f>Table65676869[[#This Row],[Employed Persons:
Males]]*Table65676869[[#This Row],[Smoking Prevalence Associated with Intervention: Males]]</f>
        <v>500805.66664071393</v>
      </c>
      <c r="P149" s="139">
        <f>Table65676869[[#This Row],[Employed Persons:
Females]]*Table65676869[[#This Row],[Smoking Prevalence Associated with Intervention: Females]]</f>
        <v>55089.531039755042</v>
      </c>
      <c r="Q149" s="142">
        <f t="shared" si="28"/>
        <v>66611446.283214733</v>
      </c>
      <c r="R149" s="142">
        <f t="shared" si="29"/>
        <v>4723271.4589085216</v>
      </c>
      <c r="S149" s="142">
        <f>Table65676869[[#This Row],[Excess Absenteeism (Costs) - Intervention Scenario:
Males]]+Table65676869[[#This Row],[Excess Absenteeism (Costs) - Intervention Scenario:
Females]]</f>
        <v>71334717.742123261</v>
      </c>
      <c r="T149" s="145">
        <f>Table65676869[[#This Row],[Excess Absenteeism (Costs):
Males]]-Table65676869[[#This Row],[Excess Absenteeism (Costs) - Intervention Scenario:
Males]]</f>
        <v>4571149.9139281213</v>
      </c>
      <c r="U149" s="145">
        <f>Table65676869[[#This Row],[Excess Absenteeism (Costs):
Females]]-Table65676869[[#This Row],[Excess Absenteeism (Costs) - Intervention Scenario:
Females]]</f>
        <v>324130.20775814541</v>
      </c>
      <c r="V149" s="145">
        <f>Table65676869[[#This Row],[Excess Absenteeism (Costs):
Total]]-Table65676869[[#This Row],[Excess Absenteeism (Costs) - Intervention Scenario:
Total]]</f>
        <v>4895280.1216862649</v>
      </c>
    </row>
    <row r="150" spans="2:22" customFormat="1">
      <c r="B150" s="55">
        <v>8</v>
      </c>
      <c r="C150" s="126">
        <f t="shared" si="24"/>
        <v>938900</v>
      </c>
      <c r="D150" s="126">
        <f t="shared" si="25"/>
        <v>841000</v>
      </c>
      <c r="E150" s="122">
        <f t="shared" si="26"/>
        <v>0.56999999999999995</v>
      </c>
      <c r="F150" s="122">
        <f t="shared" si="27"/>
        <v>7.0000000000000007E-2</v>
      </c>
      <c r="G150" s="126">
        <f>Table65676869[[#This Row],[Employed Persons:
Males]]*Table65676869[[#This Row],[Smoking Prevalence:
Males]]</f>
        <v>535173</v>
      </c>
      <c r="H150" s="126">
        <f>Table65676869[[#This Row],[Employed Persons:
Females]]*Table65676869[[#This Row],[Smoking Prevalence:
Females]]</f>
        <v>58870.000000000007</v>
      </c>
      <c r="I150" s="51">
        <f>$C$9*Table65676869[[#This Row],[Employed Smokers:
Males]]*D$29</f>
        <v>71182596.197142854</v>
      </c>
      <c r="J150" s="15">
        <f>$C$9*Table65676869[[#This Row],[Employed Smokers:
Females]]*E$29</f>
        <v>5047401.666666667</v>
      </c>
      <c r="K150" s="15">
        <f>Table65676869[[#This Row],[Excess Absenteeism (Costs):
Males]]+Table65676869[[#This Row],[Excess Absenteeism (Costs):
Females]]</f>
        <v>76229997.863809526</v>
      </c>
      <c r="L150" s="132">
        <v>-3.0000000000000001E-3</v>
      </c>
      <c r="M150" s="136">
        <f>M149*(1+Table65676869[[#This Row],[Relative Change in Smoking Prevalence:
Cigarette Package Warnings]])</f>
        <v>0.53179598428031927</v>
      </c>
      <c r="N150" s="136">
        <f>N149*(1+Table65676869[[#This Row],[Relative Change in Smoking Prevalence:
Cigarette Package Warnings]])</f>
        <v>6.530827877126727E-2</v>
      </c>
      <c r="O150" s="139">
        <f>Table65676869[[#This Row],[Employed Persons:
Males]]*Table65676869[[#This Row],[Smoking Prevalence Associated with Intervention: Males]]</f>
        <v>499303.24964079174</v>
      </c>
      <c r="P150" s="139">
        <f>Table65676869[[#This Row],[Employed Persons:
Females]]*Table65676869[[#This Row],[Smoking Prevalence Associated with Intervention: Females]]</f>
        <v>54924.262446635774</v>
      </c>
      <c r="Q150" s="142">
        <f t="shared" si="28"/>
        <v>66411611.944365077</v>
      </c>
      <c r="R150" s="142">
        <f t="shared" si="29"/>
        <v>4709101.6445317958</v>
      </c>
      <c r="S150" s="142">
        <f>Table65676869[[#This Row],[Excess Absenteeism (Costs) - Intervention Scenario:
Males]]+Table65676869[[#This Row],[Excess Absenteeism (Costs) - Intervention Scenario:
Females]]</f>
        <v>71120713.588896871</v>
      </c>
      <c r="T150" s="145">
        <f>Table65676869[[#This Row],[Excess Absenteeism (Costs):
Males]]-Table65676869[[#This Row],[Excess Absenteeism (Costs) - Intervention Scenario:
Males]]</f>
        <v>4770984.2527777776</v>
      </c>
      <c r="U150" s="145">
        <f>Table65676869[[#This Row],[Excess Absenteeism (Costs):
Females]]-Table65676869[[#This Row],[Excess Absenteeism (Costs) - Intervention Scenario:
Females]]</f>
        <v>338300.02213487122</v>
      </c>
      <c r="V150" s="145">
        <f>Table65676869[[#This Row],[Excess Absenteeism (Costs):
Total]]-Table65676869[[#This Row],[Excess Absenteeism (Costs) - Intervention Scenario:
Total]]</f>
        <v>5109284.2749126554</v>
      </c>
    </row>
    <row r="151" spans="2:22" customFormat="1">
      <c r="B151" s="54">
        <v>9</v>
      </c>
      <c r="C151" s="125">
        <f t="shared" si="24"/>
        <v>938900</v>
      </c>
      <c r="D151" s="125">
        <f t="shared" si="25"/>
        <v>841000</v>
      </c>
      <c r="E151" s="121">
        <f t="shared" si="26"/>
        <v>0.56999999999999995</v>
      </c>
      <c r="F151" s="121">
        <f t="shared" si="27"/>
        <v>7.0000000000000007E-2</v>
      </c>
      <c r="G151" s="125">
        <f>Table65676869[[#This Row],[Employed Persons:
Males]]*Table65676869[[#This Row],[Smoking Prevalence:
Males]]</f>
        <v>535173</v>
      </c>
      <c r="H151" s="125">
        <f>Table65676869[[#This Row],[Employed Persons:
Females]]*Table65676869[[#This Row],[Smoking Prevalence:
Females]]</f>
        <v>58870.000000000007</v>
      </c>
      <c r="I151" s="50">
        <f>$C$9*Table65676869[[#This Row],[Employed Smokers:
Males]]*D$29</f>
        <v>71182596.197142854</v>
      </c>
      <c r="J151" s="15">
        <f>$C$9*Table65676869[[#This Row],[Employed Smokers:
Females]]*E$29</f>
        <v>5047401.666666667</v>
      </c>
      <c r="K151" s="15">
        <f>Table65676869[[#This Row],[Excess Absenteeism (Costs):
Males]]+Table65676869[[#This Row],[Excess Absenteeism (Costs):
Females]]</f>
        <v>76229997.863809526</v>
      </c>
      <c r="L151" s="132">
        <v>-3.0000000000000001E-3</v>
      </c>
      <c r="M151" s="136">
        <f>M150*(1+Table65676869[[#This Row],[Relative Change in Smoking Prevalence:
Cigarette Package Warnings]])</f>
        <v>0.53020059632747829</v>
      </c>
      <c r="N151" s="136">
        <f>N150*(1+Table65676869[[#This Row],[Relative Change in Smoking Prevalence:
Cigarette Package Warnings]])</f>
        <v>6.5112353934953474E-2</v>
      </c>
      <c r="O151" s="139">
        <f>Table65676869[[#This Row],[Employed Persons:
Males]]*Table65676869[[#This Row],[Smoking Prevalence Associated with Intervention: Males]]</f>
        <v>497805.33989186934</v>
      </c>
      <c r="P151" s="139">
        <f>Table65676869[[#This Row],[Employed Persons:
Females]]*Table65676869[[#This Row],[Smoking Prevalence Associated with Intervention: Females]]</f>
        <v>54759.489659295868</v>
      </c>
      <c r="Q151" s="142">
        <f t="shared" si="28"/>
        <v>66212377.108531982</v>
      </c>
      <c r="R151" s="142">
        <f t="shared" si="29"/>
        <v>4694974.3395982012</v>
      </c>
      <c r="S151" s="142">
        <f>Table65676869[[#This Row],[Excess Absenteeism (Costs) - Intervention Scenario:
Males]]+Table65676869[[#This Row],[Excess Absenteeism (Costs) - Intervention Scenario:
Females]]</f>
        <v>70907351.44813019</v>
      </c>
      <c r="T151" s="145">
        <f>Table65676869[[#This Row],[Excess Absenteeism (Costs):
Males]]-Table65676869[[#This Row],[Excess Absenteeism (Costs) - Intervention Scenario:
Males]]</f>
        <v>4970219.0886108726</v>
      </c>
      <c r="U151" s="145">
        <f>Table65676869[[#This Row],[Excess Absenteeism (Costs):
Females]]-Table65676869[[#This Row],[Excess Absenteeism (Costs) - Intervention Scenario:
Females]]</f>
        <v>352427.32706846576</v>
      </c>
      <c r="V151" s="145">
        <f>Table65676869[[#This Row],[Excess Absenteeism (Costs):
Total]]-Table65676869[[#This Row],[Excess Absenteeism (Costs) - Intervention Scenario:
Total]]</f>
        <v>5322646.4156793356</v>
      </c>
    </row>
    <row r="152" spans="2:22" customFormat="1">
      <c r="B152" s="55">
        <v>10</v>
      </c>
      <c r="C152" s="126">
        <f t="shared" si="24"/>
        <v>938900</v>
      </c>
      <c r="D152" s="126">
        <f t="shared" si="25"/>
        <v>841000</v>
      </c>
      <c r="E152" s="122">
        <f t="shared" si="26"/>
        <v>0.56999999999999995</v>
      </c>
      <c r="F152" s="122">
        <f t="shared" si="27"/>
        <v>7.0000000000000007E-2</v>
      </c>
      <c r="G152" s="126">
        <f>Table65676869[[#This Row],[Employed Persons:
Males]]*Table65676869[[#This Row],[Smoking Prevalence:
Males]]</f>
        <v>535173</v>
      </c>
      <c r="H152" s="126">
        <f>Table65676869[[#This Row],[Employed Persons:
Females]]*Table65676869[[#This Row],[Smoking Prevalence:
Females]]</f>
        <v>58870.000000000007</v>
      </c>
      <c r="I152" s="51">
        <f>$C$9*Table65676869[[#This Row],[Employed Smokers:
Males]]*D$29</f>
        <v>71182596.197142854</v>
      </c>
      <c r="J152" s="15">
        <f>$C$9*Table65676869[[#This Row],[Employed Smokers:
Females]]*E$29</f>
        <v>5047401.666666667</v>
      </c>
      <c r="K152" s="15">
        <f>Table65676869[[#This Row],[Excess Absenteeism (Costs):
Males]]+Table65676869[[#This Row],[Excess Absenteeism (Costs):
Females]]</f>
        <v>76229997.863809526</v>
      </c>
      <c r="L152" s="132">
        <v>-3.0000000000000001E-3</v>
      </c>
      <c r="M152" s="136">
        <f>M151*(1+Table65676869[[#This Row],[Relative Change in Smoking Prevalence:
Cigarette Package Warnings]])</f>
        <v>0.52860999453849589</v>
      </c>
      <c r="N152" s="136">
        <f>N151*(1+Table65676869[[#This Row],[Relative Change in Smoking Prevalence:
Cigarette Package Warnings]])</f>
        <v>6.4917016873148617E-2</v>
      </c>
      <c r="O152" s="139">
        <f>Table65676869[[#This Row],[Employed Persons:
Males]]*Table65676869[[#This Row],[Smoking Prevalence Associated with Intervention: Males]]</f>
        <v>496311.92387219379</v>
      </c>
      <c r="P152" s="139">
        <f>Table65676869[[#This Row],[Employed Persons:
Females]]*Table65676869[[#This Row],[Smoking Prevalence Associated with Intervention: Females]]</f>
        <v>54595.21119031799</v>
      </c>
      <c r="Q152" s="142">
        <f t="shared" si="28"/>
        <v>66013739.977206402</v>
      </c>
      <c r="R152" s="142">
        <f t="shared" si="29"/>
        <v>4680889.4165794067</v>
      </c>
      <c r="S152" s="142">
        <f>Table65676869[[#This Row],[Excess Absenteeism (Costs) - Intervention Scenario:
Males]]+Table65676869[[#This Row],[Excess Absenteeism (Costs) - Intervention Scenario:
Females]]</f>
        <v>70694629.393785805</v>
      </c>
      <c r="T152" s="145">
        <f>Table65676869[[#This Row],[Excess Absenteeism (Costs):
Males]]-Table65676869[[#This Row],[Excess Absenteeism (Costs) - Intervention Scenario:
Males]]</f>
        <v>5168856.2199364528</v>
      </c>
      <c r="U152" s="145">
        <f>Table65676869[[#This Row],[Excess Absenteeism (Costs):
Females]]-Table65676869[[#This Row],[Excess Absenteeism (Costs) - Intervention Scenario:
Females]]</f>
        <v>366512.25008726027</v>
      </c>
      <c r="V152" s="145">
        <f>Table65676869[[#This Row],[Excess Absenteeism (Costs):
Total]]-Table65676869[[#This Row],[Excess Absenteeism (Costs) - Intervention Scenario:
Total]]</f>
        <v>5535368.4700237215</v>
      </c>
    </row>
    <row r="153" spans="2:22" customFormat="1">
      <c r="B153" s="54">
        <v>11</v>
      </c>
      <c r="C153" s="125">
        <f t="shared" si="24"/>
        <v>938900</v>
      </c>
      <c r="D153" s="125">
        <f t="shared" si="25"/>
        <v>841000</v>
      </c>
      <c r="E153" s="121">
        <f t="shared" si="26"/>
        <v>0.56999999999999995</v>
      </c>
      <c r="F153" s="121">
        <f t="shared" si="27"/>
        <v>7.0000000000000007E-2</v>
      </c>
      <c r="G153" s="125">
        <f>Table65676869[[#This Row],[Employed Persons:
Males]]*Table65676869[[#This Row],[Smoking Prevalence:
Males]]</f>
        <v>535173</v>
      </c>
      <c r="H153" s="125">
        <f>Table65676869[[#This Row],[Employed Persons:
Females]]*Table65676869[[#This Row],[Smoking Prevalence:
Females]]</f>
        <v>58870.000000000007</v>
      </c>
      <c r="I153" s="50">
        <f>$C$9*Table65676869[[#This Row],[Employed Smokers:
Males]]*D$29</f>
        <v>71182596.197142854</v>
      </c>
      <c r="J153" s="15">
        <f>$C$9*Table65676869[[#This Row],[Employed Smokers:
Females]]*E$29</f>
        <v>5047401.666666667</v>
      </c>
      <c r="K153" s="15">
        <f>Table65676869[[#This Row],[Excess Absenteeism (Costs):
Males]]+Table65676869[[#This Row],[Excess Absenteeism (Costs):
Females]]</f>
        <v>76229997.863809526</v>
      </c>
      <c r="L153" s="132">
        <v>-3.0000000000000001E-3</v>
      </c>
      <c r="M153" s="136">
        <f>M152*(1+Table65676869[[#This Row],[Relative Change in Smoking Prevalence:
Cigarette Package Warnings]])</f>
        <v>0.52702416455488044</v>
      </c>
      <c r="N153" s="136">
        <f>N152*(1+Table65676869[[#This Row],[Relative Change in Smoking Prevalence:
Cigarette Package Warnings]])</f>
        <v>6.4722265822529171E-2</v>
      </c>
      <c r="O153" s="139">
        <f>Table65676869[[#This Row],[Employed Persons:
Males]]*Table65676869[[#This Row],[Smoking Prevalence Associated with Intervention: Males]]</f>
        <v>494822.98810057726</v>
      </c>
      <c r="P153" s="139">
        <f>Table65676869[[#This Row],[Employed Persons:
Females]]*Table65676869[[#This Row],[Smoking Prevalence Associated with Intervention: Females]]</f>
        <v>54431.425556747032</v>
      </c>
      <c r="Q153" s="142">
        <f t="shared" si="28"/>
        <v>65815698.757274784</v>
      </c>
      <c r="R153" s="142">
        <f t="shared" si="29"/>
        <v>4666846.7483296683</v>
      </c>
      <c r="S153" s="142">
        <f>Table65676869[[#This Row],[Excess Absenteeism (Costs) - Intervention Scenario:
Males]]+Table65676869[[#This Row],[Excess Absenteeism (Costs) - Intervention Scenario:
Females]]</f>
        <v>70482545.505604446</v>
      </c>
      <c r="T153" s="145">
        <f>Table65676869[[#This Row],[Excess Absenteeism (Costs):
Males]]-Table65676869[[#This Row],[Excess Absenteeism (Costs) - Intervention Scenario:
Males]]</f>
        <v>5366897.4398680702</v>
      </c>
      <c r="U153" s="145">
        <f>Table65676869[[#This Row],[Excess Absenteeism (Costs):
Females]]-Table65676869[[#This Row],[Excess Absenteeism (Costs) - Intervention Scenario:
Females]]</f>
        <v>380554.91833699867</v>
      </c>
      <c r="V153" s="145">
        <f>Table65676869[[#This Row],[Excess Absenteeism (Costs):
Total]]-Table65676869[[#This Row],[Excess Absenteeism (Costs) - Intervention Scenario:
Total]]</f>
        <v>5747452.35820508</v>
      </c>
    </row>
    <row r="154" spans="2:22" customFormat="1">
      <c r="B154" s="55">
        <v>12</v>
      </c>
      <c r="C154" s="126">
        <f t="shared" si="24"/>
        <v>938900</v>
      </c>
      <c r="D154" s="126">
        <f t="shared" si="25"/>
        <v>841000</v>
      </c>
      <c r="E154" s="122">
        <f t="shared" si="26"/>
        <v>0.56999999999999995</v>
      </c>
      <c r="F154" s="122">
        <f t="shared" si="27"/>
        <v>7.0000000000000007E-2</v>
      </c>
      <c r="G154" s="126">
        <f>Table65676869[[#This Row],[Employed Persons:
Males]]*Table65676869[[#This Row],[Smoking Prevalence:
Males]]</f>
        <v>535173</v>
      </c>
      <c r="H154" s="126">
        <f>Table65676869[[#This Row],[Employed Persons:
Females]]*Table65676869[[#This Row],[Smoking Prevalence:
Females]]</f>
        <v>58870.000000000007</v>
      </c>
      <c r="I154" s="51">
        <f>$C$9*Table65676869[[#This Row],[Employed Smokers:
Males]]*D$29</f>
        <v>71182596.197142854</v>
      </c>
      <c r="J154" s="15">
        <f>$C$9*Table65676869[[#This Row],[Employed Smokers:
Females]]*E$29</f>
        <v>5047401.666666667</v>
      </c>
      <c r="K154" s="15">
        <f>Table65676869[[#This Row],[Excess Absenteeism (Costs):
Males]]+Table65676869[[#This Row],[Excess Absenteeism (Costs):
Females]]</f>
        <v>76229997.863809526</v>
      </c>
      <c r="L154" s="132">
        <v>-3.0000000000000001E-3</v>
      </c>
      <c r="M154" s="136">
        <f>M153*(1+Table65676869[[#This Row],[Relative Change in Smoking Prevalence:
Cigarette Package Warnings]])</f>
        <v>0.52544309206121576</v>
      </c>
      <c r="N154" s="136">
        <f>N153*(1+Table65676869[[#This Row],[Relative Change in Smoking Prevalence:
Cigarette Package Warnings]])</f>
        <v>6.4528099025061583E-2</v>
      </c>
      <c r="O154" s="139">
        <f>Table65676869[[#This Row],[Employed Persons:
Males]]*Table65676869[[#This Row],[Smoking Prevalence Associated with Intervention: Males]]</f>
        <v>493338.51913627546</v>
      </c>
      <c r="P154" s="139">
        <f>Table65676869[[#This Row],[Employed Persons:
Females]]*Table65676869[[#This Row],[Smoking Prevalence Associated with Intervention: Females]]</f>
        <v>54268.131280076792</v>
      </c>
      <c r="Q154" s="142">
        <f t="shared" si="28"/>
        <v>65618251.661002956</v>
      </c>
      <c r="R154" s="142">
        <f t="shared" si="29"/>
        <v>4652846.2080846783</v>
      </c>
      <c r="S154" s="142">
        <f>Table65676869[[#This Row],[Excess Absenteeism (Costs) - Intervention Scenario:
Males]]+Table65676869[[#This Row],[Excess Absenteeism (Costs) - Intervention Scenario:
Females]]</f>
        <v>70271097.869087636</v>
      </c>
      <c r="T154" s="145">
        <f>Table65676869[[#This Row],[Excess Absenteeism (Costs):
Males]]-Table65676869[[#This Row],[Excess Absenteeism (Costs) - Intervention Scenario:
Males]]</f>
        <v>5564344.536139898</v>
      </c>
      <c r="U154" s="145">
        <f>Table65676869[[#This Row],[Excess Absenteeism (Costs):
Females]]-Table65676869[[#This Row],[Excess Absenteeism (Costs) - Intervention Scenario:
Females]]</f>
        <v>394555.4585819887</v>
      </c>
      <c r="V154" s="145">
        <f>Table65676869[[#This Row],[Excess Absenteeism (Costs):
Total]]-Table65676869[[#This Row],[Excess Absenteeism (Costs) - Intervention Scenario:
Total]]</f>
        <v>5958899.9947218895</v>
      </c>
    </row>
    <row r="155" spans="2:22" customFormat="1">
      <c r="B155" s="54">
        <v>13</v>
      </c>
      <c r="C155" s="125">
        <f t="shared" si="24"/>
        <v>938900</v>
      </c>
      <c r="D155" s="125">
        <f t="shared" si="25"/>
        <v>841000</v>
      </c>
      <c r="E155" s="121">
        <f t="shared" si="26"/>
        <v>0.56999999999999995</v>
      </c>
      <c r="F155" s="121">
        <f t="shared" si="27"/>
        <v>7.0000000000000007E-2</v>
      </c>
      <c r="G155" s="125">
        <f>Table65676869[[#This Row],[Employed Persons:
Males]]*Table65676869[[#This Row],[Smoking Prevalence:
Males]]</f>
        <v>535173</v>
      </c>
      <c r="H155" s="125">
        <f>Table65676869[[#This Row],[Employed Persons:
Females]]*Table65676869[[#This Row],[Smoking Prevalence:
Females]]</f>
        <v>58870.000000000007</v>
      </c>
      <c r="I155" s="50">
        <f>$C$9*Table65676869[[#This Row],[Employed Smokers:
Males]]*D$29</f>
        <v>71182596.197142854</v>
      </c>
      <c r="J155" s="15">
        <f>$C$9*Table65676869[[#This Row],[Employed Smokers:
Females]]*E$29</f>
        <v>5047401.666666667</v>
      </c>
      <c r="K155" s="15">
        <f>Table65676869[[#This Row],[Excess Absenteeism (Costs):
Males]]+Table65676869[[#This Row],[Excess Absenteeism (Costs):
Females]]</f>
        <v>76229997.863809526</v>
      </c>
      <c r="L155" s="132">
        <v>-3.0000000000000001E-3</v>
      </c>
      <c r="M155" s="136">
        <f>M154*(1+Table65676869[[#This Row],[Relative Change in Smoking Prevalence:
Cigarette Package Warnings]])</f>
        <v>0.52386676278503208</v>
      </c>
      <c r="N155" s="136">
        <f>N154*(1+Table65676869[[#This Row],[Relative Change in Smoking Prevalence:
Cigarette Package Warnings]])</f>
        <v>6.4334514727986403E-2</v>
      </c>
      <c r="O155" s="139">
        <f>Table65676869[[#This Row],[Employed Persons:
Males]]*Table65676869[[#This Row],[Smoking Prevalence Associated with Intervention: Males]]</f>
        <v>491858.5035788666</v>
      </c>
      <c r="P155" s="139">
        <f>Table65676869[[#This Row],[Employed Persons:
Females]]*Table65676869[[#This Row],[Smoking Prevalence Associated with Intervention: Females]]</f>
        <v>54105.326886236566</v>
      </c>
      <c r="Q155" s="142">
        <f t="shared" si="28"/>
        <v>65421396.906019941</v>
      </c>
      <c r="R155" s="142">
        <f t="shared" si="29"/>
        <v>4638887.6694604252</v>
      </c>
      <c r="S155" s="142">
        <f>Table65676869[[#This Row],[Excess Absenteeism (Costs) - Intervention Scenario:
Males]]+Table65676869[[#This Row],[Excess Absenteeism (Costs) - Intervention Scenario:
Females]]</f>
        <v>70060284.575480372</v>
      </c>
      <c r="T155" s="145">
        <f>Table65676869[[#This Row],[Excess Absenteeism (Costs):
Males]]-Table65676869[[#This Row],[Excess Absenteeism (Costs) - Intervention Scenario:
Males]]</f>
        <v>5761199.2911229134</v>
      </c>
      <c r="U155" s="145">
        <f>Table65676869[[#This Row],[Excess Absenteeism (Costs):
Females]]-Table65676869[[#This Row],[Excess Absenteeism (Costs) - Intervention Scenario:
Females]]</f>
        <v>408513.99720624182</v>
      </c>
      <c r="V155" s="145">
        <f>Table65676869[[#This Row],[Excess Absenteeism (Costs):
Total]]-Table65676869[[#This Row],[Excess Absenteeism (Costs) - Intervention Scenario:
Total]]</f>
        <v>6169713.2883291543</v>
      </c>
    </row>
    <row r="156" spans="2:22" customFormat="1">
      <c r="B156" s="55">
        <v>14</v>
      </c>
      <c r="C156" s="126">
        <f t="shared" si="24"/>
        <v>938900</v>
      </c>
      <c r="D156" s="126">
        <f t="shared" si="25"/>
        <v>841000</v>
      </c>
      <c r="E156" s="122">
        <f t="shared" si="26"/>
        <v>0.56999999999999995</v>
      </c>
      <c r="F156" s="122">
        <f t="shared" si="27"/>
        <v>7.0000000000000007E-2</v>
      </c>
      <c r="G156" s="126">
        <f>Table65676869[[#This Row],[Employed Persons:
Males]]*Table65676869[[#This Row],[Smoking Prevalence:
Males]]</f>
        <v>535173</v>
      </c>
      <c r="H156" s="126">
        <f>Table65676869[[#This Row],[Employed Persons:
Females]]*Table65676869[[#This Row],[Smoking Prevalence:
Females]]</f>
        <v>58870.000000000007</v>
      </c>
      <c r="I156" s="51">
        <f>$C$9*Table65676869[[#This Row],[Employed Smokers:
Males]]*D$29</f>
        <v>71182596.197142854</v>
      </c>
      <c r="J156" s="15">
        <f>$C$9*Table65676869[[#This Row],[Employed Smokers:
Females]]*E$29</f>
        <v>5047401.666666667</v>
      </c>
      <c r="K156" s="15">
        <f>Table65676869[[#This Row],[Excess Absenteeism (Costs):
Males]]+Table65676869[[#This Row],[Excess Absenteeism (Costs):
Females]]</f>
        <v>76229997.863809526</v>
      </c>
      <c r="L156" s="132">
        <v>-3.0000000000000001E-3</v>
      </c>
      <c r="M156" s="136">
        <f>M155*(1+Table65676869[[#This Row],[Relative Change in Smoking Prevalence:
Cigarette Package Warnings]])</f>
        <v>0.52229516249667696</v>
      </c>
      <c r="N156" s="136">
        <f>N155*(1+Table65676869[[#This Row],[Relative Change in Smoking Prevalence:
Cigarette Package Warnings]])</f>
        <v>6.4141511183802444E-2</v>
      </c>
      <c r="O156" s="139">
        <f>Table65676869[[#This Row],[Employed Persons:
Males]]*Table65676869[[#This Row],[Smoking Prevalence Associated with Intervention: Males]]</f>
        <v>490382.92806812999</v>
      </c>
      <c r="P156" s="139">
        <f>Table65676869[[#This Row],[Employed Persons:
Females]]*Table65676869[[#This Row],[Smoking Prevalence Associated with Intervention: Females]]</f>
        <v>53943.010905577852</v>
      </c>
      <c r="Q156" s="142">
        <f t="shared" si="28"/>
        <v>65225132.715301879</v>
      </c>
      <c r="R156" s="142">
        <f t="shared" si="29"/>
        <v>4624971.0064520435</v>
      </c>
      <c r="S156" s="142">
        <f>Table65676869[[#This Row],[Excess Absenteeism (Costs) - Intervention Scenario:
Males]]+Table65676869[[#This Row],[Excess Absenteeism (Costs) - Intervention Scenario:
Females]]</f>
        <v>69850103.721753925</v>
      </c>
      <c r="T156" s="145">
        <f>Table65676869[[#This Row],[Excess Absenteeism (Costs):
Males]]-Table65676869[[#This Row],[Excess Absenteeism (Costs) - Intervention Scenario:
Males]]</f>
        <v>5957463.4818409756</v>
      </c>
      <c r="U156" s="145">
        <f>Table65676869[[#This Row],[Excess Absenteeism (Costs):
Females]]-Table65676869[[#This Row],[Excess Absenteeism (Costs) - Intervention Scenario:
Females]]</f>
        <v>422430.66021462344</v>
      </c>
      <c r="V156" s="145">
        <f>Table65676869[[#This Row],[Excess Absenteeism (Costs):
Total]]-Table65676869[[#This Row],[Excess Absenteeism (Costs) - Intervention Scenario:
Total]]</f>
        <v>6379894.1420556009</v>
      </c>
    </row>
    <row r="157" spans="2:22" customFormat="1">
      <c r="B157" s="56">
        <v>15</v>
      </c>
      <c r="C157" s="127">
        <f t="shared" si="24"/>
        <v>938900</v>
      </c>
      <c r="D157" s="127">
        <f t="shared" si="25"/>
        <v>841000</v>
      </c>
      <c r="E157" s="123">
        <f t="shared" si="26"/>
        <v>0.56999999999999995</v>
      </c>
      <c r="F157" s="123">
        <f t="shared" si="27"/>
        <v>7.0000000000000007E-2</v>
      </c>
      <c r="G157" s="127">
        <f>Table65676869[[#This Row],[Employed Persons:
Males]]*Table65676869[[#This Row],[Smoking Prevalence:
Males]]</f>
        <v>535173</v>
      </c>
      <c r="H157" s="127">
        <f>Table65676869[[#This Row],[Employed Persons:
Females]]*Table65676869[[#This Row],[Smoking Prevalence:
Females]]</f>
        <v>58870.000000000007</v>
      </c>
      <c r="I157" s="52">
        <f>$C$9*Table65676869[[#This Row],[Employed Smokers:
Males]]*D$29</f>
        <v>71182596.197142854</v>
      </c>
      <c r="J157" s="15">
        <f>$C$9*Table65676869[[#This Row],[Employed Smokers:
Females]]*E$29</f>
        <v>5047401.666666667</v>
      </c>
      <c r="K157" s="15">
        <f>Table65676869[[#This Row],[Excess Absenteeism (Costs):
Males]]+Table65676869[[#This Row],[Excess Absenteeism (Costs):
Females]]</f>
        <v>76229997.863809526</v>
      </c>
      <c r="L157" s="132">
        <v>-3.0000000000000001E-3</v>
      </c>
      <c r="M157" s="136">
        <f>M156*(1+Table65676869[[#This Row],[Relative Change in Smoking Prevalence:
Cigarette Package Warnings]])</f>
        <v>0.52072827700918689</v>
      </c>
      <c r="N157" s="136">
        <f>N156*(1+Table65676869[[#This Row],[Relative Change in Smoking Prevalence:
Cigarette Package Warnings]])</f>
        <v>6.3949086650251036E-2</v>
      </c>
      <c r="O157" s="139">
        <f>Table65676869[[#This Row],[Employed Persons:
Males]]*Table65676869[[#This Row],[Smoking Prevalence Associated with Intervention: Males]]</f>
        <v>488911.7792839256</v>
      </c>
      <c r="P157" s="139">
        <f>Table65676869[[#This Row],[Employed Persons:
Females]]*Table65676869[[#This Row],[Smoking Prevalence Associated with Intervention: Females]]</f>
        <v>53781.181872861118</v>
      </c>
      <c r="Q157" s="142">
        <f t="shared" si="28"/>
        <v>65029457.317155972</v>
      </c>
      <c r="R157" s="142">
        <f t="shared" si="29"/>
        <v>4611096.0934326872</v>
      </c>
      <c r="S157" s="142">
        <f>Table65676869[[#This Row],[Excess Absenteeism (Costs) - Intervention Scenario:
Males]]+Table65676869[[#This Row],[Excess Absenteeism (Costs) - Intervention Scenario:
Females]]</f>
        <v>69640553.410588652</v>
      </c>
      <c r="T157" s="145">
        <f>Table65676869[[#This Row],[Excess Absenteeism (Costs):
Males]]-Table65676869[[#This Row],[Excess Absenteeism (Costs) - Intervention Scenario:
Males]]</f>
        <v>6153138.8799868822</v>
      </c>
      <c r="U157" s="145">
        <f>Table65676869[[#This Row],[Excess Absenteeism (Costs):
Females]]-Table65676869[[#This Row],[Excess Absenteeism (Costs) - Intervention Scenario:
Females]]</f>
        <v>436305.57323397975</v>
      </c>
      <c r="V157" s="145">
        <f>Table65676869[[#This Row],[Excess Absenteeism (Costs):
Total]]-Table65676869[[#This Row],[Excess Absenteeism (Costs) - Intervention Scenario:
Total]]</f>
        <v>6589444.4532208741</v>
      </c>
    </row>
    <row r="161" spans="2:22" ht="23.25">
      <c r="B161" s="80" t="s">
        <v>180</v>
      </c>
    </row>
    <row r="162" spans="2:22" ht="17.100000000000001" customHeight="1">
      <c r="B162" s="81"/>
    </row>
    <row r="163" spans="2:22" ht="17.100000000000001" customHeight="1">
      <c r="B163" s="81"/>
    </row>
    <row r="164" spans="2:22" ht="21">
      <c r="B164" s="81" t="s">
        <v>93</v>
      </c>
    </row>
    <row r="165" spans="2:22" ht="21">
      <c r="B165" s="81"/>
    </row>
    <row r="166" spans="2:22" ht="135">
      <c r="B166" s="71" t="s">
        <v>111</v>
      </c>
      <c r="C166" s="129" t="s">
        <v>175</v>
      </c>
      <c r="D166" s="128"/>
      <c r="E166" s="128"/>
      <c r="F166" s="128"/>
      <c r="G166" s="133" t="s">
        <v>176</v>
      </c>
      <c r="H166" s="134"/>
      <c r="I166" s="134"/>
      <c r="J166" s="134"/>
      <c r="K166" s="134"/>
      <c r="L166" s="68" t="s">
        <v>110</v>
      </c>
      <c r="M166" s="74" t="s">
        <v>177</v>
      </c>
      <c r="N166" s="70"/>
      <c r="O166" s="73" t="s">
        <v>178</v>
      </c>
      <c r="P166" s="72"/>
      <c r="Q166" s="72"/>
      <c r="R166" s="72"/>
      <c r="S166" s="72"/>
      <c r="T166" s="78" t="s">
        <v>179</v>
      </c>
      <c r="U166" s="75"/>
      <c r="V166" s="75"/>
    </row>
    <row r="168" spans="2:22" ht="69" customHeight="1" thickBot="1">
      <c r="B168" s="35" t="s">
        <v>81</v>
      </c>
      <c r="C168" s="35" t="s">
        <v>157</v>
      </c>
      <c r="D168" s="35" t="s">
        <v>158</v>
      </c>
      <c r="E168" s="35" t="s">
        <v>155</v>
      </c>
      <c r="F168" s="35" t="s">
        <v>156</v>
      </c>
      <c r="G168" s="35" t="s">
        <v>159</v>
      </c>
      <c r="H168" s="35" t="s">
        <v>160</v>
      </c>
      <c r="I168" s="34" t="s">
        <v>181</v>
      </c>
      <c r="J168" s="34" t="s">
        <v>182</v>
      </c>
      <c r="K168" s="34" t="s">
        <v>183</v>
      </c>
      <c r="L168" s="63" t="s">
        <v>246</v>
      </c>
      <c r="M168" s="135" t="s">
        <v>162</v>
      </c>
      <c r="N168" s="135" t="s">
        <v>163</v>
      </c>
      <c r="O168" s="137" t="s">
        <v>164</v>
      </c>
      <c r="P168" s="137" t="s">
        <v>165</v>
      </c>
      <c r="Q168" s="137" t="s">
        <v>184</v>
      </c>
      <c r="R168" s="137" t="s">
        <v>185</v>
      </c>
      <c r="S168" s="137" t="s">
        <v>186</v>
      </c>
      <c r="T168" s="143" t="s">
        <v>173</v>
      </c>
      <c r="U168" s="143" t="s">
        <v>172</v>
      </c>
      <c r="V168" s="143" t="s">
        <v>174</v>
      </c>
    </row>
    <row r="169" spans="2:22" ht="15.75" thickTop="1">
      <c r="B169" s="53">
        <v>0</v>
      </c>
      <c r="C169" s="124">
        <f t="shared" ref="C169:C184" si="30">$D$24</f>
        <v>938900</v>
      </c>
      <c r="D169" s="124">
        <f t="shared" ref="D169:D184" si="31">$E$24</f>
        <v>841000</v>
      </c>
      <c r="E169" s="120">
        <f t="shared" ref="E169:E184" si="32">$D$25</f>
        <v>0.56999999999999995</v>
      </c>
      <c r="F169" s="120">
        <f t="shared" ref="F169:F184" si="33">$E$25</f>
        <v>7.0000000000000007E-2</v>
      </c>
      <c r="G169" s="124">
        <f>Table65707[[#This Row],[Employed Persons:
Males]]*Table65707[[#This Row],[Smoking Prevalence:
Males]]</f>
        <v>535173</v>
      </c>
      <c r="H169" s="124">
        <f>Table65707[[#This Row],[Employed Persons:
Females]]*Table65707[[#This Row],[Smoking Prevalence:
Females]]</f>
        <v>58870.000000000007</v>
      </c>
      <c r="I169" s="49">
        <f>$C$10*Table65707[[#This Row],[Employed Smokers:
Males]]*D$27</f>
        <v>68992362.46800001</v>
      </c>
      <c r="J169" s="49">
        <f>$C$10*Table65707[[#This Row],[Employed Smokers:
Females]]*E$27</f>
        <v>4892097</v>
      </c>
      <c r="K169" s="12">
        <f>Table65707[[#This Row],[Excess Presenteeism (Costs):
Males]]+Table65707[[#This Row],[Excess Presenteeism (Costs):
Females]]</f>
        <v>73884459.46800001</v>
      </c>
      <c r="L169" s="67"/>
      <c r="M169" s="136">
        <f>Table65707[[#This Row],[Smoking Prevalence:
Males]]</f>
        <v>0.56999999999999995</v>
      </c>
      <c r="N169" s="136">
        <f>Table65707[[#This Row],[Smoking Prevalence:
Females]]</f>
        <v>7.0000000000000007E-2</v>
      </c>
      <c r="O169" s="138">
        <f>Table65707[[#This Row],[Employed Persons:
Males]]*Table65707[[#This Row],[Smoking Prevalence Associated with Intervention: Males]]</f>
        <v>535173</v>
      </c>
      <c r="P169" s="138">
        <f>Table65707[[#This Row],[Employed Persons:
Females]]*Table65707[[#This Row],[Smoking Prevalence Associated with Intervention: Females]]</f>
        <v>58870.000000000007</v>
      </c>
      <c r="Q169" s="140">
        <f t="shared" ref="Q169:Q184" si="34">$C$10*O169*D$27</f>
        <v>68992362.46800001</v>
      </c>
      <c r="R169" s="140">
        <f t="shared" ref="R169:R184" si="35">$C$10*P169*E$27</f>
        <v>4892097</v>
      </c>
      <c r="S169" s="141">
        <f>Table65707[[#This Row],[Excess Presenteeism (Costs) - Intervention Scenario:
Males]]+Table65707[[#This Row],[Excess Presenteeism (Costs) - Intervention Scenario:
Females]]</f>
        <v>73884459.46800001</v>
      </c>
      <c r="T169" s="144">
        <f>Table65707[[#This Row],[Excess Presenteeism (Costs):
Males]]-Table65707[[#This Row],[Excess Presenteeism (Costs) - Intervention Scenario:
Males]]</f>
        <v>0</v>
      </c>
      <c r="U169" s="144">
        <f>Table65707[[#This Row],[Excess Presenteeism (Costs):
Females]]-Table65707[[#This Row],[Excess Presenteeism (Costs) - Intervention Scenario:
Females]]</f>
        <v>0</v>
      </c>
      <c r="V169" s="144">
        <f>Table65707[[#This Row],[Excess Presenteeism (Costs):
Total]]-Table65707[[#This Row],[Excess Presenteeism (Costs) - Intervention Scenario:
Total]]</f>
        <v>0</v>
      </c>
    </row>
    <row r="170" spans="2:22">
      <c r="B170" s="54">
        <v>1</v>
      </c>
      <c r="C170" s="125">
        <f t="shared" si="30"/>
        <v>938900</v>
      </c>
      <c r="D170" s="125">
        <f t="shared" si="31"/>
        <v>841000</v>
      </c>
      <c r="E170" s="121">
        <f t="shared" si="32"/>
        <v>0.56999999999999995</v>
      </c>
      <c r="F170" s="121">
        <f t="shared" si="33"/>
        <v>7.0000000000000007E-2</v>
      </c>
      <c r="G170" s="125">
        <f>Table65707[[#This Row],[Employed Persons:
Males]]*Table65707[[#This Row],[Smoking Prevalence:
Males]]</f>
        <v>535173</v>
      </c>
      <c r="H170" s="125">
        <f>Table65707[[#This Row],[Employed Persons:
Females]]*Table65707[[#This Row],[Smoking Prevalence:
Females]]</f>
        <v>58870.000000000007</v>
      </c>
      <c r="I170" s="50">
        <f>$C$10*Table65707[[#This Row],[Employed Smokers:
Males]]*D$27</f>
        <v>68992362.46800001</v>
      </c>
      <c r="J170" s="12">
        <f>$C$10*Table65707[[#This Row],[Employed Smokers:
Females]]*E$27</f>
        <v>4892097</v>
      </c>
      <c r="K170" s="12">
        <f>Table65707[[#This Row],[Excess Presenteeism (Costs):
Males]]+Table65707[[#This Row],[Excess Presenteeism (Costs):
Females]]</f>
        <v>73884459.46800001</v>
      </c>
      <c r="L170" s="130">
        <v>-6.5972442588726504E-2</v>
      </c>
      <c r="M170" s="136">
        <f>M169*(1+Table65707[[#This Row],[Relative Change in Smoking Prevalence:
Increase Cigarette Taxes]])</f>
        <v>0.5323957077244259</v>
      </c>
      <c r="N170" s="136">
        <f>N169*(1+Table65707[[#This Row],[Relative Change in Smoking Prevalence:
Increase Cigarette Taxes]])</f>
        <v>6.5381929018789156E-2</v>
      </c>
      <c r="O170" s="138">
        <f>Table65707[[#This Row],[Employed Persons:
Males]]*Table65707[[#This Row],[Smoking Prevalence Associated with Intervention: Males]]</f>
        <v>499866.3299824635</v>
      </c>
      <c r="P170" s="138">
        <f>Table65707[[#This Row],[Employed Persons:
Females]]*Table65707[[#This Row],[Smoking Prevalence Associated with Intervention: Females]]</f>
        <v>54986.202304801678</v>
      </c>
      <c r="Q170" s="141">
        <f t="shared" si="34"/>
        <v>64440767.796019264</v>
      </c>
      <c r="R170" s="141">
        <f t="shared" si="35"/>
        <v>4569353.4115290195</v>
      </c>
      <c r="S170" s="141">
        <f>Table65707[[#This Row],[Excess Presenteeism (Costs) - Intervention Scenario:
Males]]+Table65707[[#This Row],[Excess Presenteeism (Costs) - Intervention Scenario:
Females]]</f>
        <v>69010121.20754829</v>
      </c>
      <c r="T170" s="144">
        <f>Table65707[[#This Row],[Excess Presenteeism (Costs):
Males]]-Table65707[[#This Row],[Excess Presenteeism (Costs) - Intervention Scenario:
Males]]</f>
        <v>4551594.6719807461</v>
      </c>
      <c r="U170" s="144">
        <f>Table65707[[#This Row],[Excess Presenteeism (Costs):
Females]]-Table65707[[#This Row],[Excess Presenteeism (Costs) - Intervention Scenario:
Females]]</f>
        <v>322743.58847098053</v>
      </c>
      <c r="V170" s="144">
        <f>Table65707[[#This Row],[Excess Presenteeism (Costs):
Total]]-Table65707[[#This Row],[Excess Presenteeism (Costs) - Intervention Scenario:
Total]]</f>
        <v>4874338.2604517192</v>
      </c>
    </row>
    <row r="171" spans="2:22">
      <c r="B171" s="55">
        <v>2</v>
      </c>
      <c r="C171" s="126">
        <f t="shared" si="30"/>
        <v>938900</v>
      </c>
      <c r="D171" s="126">
        <f t="shared" si="31"/>
        <v>841000</v>
      </c>
      <c r="E171" s="122">
        <f t="shared" si="32"/>
        <v>0.56999999999999995</v>
      </c>
      <c r="F171" s="122">
        <f t="shared" si="33"/>
        <v>7.0000000000000007E-2</v>
      </c>
      <c r="G171" s="126">
        <f>Table65707[[#This Row],[Employed Persons:
Males]]*Table65707[[#This Row],[Smoking Prevalence:
Males]]</f>
        <v>535173</v>
      </c>
      <c r="H171" s="126">
        <f>Table65707[[#This Row],[Employed Persons:
Females]]*Table65707[[#This Row],[Smoking Prevalence:
Females]]</f>
        <v>58870.000000000007</v>
      </c>
      <c r="I171" s="51">
        <f>$C$10*Table65707[[#This Row],[Employed Smokers:
Males]]*D$27</f>
        <v>68992362.46800001</v>
      </c>
      <c r="J171" s="12">
        <f>$C$10*Table65707[[#This Row],[Employed Smokers:
Females]]*E$27</f>
        <v>4892097</v>
      </c>
      <c r="K171" s="12">
        <f>Table65707[[#This Row],[Excess Presenteeism (Costs):
Males]]+Table65707[[#This Row],[Excess Presenteeism (Costs):
Females]]</f>
        <v>73884459.46800001</v>
      </c>
      <c r="L171" s="130">
        <v>-6.5972442588726504E-2</v>
      </c>
      <c r="M171" s="136">
        <f>M170*(1+Table65707[[#This Row],[Relative Change in Smoking Prevalence:
Increase Cigarette Taxes]])</f>
        <v>0.49727226246209183</v>
      </c>
      <c r="N171" s="136">
        <f>N170*(1+Table65707[[#This Row],[Relative Change in Smoking Prevalence:
Increase Cigarette Taxes]])</f>
        <v>6.1068523460256902E-2</v>
      </c>
      <c r="O171" s="138">
        <f>Table65707[[#This Row],[Employed Persons:
Males]]*Table65707[[#This Row],[Smoking Prevalence Associated with Intervention: Males]]</f>
        <v>466888.92722565803</v>
      </c>
      <c r="P171" s="138">
        <f>Table65707[[#This Row],[Employed Persons:
Females]]*Table65707[[#This Row],[Smoking Prevalence Associated with Intervention: Females]]</f>
        <v>51358.628230076058</v>
      </c>
      <c r="Q171" s="141">
        <f t="shared" si="34"/>
        <v>60189452.942222938</v>
      </c>
      <c r="R171" s="141">
        <f t="shared" si="35"/>
        <v>4267902.0059193205</v>
      </c>
      <c r="S171" s="141">
        <f>Table65707[[#This Row],[Excess Presenteeism (Costs) - Intervention Scenario:
Males]]+Table65707[[#This Row],[Excess Presenteeism (Costs) - Intervention Scenario:
Females]]</f>
        <v>64457354.94814226</v>
      </c>
      <c r="T171" s="144">
        <f>Table65707[[#This Row],[Excess Presenteeism (Costs):
Males]]-Table65707[[#This Row],[Excess Presenteeism (Costs) - Intervention Scenario:
Males]]</f>
        <v>8802909.5257770717</v>
      </c>
      <c r="U171" s="144">
        <f>Table65707[[#This Row],[Excess Presenteeism (Costs):
Females]]-Table65707[[#This Row],[Excess Presenteeism (Costs) - Intervention Scenario:
Females]]</f>
        <v>624194.99408067949</v>
      </c>
      <c r="V171" s="144">
        <f>Table65707[[#This Row],[Excess Presenteeism (Costs):
Total]]-Table65707[[#This Row],[Excess Presenteeism (Costs) - Intervention Scenario:
Total]]</f>
        <v>9427104.5198577493</v>
      </c>
    </row>
    <row r="172" spans="2:22">
      <c r="B172" s="54">
        <v>3</v>
      </c>
      <c r="C172" s="125">
        <f t="shared" si="30"/>
        <v>938900</v>
      </c>
      <c r="D172" s="125">
        <f t="shared" si="31"/>
        <v>841000</v>
      </c>
      <c r="E172" s="121">
        <f t="shared" si="32"/>
        <v>0.56999999999999995</v>
      </c>
      <c r="F172" s="121">
        <f t="shared" si="33"/>
        <v>7.0000000000000007E-2</v>
      </c>
      <c r="G172" s="125">
        <f>Table65707[[#This Row],[Employed Persons:
Males]]*Table65707[[#This Row],[Smoking Prevalence:
Males]]</f>
        <v>535173</v>
      </c>
      <c r="H172" s="125">
        <f>Table65707[[#This Row],[Employed Persons:
Females]]*Table65707[[#This Row],[Smoking Prevalence:
Females]]</f>
        <v>58870.000000000007</v>
      </c>
      <c r="I172" s="50">
        <f>$C$10*Table65707[[#This Row],[Employed Smokers:
Males]]*D$27</f>
        <v>68992362.46800001</v>
      </c>
      <c r="J172" s="12">
        <f>$C$10*Table65707[[#This Row],[Employed Smokers:
Females]]*E$27</f>
        <v>4892097</v>
      </c>
      <c r="K172" s="12">
        <f>Table65707[[#This Row],[Excess Presenteeism (Costs):
Males]]+Table65707[[#This Row],[Excess Presenteeism (Costs):
Females]]</f>
        <v>73884459.46800001</v>
      </c>
      <c r="L172" s="130">
        <v>-6.5972442588726504E-2</v>
      </c>
      <c r="M172" s="136">
        <f>M171*(1+Table65707[[#This Row],[Relative Change in Smoking Prevalence:
Increase Cigarette Taxes]])</f>
        <v>0.46446599667584537</v>
      </c>
      <c r="N172" s="136">
        <f>N171*(1+Table65707[[#This Row],[Relative Change in Smoking Prevalence:
Increase Cigarette Taxes]])</f>
        <v>5.7039683802296806E-2</v>
      </c>
      <c r="O172" s="138">
        <f>Table65707[[#This Row],[Employed Persons:
Males]]*Table65707[[#This Row],[Smoking Prevalence Associated with Intervention: Males]]</f>
        <v>436087.1242789512</v>
      </c>
      <c r="P172" s="138">
        <f>Table65707[[#This Row],[Employed Persons:
Females]]*Table65707[[#This Row],[Smoking Prevalence Associated with Intervention: Females]]</f>
        <v>47970.374077731612</v>
      </c>
      <c r="Q172" s="141">
        <f t="shared" si="34"/>
        <v>56218607.713545278</v>
      </c>
      <c r="R172" s="141">
        <f t="shared" si="35"/>
        <v>3986338.0858594971</v>
      </c>
      <c r="S172" s="141">
        <f>Table65707[[#This Row],[Excess Presenteeism (Costs) - Intervention Scenario:
Males]]+Table65707[[#This Row],[Excess Presenteeism (Costs) - Intervention Scenario:
Females]]</f>
        <v>60204945.799404778</v>
      </c>
      <c r="T172" s="144">
        <f>Table65707[[#This Row],[Excess Presenteeism (Costs):
Males]]-Table65707[[#This Row],[Excess Presenteeism (Costs) - Intervention Scenario:
Males]]</f>
        <v>12773754.754454732</v>
      </c>
      <c r="U172" s="144">
        <f>Table65707[[#This Row],[Excess Presenteeism (Costs):
Females]]-Table65707[[#This Row],[Excess Presenteeism (Costs) - Intervention Scenario:
Females]]</f>
        <v>905758.91414050292</v>
      </c>
      <c r="V172" s="144">
        <f>Table65707[[#This Row],[Excess Presenteeism (Costs):
Total]]-Table65707[[#This Row],[Excess Presenteeism (Costs) - Intervention Scenario:
Total]]</f>
        <v>13679513.668595232</v>
      </c>
    </row>
    <row r="173" spans="2:22">
      <c r="B173" s="55">
        <v>4</v>
      </c>
      <c r="C173" s="126">
        <f t="shared" si="30"/>
        <v>938900</v>
      </c>
      <c r="D173" s="126">
        <f t="shared" si="31"/>
        <v>841000</v>
      </c>
      <c r="E173" s="122">
        <f t="shared" si="32"/>
        <v>0.56999999999999995</v>
      </c>
      <c r="F173" s="122">
        <f t="shared" si="33"/>
        <v>7.0000000000000007E-2</v>
      </c>
      <c r="G173" s="126">
        <f>Table65707[[#This Row],[Employed Persons:
Males]]*Table65707[[#This Row],[Smoking Prevalence:
Males]]</f>
        <v>535173</v>
      </c>
      <c r="H173" s="126">
        <f>Table65707[[#This Row],[Employed Persons:
Females]]*Table65707[[#This Row],[Smoking Prevalence:
Females]]</f>
        <v>58870.000000000007</v>
      </c>
      <c r="I173" s="51">
        <f>$C$10*Table65707[[#This Row],[Employed Smokers:
Males]]*D$27</f>
        <v>68992362.46800001</v>
      </c>
      <c r="J173" s="12">
        <f>$C$10*Table65707[[#This Row],[Employed Smokers:
Females]]*E$27</f>
        <v>4892097</v>
      </c>
      <c r="K173" s="12">
        <f>Table65707[[#This Row],[Excess Presenteeism (Costs):
Males]]+Table65707[[#This Row],[Excess Presenteeism (Costs):
Females]]</f>
        <v>73884459.46800001</v>
      </c>
      <c r="L173" s="130">
        <v>-6.5972442588726504E-2</v>
      </c>
      <c r="M173" s="136">
        <f>M172*(1+Table65707[[#This Row],[Relative Change in Smoking Prevalence:
Increase Cigarette Taxes]])</f>
        <v>0.43382404037573252</v>
      </c>
      <c r="N173" s="136">
        <f>N172*(1+Table65707[[#This Row],[Relative Change in Smoking Prevalence:
Increase Cigarette Taxes]])</f>
        <v>5.3276636537370671E-2</v>
      </c>
      <c r="O173" s="138">
        <f>Table65707[[#This Row],[Employed Persons:
Males]]*Table65707[[#This Row],[Smoking Prevalence Associated with Intervention: Males]]</f>
        <v>407317.39150877524</v>
      </c>
      <c r="P173" s="138">
        <f>Table65707[[#This Row],[Employed Persons:
Females]]*Table65707[[#This Row],[Smoking Prevalence Associated with Intervention: Females]]</f>
        <v>44805.651327928732</v>
      </c>
      <c r="Q173" s="141">
        <f t="shared" si="34"/>
        <v>52509728.843745269</v>
      </c>
      <c r="R173" s="141">
        <f t="shared" si="35"/>
        <v>3723349.6253508776</v>
      </c>
      <c r="S173" s="141">
        <f>Table65707[[#This Row],[Excess Presenteeism (Costs) - Intervention Scenario:
Males]]+Table65707[[#This Row],[Excess Presenteeism (Costs) - Intervention Scenario:
Females]]</f>
        <v>56233078.469096147</v>
      </c>
      <c r="T173" s="144">
        <f>Table65707[[#This Row],[Excess Presenteeism (Costs):
Males]]-Table65707[[#This Row],[Excess Presenteeism (Costs) - Intervention Scenario:
Males]]</f>
        <v>16482633.624254741</v>
      </c>
      <c r="U173" s="144">
        <f>Table65707[[#This Row],[Excess Presenteeism (Costs):
Females]]-Table65707[[#This Row],[Excess Presenteeism (Costs) - Intervention Scenario:
Females]]</f>
        <v>1168747.3746491224</v>
      </c>
      <c r="V173" s="144">
        <f>Table65707[[#This Row],[Excess Presenteeism (Costs):
Total]]-Table65707[[#This Row],[Excess Presenteeism (Costs) - Intervention Scenario:
Total]]</f>
        <v>17651380.998903863</v>
      </c>
    </row>
    <row r="174" spans="2:22" customFormat="1">
      <c r="B174" s="54">
        <v>5</v>
      </c>
      <c r="C174" s="125">
        <f t="shared" si="30"/>
        <v>938900</v>
      </c>
      <c r="D174" s="125">
        <f t="shared" si="31"/>
        <v>841000</v>
      </c>
      <c r="E174" s="121">
        <f t="shared" si="32"/>
        <v>0.56999999999999995</v>
      </c>
      <c r="F174" s="121">
        <f t="shared" si="33"/>
        <v>7.0000000000000007E-2</v>
      </c>
      <c r="G174" s="125">
        <f>Table65707[[#This Row],[Employed Persons:
Males]]*Table65707[[#This Row],[Smoking Prevalence:
Males]]</f>
        <v>535173</v>
      </c>
      <c r="H174" s="125">
        <f>Table65707[[#This Row],[Employed Persons:
Females]]*Table65707[[#This Row],[Smoking Prevalence:
Females]]</f>
        <v>58870.000000000007</v>
      </c>
      <c r="I174" s="50">
        <f>$C$10*Table65707[[#This Row],[Employed Smokers:
Males]]*D$27</f>
        <v>68992362.46800001</v>
      </c>
      <c r="J174" s="15">
        <f>$C$10*Table65707[[#This Row],[Employed Smokers:
Females]]*E$27</f>
        <v>4892097</v>
      </c>
      <c r="K174" s="15">
        <f>Table65707[[#This Row],[Excess Presenteeism (Costs):
Males]]+Table65707[[#This Row],[Excess Presenteeism (Costs):
Females]]</f>
        <v>73884459.46800001</v>
      </c>
      <c r="L174" s="131">
        <v>-6.5972442588726504E-2</v>
      </c>
      <c r="M174" s="136">
        <f>M173*(1+Table65707[[#This Row],[Relative Change in Smoking Prevalence:
Increase Cigarette Taxes]])</f>
        <v>0.40520360877843514</v>
      </c>
      <c r="N174" s="136">
        <f>N173*(1+Table65707[[#This Row],[Relative Change in Smoking Prevalence:
Increase Cigarette Taxes]])</f>
        <v>4.9761846692088538E-2</v>
      </c>
      <c r="O174" s="139">
        <f>Table65707[[#This Row],[Employed Persons:
Males]]*Table65707[[#This Row],[Smoking Prevalence Associated with Intervention: Males]]</f>
        <v>380445.66828207276</v>
      </c>
      <c r="P174" s="139">
        <f>Table65707[[#This Row],[Employed Persons:
Females]]*Table65707[[#This Row],[Smoking Prevalence Associated with Intervention: Females]]</f>
        <v>41849.713068046462</v>
      </c>
      <c r="Q174" s="142">
        <f t="shared" si="34"/>
        <v>49045533.772251695</v>
      </c>
      <c r="R174" s="142">
        <f t="shared" si="35"/>
        <v>3477711.1559546613</v>
      </c>
      <c r="S174" s="142">
        <f>Table65707[[#This Row],[Excess Presenteeism (Costs) - Intervention Scenario:
Males]]+Table65707[[#This Row],[Excess Presenteeism (Costs) - Intervention Scenario:
Females]]</f>
        <v>52523244.928206354</v>
      </c>
      <c r="T174" s="145">
        <f>Table65707[[#This Row],[Excess Presenteeism (Costs):
Males]]-Table65707[[#This Row],[Excess Presenteeism (Costs) - Intervention Scenario:
Males]]</f>
        <v>19946828.695748314</v>
      </c>
      <c r="U174" s="145">
        <f>Table65707[[#This Row],[Excess Presenteeism (Costs):
Females]]-Table65707[[#This Row],[Excess Presenteeism (Costs) - Intervention Scenario:
Females]]</f>
        <v>1414385.8440453387</v>
      </c>
      <c r="V174" s="145">
        <f>Table65707[[#This Row],[Excess Presenteeism (Costs):
Total]]-Table65707[[#This Row],[Excess Presenteeism (Costs) - Intervention Scenario:
Total]]</f>
        <v>21361214.539793655</v>
      </c>
    </row>
    <row r="175" spans="2:22" customFormat="1">
      <c r="B175" s="55">
        <v>6</v>
      </c>
      <c r="C175" s="126">
        <f t="shared" si="30"/>
        <v>938900</v>
      </c>
      <c r="D175" s="126">
        <f t="shared" si="31"/>
        <v>841000</v>
      </c>
      <c r="E175" s="122">
        <f t="shared" si="32"/>
        <v>0.56999999999999995</v>
      </c>
      <c r="F175" s="122">
        <f t="shared" si="33"/>
        <v>7.0000000000000007E-2</v>
      </c>
      <c r="G175" s="126">
        <f>Table65707[[#This Row],[Employed Persons:
Males]]*Table65707[[#This Row],[Smoking Prevalence:
Males]]</f>
        <v>535173</v>
      </c>
      <c r="H175" s="126">
        <f>Table65707[[#This Row],[Employed Persons:
Females]]*Table65707[[#This Row],[Smoking Prevalence:
Females]]</f>
        <v>58870.000000000007</v>
      </c>
      <c r="I175" s="51">
        <f>$C$10*Table65707[[#This Row],[Employed Smokers:
Males]]*D$27</f>
        <v>68992362.46800001</v>
      </c>
      <c r="J175" s="15">
        <f>$C$10*Table65707[[#This Row],[Employed Smokers:
Females]]*E$27</f>
        <v>4892097</v>
      </c>
      <c r="K175" s="15">
        <f>Table65707[[#This Row],[Excess Presenteeism (Costs):
Males]]+Table65707[[#This Row],[Excess Presenteeism (Costs):
Females]]</f>
        <v>73884459.46800001</v>
      </c>
      <c r="L175" s="132">
        <v>-1.2411482254697298E-2</v>
      </c>
      <c r="M175" s="136">
        <f>M174*(1+Table65707[[#This Row],[Relative Change in Smoking Prevalence:
Increase Cigarette Taxes]])</f>
        <v>0.40017443137854225</v>
      </c>
      <c r="N175" s="136">
        <f>N174*(1+Table65707[[#This Row],[Relative Change in Smoking Prevalence:
Increase Cigarette Taxes]])</f>
        <v>4.914422841490871E-2</v>
      </c>
      <c r="O175" s="139">
        <f>Table65707[[#This Row],[Employed Persons:
Males]]*Table65707[[#This Row],[Smoking Prevalence Associated with Intervention: Males]]</f>
        <v>375723.77362131333</v>
      </c>
      <c r="P175" s="139">
        <f>Table65707[[#This Row],[Employed Persons:
Females]]*Table65707[[#This Row],[Smoking Prevalence Associated with Intervention: Females]]</f>
        <v>41330.296096938226</v>
      </c>
      <c r="Q175" s="142">
        <f t="shared" si="34"/>
        <v>48436806.000165232</v>
      </c>
      <c r="R175" s="142">
        <f t="shared" si="35"/>
        <v>3434547.6056555663</v>
      </c>
      <c r="S175" s="142">
        <f>Table65707[[#This Row],[Excess Presenteeism (Costs) - Intervention Scenario:
Males]]+Table65707[[#This Row],[Excess Presenteeism (Costs) - Intervention Scenario:
Females]]</f>
        <v>51871353.605820797</v>
      </c>
      <c r="T175" s="145">
        <f>Table65707[[#This Row],[Excess Presenteeism (Costs):
Males]]-Table65707[[#This Row],[Excess Presenteeism (Costs) - Intervention Scenario:
Males]]</f>
        <v>20555556.467834778</v>
      </c>
      <c r="U175" s="145">
        <f>Table65707[[#This Row],[Excess Presenteeism (Costs):
Females]]-Table65707[[#This Row],[Excess Presenteeism (Costs) - Intervention Scenario:
Females]]</f>
        <v>1457549.3943444337</v>
      </c>
      <c r="V175" s="145">
        <f>Table65707[[#This Row],[Excess Presenteeism (Costs):
Total]]-Table65707[[#This Row],[Excess Presenteeism (Costs) - Intervention Scenario:
Total]]</f>
        <v>22013105.862179212</v>
      </c>
    </row>
    <row r="176" spans="2:22" customFormat="1">
      <c r="B176" s="54">
        <v>7</v>
      </c>
      <c r="C176" s="125">
        <f t="shared" si="30"/>
        <v>938900</v>
      </c>
      <c r="D176" s="125">
        <f t="shared" si="31"/>
        <v>841000</v>
      </c>
      <c r="E176" s="121">
        <f t="shared" si="32"/>
        <v>0.56999999999999995</v>
      </c>
      <c r="F176" s="121">
        <f t="shared" si="33"/>
        <v>7.0000000000000007E-2</v>
      </c>
      <c r="G176" s="125">
        <f>Table65707[[#This Row],[Employed Persons:
Males]]*Table65707[[#This Row],[Smoking Prevalence:
Males]]</f>
        <v>535173</v>
      </c>
      <c r="H176" s="125">
        <f>Table65707[[#This Row],[Employed Persons:
Females]]*Table65707[[#This Row],[Smoking Prevalence:
Females]]</f>
        <v>58870.000000000007</v>
      </c>
      <c r="I176" s="50">
        <f>$C$10*Table65707[[#This Row],[Employed Smokers:
Males]]*D$27</f>
        <v>68992362.46800001</v>
      </c>
      <c r="J176" s="15">
        <f>$C$10*Table65707[[#This Row],[Employed Smokers:
Females]]*E$27</f>
        <v>4892097</v>
      </c>
      <c r="K176" s="15">
        <f>Table65707[[#This Row],[Excess Presenteeism (Costs):
Males]]+Table65707[[#This Row],[Excess Presenteeism (Costs):
Females]]</f>
        <v>73884459.46800001</v>
      </c>
      <c r="L176" s="132">
        <v>-1.2411482254697298E-2</v>
      </c>
      <c r="M176" s="136">
        <f>M175*(1+Table65707[[#This Row],[Relative Change in Smoking Prevalence:
Increase Cigarette Taxes]])</f>
        <v>0.39520767352470387</v>
      </c>
      <c r="N176" s="136">
        <f>N175*(1+Table65707[[#This Row],[Relative Change in Smoking Prevalence:
Increase Cigarette Taxes]])</f>
        <v>4.8534275696016274E-2</v>
      </c>
      <c r="O176" s="139">
        <f>Table65707[[#This Row],[Employed Persons:
Males]]*Table65707[[#This Row],[Smoking Prevalence Associated with Intervention: Males]]</f>
        <v>371060.48467234446</v>
      </c>
      <c r="P176" s="139">
        <f>Table65707[[#This Row],[Employed Persons:
Females]]*Table65707[[#This Row],[Smoking Prevalence Associated with Intervention: Females]]</f>
        <v>40817.325860349687</v>
      </c>
      <c r="Q176" s="142">
        <f t="shared" si="34"/>
        <v>47835633.442019962</v>
      </c>
      <c r="R176" s="142">
        <f t="shared" si="35"/>
        <v>3391919.778995059</v>
      </c>
      <c r="S176" s="142">
        <f>Table65707[[#This Row],[Excess Presenteeism (Costs) - Intervention Scenario:
Males]]+Table65707[[#This Row],[Excess Presenteeism (Costs) - Intervention Scenario:
Females]]</f>
        <v>51227553.221015021</v>
      </c>
      <c r="T176" s="145">
        <f>Table65707[[#This Row],[Excess Presenteeism (Costs):
Males]]-Table65707[[#This Row],[Excess Presenteeism (Costs) - Intervention Scenario:
Males]]</f>
        <v>21156729.025980048</v>
      </c>
      <c r="U176" s="145">
        <f>Table65707[[#This Row],[Excess Presenteeism (Costs):
Females]]-Table65707[[#This Row],[Excess Presenteeism (Costs) - Intervention Scenario:
Females]]</f>
        <v>1500177.221004941</v>
      </c>
      <c r="V176" s="145">
        <f>Table65707[[#This Row],[Excess Presenteeism (Costs):
Total]]-Table65707[[#This Row],[Excess Presenteeism (Costs) - Intervention Scenario:
Total]]</f>
        <v>22656906.246984988</v>
      </c>
    </row>
    <row r="177" spans="2:22" customFormat="1">
      <c r="B177" s="55">
        <v>8</v>
      </c>
      <c r="C177" s="126">
        <f t="shared" si="30"/>
        <v>938900</v>
      </c>
      <c r="D177" s="126">
        <f t="shared" si="31"/>
        <v>841000</v>
      </c>
      <c r="E177" s="122">
        <f t="shared" si="32"/>
        <v>0.56999999999999995</v>
      </c>
      <c r="F177" s="122">
        <f t="shared" si="33"/>
        <v>7.0000000000000007E-2</v>
      </c>
      <c r="G177" s="126">
        <f>Table65707[[#This Row],[Employed Persons:
Males]]*Table65707[[#This Row],[Smoking Prevalence:
Males]]</f>
        <v>535173</v>
      </c>
      <c r="H177" s="126">
        <f>Table65707[[#This Row],[Employed Persons:
Females]]*Table65707[[#This Row],[Smoking Prevalence:
Females]]</f>
        <v>58870.000000000007</v>
      </c>
      <c r="I177" s="51">
        <f>$C$10*Table65707[[#This Row],[Employed Smokers:
Males]]*D$27</f>
        <v>68992362.46800001</v>
      </c>
      <c r="J177" s="15">
        <f>$C$10*Table65707[[#This Row],[Employed Smokers:
Females]]*E$27</f>
        <v>4892097</v>
      </c>
      <c r="K177" s="15">
        <f>Table65707[[#This Row],[Excess Presenteeism (Costs):
Males]]+Table65707[[#This Row],[Excess Presenteeism (Costs):
Females]]</f>
        <v>73884459.46800001</v>
      </c>
      <c r="L177" s="132">
        <v>-1.2411482254697298E-2</v>
      </c>
      <c r="M177" s="136">
        <f>M176*(1+Table65707[[#This Row],[Relative Change in Smoking Prevalence:
Increase Cigarette Taxes]])</f>
        <v>0.3903025604978318</v>
      </c>
      <c r="N177" s="136">
        <f>N176*(1+Table65707[[#This Row],[Relative Change in Smoking Prevalence:
Increase Cigarette Taxes]])</f>
        <v>4.7931893394470577E-2</v>
      </c>
      <c r="O177" s="139">
        <f>Table65707[[#This Row],[Employed Persons:
Males]]*Table65707[[#This Row],[Smoking Prevalence Associated with Intervention: Males]]</f>
        <v>366455.07405141427</v>
      </c>
      <c r="P177" s="139">
        <f>Table65707[[#This Row],[Employed Persons:
Females]]*Table65707[[#This Row],[Smoking Prevalence Associated with Intervention: Females]]</f>
        <v>40310.722344749753</v>
      </c>
      <c r="Q177" s="142">
        <f t="shared" si="34"/>
        <v>47241922.326412126</v>
      </c>
      <c r="R177" s="142">
        <f t="shared" si="35"/>
        <v>3349821.0268487046</v>
      </c>
      <c r="S177" s="142">
        <f>Table65707[[#This Row],[Excess Presenteeism (Costs) - Intervention Scenario:
Males]]+Table65707[[#This Row],[Excess Presenteeism (Costs) - Intervention Scenario:
Females]]</f>
        <v>50591743.35326083</v>
      </c>
      <c r="T177" s="145">
        <f>Table65707[[#This Row],[Excess Presenteeism (Costs):
Males]]-Table65707[[#This Row],[Excess Presenteeism (Costs) - Intervention Scenario:
Males]]</f>
        <v>21750440.141587883</v>
      </c>
      <c r="U177" s="145">
        <f>Table65707[[#This Row],[Excess Presenteeism (Costs):
Females]]-Table65707[[#This Row],[Excess Presenteeism (Costs) - Intervention Scenario:
Females]]</f>
        <v>1542275.9731512954</v>
      </c>
      <c r="V177" s="145">
        <f>Table65707[[#This Row],[Excess Presenteeism (Costs):
Total]]-Table65707[[#This Row],[Excess Presenteeism (Costs) - Intervention Scenario:
Total]]</f>
        <v>23292716.11473918</v>
      </c>
    </row>
    <row r="178" spans="2:22" customFormat="1">
      <c r="B178" s="54">
        <v>9</v>
      </c>
      <c r="C178" s="125">
        <f t="shared" si="30"/>
        <v>938900</v>
      </c>
      <c r="D178" s="125">
        <f t="shared" si="31"/>
        <v>841000</v>
      </c>
      <c r="E178" s="121">
        <f t="shared" si="32"/>
        <v>0.56999999999999995</v>
      </c>
      <c r="F178" s="121">
        <f t="shared" si="33"/>
        <v>7.0000000000000007E-2</v>
      </c>
      <c r="G178" s="125">
        <f>Table65707[[#This Row],[Employed Persons:
Males]]*Table65707[[#This Row],[Smoking Prevalence:
Males]]</f>
        <v>535173</v>
      </c>
      <c r="H178" s="125">
        <f>Table65707[[#This Row],[Employed Persons:
Females]]*Table65707[[#This Row],[Smoking Prevalence:
Females]]</f>
        <v>58870.000000000007</v>
      </c>
      <c r="I178" s="50">
        <f>$C$10*Table65707[[#This Row],[Employed Smokers:
Males]]*D$27</f>
        <v>68992362.46800001</v>
      </c>
      <c r="J178" s="15">
        <f>$C$10*Table65707[[#This Row],[Employed Smokers:
Females]]*E$27</f>
        <v>4892097</v>
      </c>
      <c r="K178" s="15">
        <f>Table65707[[#This Row],[Excess Presenteeism (Costs):
Males]]+Table65707[[#This Row],[Excess Presenteeism (Costs):
Females]]</f>
        <v>73884459.46800001</v>
      </c>
      <c r="L178" s="132">
        <v>-1.2411482254697298E-2</v>
      </c>
      <c r="M178" s="136">
        <f>M177*(1+Table65707[[#This Row],[Relative Change in Smoking Prevalence:
Increase Cigarette Taxes]])</f>
        <v>0.38545832719424999</v>
      </c>
      <c r="N178" s="136">
        <f>N177*(1+Table65707[[#This Row],[Relative Change in Smoking Prevalence:
Increase Cigarette Taxes]])</f>
        <v>4.7336987550171059E-2</v>
      </c>
      <c r="O178" s="139">
        <f>Table65707[[#This Row],[Employed Persons:
Males]]*Table65707[[#This Row],[Smoking Prevalence Associated with Intervention: Males]]</f>
        <v>361906.82340268133</v>
      </c>
      <c r="P178" s="139">
        <f>Table65707[[#This Row],[Employed Persons:
Females]]*Table65707[[#This Row],[Smoking Prevalence Associated with Intervention: Females]]</f>
        <v>39810.406529693857</v>
      </c>
      <c r="Q178" s="142">
        <f t="shared" si="34"/>
        <v>46655580.04578007</v>
      </c>
      <c r="R178" s="142">
        <f t="shared" si="35"/>
        <v>3308244.7826175597</v>
      </c>
      <c r="S178" s="142">
        <f>Table65707[[#This Row],[Excess Presenteeism (Costs) - Intervention Scenario:
Males]]+Table65707[[#This Row],[Excess Presenteeism (Costs) - Intervention Scenario:
Females]]</f>
        <v>49963824.828397632</v>
      </c>
      <c r="T178" s="145">
        <f>Table65707[[#This Row],[Excess Presenteeism (Costs):
Males]]-Table65707[[#This Row],[Excess Presenteeism (Costs) - Intervention Scenario:
Males]]</f>
        <v>22336782.42221994</v>
      </c>
      <c r="U178" s="145">
        <f>Table65707[[#This Row],[Excess Presenteeism (Costs):
Females]]-Table65707[[#This Row],[Excess Presenteeism (Costs) - Intervention Scenario:
Females]]</f>
        <v>1583852.2173824403</v>
      </c>
      <c r="V178" s="145">
        <f>Table65707[[#This Row],[Excess Presenteeism (Costs):
Total]]-Table65707[[#This Row],[Excess Presenteeism (Costs) - Intervention Scenario:
Total]]</f>
        <v>23920634.639602378</v>
      </c>
    </row>
    <row r="179" spans="2:22" customFormat="1">
      <c r="B179" s="55">
        <v>10</v>
      </c>
      <c r="C179" s="126">
        <f t="shared" si="30"/>
        <v>938900</v>
      </c>
      <c r="D179" s="126">
        <f t="shared" si="31"/>
        <v>841000</v>
      </c>
      <c r="E179" s="122">
        <f t="shared" si="32"/>
        <v>0.56999999999999995</v>
      </c>
      <c r="F179" s="122">
        <f t="shared" si="33"/>
        <v>7.0000000000000007E-2</v>
      </c>
      <c r="G179" s="126">
        <f>Table65707[[#This Row],[Employed Persons:
Males]]*Table65707[[#This Row],[Smoking Prevalence:
Males]]</f>
        <v>535173</v>
      </c>
      <c r="H179" s="126">
        <f>Table65707[[#This Row],[Employed Persons:
Females]]*Table65707[[#This Row],[Smoking Prevalence:
Females]]</f>
        <v>58870.000000000007</v>
      </c>
      <c r="I179" s="51">
        <f>$C$10*Table65707[[#This Row],[Employed Smokers:
Males]]*D$27</f>
        <v>68992362.46800001</v>
      </c>
      <c r="J179" s="15">
        <f>$C$10*Table65707[[#This Row],[Employed Smokers:
Females]]*E$27</f>
        <v>4892097</v>
      </c>
      <c r="K179" s="15">
        <f>Table65707[[#This Row],[Excess Presenteeism (Costs):
Males]]+Table65707[[#This Row],[Excess Presenteeism (Costs):
Females]]</f>
        <v>73884459.46800001</v>
      </c>
      <c r="L179" s="132">
        <v>-1.2411482254697298E-2</v>
      </c>
      <c r="M179" s="136">
        <f>M178*(1+Table65707[[#This Row],[Relative Change in Smoking Prevalence:
Increase Cigarette Taxes]])</f>
        <v>0.38067421800635326</v>
      </c>
      <c r="N179" s="136">
        <f>N178*(1+Table65707[[#This Row],[Relative Change in Smoking Prevalence:
Increase Cigarette Taxes]])</f>
        <v>4.6749465369201285E-2</v>
      </c>
      <c r="O179" s="139">
        <f>Table65707[[#This Row],[Employed Persons:
Males]]*Table65707[[#This Row],[Smoking Prevalence Associated with Intervention: Males]]</f>
        <v>357415.02328616509</v>
      </c>
      <c r="P179" s="139">
        <f>Table65707[[#This Row],[Employed Persons:
Females]]*Table65707[[#This Row],[Smoking Prevalence Associated with Intervention: Females]]</f>
        <v>39316.300375498278</v>
      </c>
      <c r="Q179" s="142">
        <f t="shared" si="34"/>
        <v>46076515.141959265</v>
      </c>
      <c r="R179" s="142">
        <f t="shared" si="35"/>
        <v>3267184.5612039072</v>
      </c>
      <c r="S179" s="142">
        <f>Table65707[[#This Row],[Excess Presenteeism (Costs) - Intervention Scenario:
Males]]+Table65707[[#This Row],[Excess Presenteeism (Costs) - Intervention Scenario:
Females]]</f>
        <v>49343699.703163169</v>
      </c>
      <c r="T179" s="145">
        <f>Table65707[[#This Row],[Excess Presenteeism (Costs):
Males]]-Table65707[[#This Row],[Excess Presenteeism (Costs) - Intervention Scenario:
Males]]</f>
        <v>22915847.326040745</v>
      </c>
      <c r="U179" s="145">
        <f>Table65707[[#This Row],[Excess Presenteeism (Costs):
Females]]-Table65707[[#This Row],[Excess Presenteeism (Costs) - Intervention Scenario:
Females]]</f>
        <v>1624912.4387960928</v>
      </c>
      <c r="V179" s="145">
        <f>Table65707[[#This Row],[Excess Presenteeism (Costs):
Total]]-Table65707[[#This Row],[Excess Presenteeism (Costs) - Intervention Scenario:
Total]]</f>
        <v>24540759.76483684</v>
      </c>
    </row>
    <row r="180" spans="2:22" customFormat="1">
      <c r="B180" s="54">
        <v>11</v>
      </c>
      <c r="C180" s="125">
        <f t="shared" si="30"/>
        <v>938900</v>
      </c>
      <c r="D180" s="125">
        <f t="shared" si="31"/>
        <v>841000</v>
      </c>
      <c r="E180" s="121">
        <f t="shared" si="32"/>
        <v>0.56999999999999995</v>
      </c>
      <c r="F180" s="121">
        <f t="shared" si="33"/>
        <v>7.0000000000000007E-2</v>
      </c>
      <c r="G180" s="125">
        <f>Table65707[[#This Row],[Employed Persons:
Males]]*Table65707[[#This Row],[Smoking Prevalence:
Males]]</f>
        <v>535173</v>
      </c>
      <c r="H180" s="125">
        <f>Table65707[[#This Row],[Employed Persons:
Females]]*Table65707[[#This Row],[Smoking Prevalence:
Females]]</f>
        <v>58870.000000000007</v>
      </c>
      <c r="I180" s="50">
        <f>$C$10*Table65707[[#This Row],[Employed Smokers:
Males]]*D$27</f>
        <v>68992362.46800001</v>
      </c>
      <c r="J180" s="15">
        <f>$C$10*Table65707[[#This Row],[Employed Smokers:
Females]]*E$27</f>
        <v>4892097</v>
      </c>
      <c r="K180" s="15">
        <f>Table65707[[#This Row],[Excess Presenteeism (Costs):
Males]]+Table65707[[#This Row],[Excess Presenteeism (Costs):
Females]]</f>
        <v>73884459.46800001</v>
      </c>
      <c r="L180" s="132">
        <v>-1.2411482254697298E-2</v>
      </c>
      <c r="M180" s="136">
        <f>M179*(1+Table65707[[#This Row],[Relative Change in Smoking Prevalence:
Increase Cigarette Taxes]])</f>
        <v>0.37594948670474659</v>
      </c>
      <c r="N180" s="136">
        <f>N179*(1+Table65707[[#This Row],[Relative Change in Smoking Prevalence:
Increase Cigarette Taxes]])</f>
        <v>4.6169235209354856E-2</v>
      </c>
      <c r="O180" s="139">
        <f>Table65707[[#This Row],[Employed Persons:
Males]]*Table65707[[#This Row],[Smoking Prevalence Associated with Intervention: Males]]</f>
        <v>352978.9730670866</v>
      </c>
      <c r="P180" s="139">
        <f>Table65707[[#This Row],[Employed Persons:
Females]]*Table65707[[#This Row],[Smoking Prevalence Associated with Intervention: Females]]</f>
        <v>38828.326811067433</v>
      </c>
      <c r="Q180" s="142">
        <f t="shared" si="34"/>
        <v>45504637.291916534</v>
      </c>
      <c r="R180" s="142">
        <f t="shared" si="35"/>
        <v>3226633.9579997035</v>
      </c>
      <c r="S180" s="142">
        <f>Table65707[[#This Row],[Excess Presenteeism (Costs) - Intervention Scenario:
Males]]+Table65707[[#This Row],[Excess Presenteeism (Costs) - Intervention Scenario:
Females]]</f>
        <v>48731271.249916241</v>
      </c>
      <c r="T180" s="145">
        <f>Table65707[[#This Row],[Excess Presenteeism (Costs):
Males]]-Table65707[[#This Row],[Excess Presenteeism (Costs) - Intervention Scenario:
Males]]</f>
        <v>23487725.176083475</v>
      </c>
      <c r="U180" s="145">
        <f>Table65707[[#This Row],[Excess Presenteeism (Costs):
Females]]-Table65707[[#This Row],[Excess Presenteeism (Costs) - Intervention Scenario:
Females]]</f>
        <v>1665463.0420002965</v>
      </c>
      <c r="V180" s="145">
        <f>Table65707[[#This Row],[Excess Presenteeism (Costs):
Total]]-Table65707[[#This Row],[Excess Presenteeism (Costs) - Intervention Scenario:
Total]]</f>
        <v>25153188.218083769</v>
      </c>
    </row>
    <row r="181" spans="2:22" customFormat="1">
      <c r="B181" s="55">
        <v>12</v>
      </c>
      <c r="C181" s="126">
        <f t="shared" si="30"/>
        <v>938900</v>
      </c>
      <c r="D181" s="126">
        <f t="shared" si="31"/>
        <v>841000</v>
      </c>
      <c r="E181" s="122">
        <f t="shared" si="32"/>
        <v>0.56999999999999995</v>
      </c>
      <c r="F181" s="122">
        <f t="shared" si="33"/>
        <v>7.0000000000000007E-2</v>
      </c>
      <c r="G181" s="126">
        <f>Table65707[[#This Row],[Employed Persons:
Males]]*Table65707[[#This Row],[Smoking Prevalence:
Males]]</f>
        <v>535173</v>
      </c>
      <c r="H181" s="126">
        <f>Table65707[[#This Row],[Employed Persons:
Females]]*Table65707[[#This Row],[Smoking Prevalence:
Females]]</f>
        <v>58870.000000000007</v>
      </c>
      <c r="I181" s="51">
        <f>$C$10*Table65707[[#This Row],[Employed Smokers:
Males]]*D$27</f>
        <v>68992362.46800001</v>
      </c>
      <c r="J181" s="15">
        <f>$C$10*Table65707[[#This Row],[Employed Smokers:
Females]]*E$27</f>
        <v>4892097</v>
      </c>
      <c r="K181" s="15">
        <f>Table65707[[#This Row],[Excess Presenteeism (Costs):
Males]]+Table65707[[#This Row],[Excess Presenteeism (Costs):
Females]]</f>
        <v>73884459.46800001</v>
      </c>
      <c r="L181" s="132">
        <v>-1.2411482254697298E-2</v>
      </c>
      <c r="M181" s="136">
        <f>M180*(1+Table65707[[#This Row],[Relative Change in Smoking Prevalence:
Increase Cigarette Taxes]])</f>
        <v>0.37128339632184804</v>
      </c>
      <c r="N181" s="136">
        <f>N180*(1+Table65707[[#This Row],[Relative Change in Smoking Prevalence:
Increase Cigarette Taxes]])</f>
        <v>4.5596206565840999E-2</v>
      </c>
      <c r="O181" s="139">
        <f>Table65707[[#This Row],[Employed Persons:
Males]]*Table65707[[#This Row],[Smoking Prevalence Associated with Intervention: Males]]</f>
        <v>348597.98080658313</v>
      </c>
      <c r="P181" s="139">
        <f>Table65707[[#This Row],[Employed Persons:
Females]]*Table65707[[#This Row],[Smoking Prevalence Associated with Intervention: Females]]</f>
        <v>38346.409721872282</v>
      </c>
      <c r="Q181" s="142">
        <f t="shared" si="34"/>
        <v>44939857.293661475</v>
      </c>
      <c r="R181" s="142">
        <f t="shared" si="35"/>
        <v>3186586.6478875866</v>
      </c>
      <c r="S181" s="142">
        <f>Table65707[[#This Row],[Excess Presenteeism (Costs) - Intervention Scenario:
Males]]+Table65707[[#This Row],[Excess Presenteeism (Costs) - Intervention Scenario:
Females]]</f>
        <v>48126443.941549063</v>
      </c>
      <c r="T181" s="145">
        <f>Table65707[[#This Row],[Excess Presenteeism (Costs):
Males]]-Table65707[[#This Row],[Excess Presenteeism (Costs) - Intervention Scenario:
Males]]</f>
        <v>24052505.174338534</v>
      </c>
      <c r="U181" s="145">
        <f>Table65707[[#This Row],[Excess Presenteeism (Costs):
Females]]-Table65707[[#This Row],[Excess Presenteeism (Costs) - Intervention Scenario:
Females]]</f>
        <v>1705510.3521124134</v>
      </c>
      <c r="V181" s="145">
        <f>Table65707[[#This Row],[Excess Presenteeism (Costs):
Total]]-Table65707[[#This Row],[Excess Presenteeism (Costs) - Intervention Scenario:
Total]]</f>
        <v>25758015.526450947</v>
      </c>
    </row>
    <row r="182" spans="2:22" customFormat="1">
      <c r="B182" s="54">
        <v>13</v>
      </c>
      <c r="C182" s="125">
        <f t="shared" si="30"/>
        <v>938900</v>
      </c>
      <c r="D182" s="125">
        <f t="shared" si="31"/>
        <v>841000</v>
      </c>
      <c r="E182" s="121">
        <f t="shared" si="32"/>
        <v>0.56999999999999995</v>
      </c>
      <c r="F182" s="121">
        <f t="shared" si="33"/>
        <v>7.0000000000000007E-2</v>
      </c>
      <c r="G182" s="125">
        <f>Table65707[[#This Row],[Employed Persons:
Males]]*Table65707[[#This Row],[Smoking Prevalence:
Males]]</f>
        <v>535173</v>
      </c>
      <c r="H182" s="125">
        <f>Table65707[[#This Row],[Employed Persons:
Females]]*Table65707[[#This Row],[Smoking Prevalence:
Females]]</f>
        <v>58870.000000000007</v>
      </c>
      <c r="I182" s="50">
        <f>$C$10*Table65707[[#This Row],[Employed Smokers:
Males]]*D$27</f>
        <v>68992362.46800001</v>
      </c>
      <c r="J182" s="15">
        <f>$C$10*Table65707[[#This Row],[Employed Smokers:
Females]]*E$27</f>
        <v>4892097</v>
      </c>
      <c r="K182" s="15">
        <f>Table65707[[#This Row],[Excess Presenteeism (Costs):
Males]]+Table65707[[#This Row],[Excess Presenteeism (Costs):
Females]]</f>
        <v>73884459.46800001</v>
      </c>
      <c r="L182" s="132">
        <v>-1.2411482254697298E-2</v>
      </c>
      <c r="M182" s="136">
        <f>M181*(1+Table65707[[#This Row],[Relative Change in Smoking Prevalence:
Increase Cigarette Taxes]])</f>
        <v>0.36667521903693567</v>
      </c>
      <c r="N182" s="136">
        <f>N181*(1+Table65707[[#This Row],[Relative Change in Smoking Prevalence:
Increase Cigarette Taxes]])</f>
        <v>4.5030290057167549E-2</v>
      </c>
      <c r="O182" s="139">
        <f>Table65707[[#This Row],[Employed Persons:
Males]]*Table65707[[#This Row],[Smoking Prevalence Associated with Intervention: Males]]</f>
        <v>344271.36315377889</v>
      </c>
      <c r="P182" s="139">
        <f>Table65707[[#This Row],[Employed Persons:
Females]]*Table65707[[#This Row],[Smoking Prevalence Associated with Intervention: Females]]</f>
        <v>37870.473938077906</v>
      </c>
      <c r="Q182" s="142">
        <f t="shared" si="34"/>
        <v>44382087.052332558</v>
      </c>
      <c r="R182" s="142">
        <f t="shared" si="35"/>
        <v>3147036.384254274</v>
      </c>
      <c r="S182" s="142">
        <f>Table65707[[#This Row],[Excess Presenteeism (Costs) - Intervention Scenario:
Males]]+Table65707[[#This Row],[Excess Presenteeism (Costs) - Intervention Scenario:
Females]]</f>
        <v>47529123.436586834</v>
      </c>
      <c r="T182" s="145">
        <f>Table65707[[#This Row],[Excess Presenteeism (Costs):
Males]]-Table65707[[#This Row],[Excess Presenteeism (Costs) - Intervention Scenario:
Males]]</f>
        <v>24610275.415667452</v>
      </c>
      <c r="U182" s="145">
        <f>Table65707[[#This Row],[Excess Presenteeism (Costs):
Females]]-Table65707[[#This Row],[Excess Presenteeism (Costs) - Intervention Scenario:
Females]]</f>
        <v>1745060.615745726</v>
      </c>
      <c r="V182" s="145">
        <f>Table65707[[#This Row],[Excess Presenteeism (Costs):
Total]]-Table65707[[#This Row],[Excess Presenteeism (Costs) - Intervention Scenario:
Total]]</f>
        <v>26355336.031413175</v>
      </c>
    </row>
    <row r="183" spans="2:22" customFormat="1">
      <c r="B183" s="55">
        <v>14</v>
      </c>
      <c r="C183" s="126">
        <f t="shared" si="30"/>
        <v>938900</v>
      </c>
      <c r="D183" s="126">
        <f t="shared" si="31"/>
        <v>841000</v>
      </c>
      <c r="E183" s="122">
        <f t="shared" si="32"/>
        <v>0.56999999999999995</v>
      </c>
      <c r="F183" s="122">
        <f t="shared" si="33"/>
        <v>7.0000000000000007E-2</v>
      </c>
      <c r="G183" s="126">
        <f>Table65707[[#This Row],[Employed Persons:
Males]]*Table65707[[#This Row],[Smoking Prevalence:
Males]]</f>
        <v>535173</v>
      </c>
      <c r="H183" s="126">
        <f>Table65707[[#This Row],[Employed Persons:
Females]]*Table65707[[#This Row],[Smoking Prevalence:
Females]]</f>
        <v>58870.000000000007</v>
      </c>
      <c r="I183" s="51">
        <f>$C$10*Table65707[[#This Row],[Employed Smokers:
Males]]*D$27</f>
        <v>68992362.46800001</v>
      </c>
      <c r="J183" s="15">
        <f>$C$10*Table65707[[#This Row],[Employed Smokers:
Females]]*E$27</f>
        <v>4892097</v>
      </c>
      <c r="K183" s="15">
        <f>Table65707[[#This Row],[Excess Presenteeism (Costs):
Males]]+Table65707[[#This Row],[Excess Presenteeism (Costs):
Females]]</f>
        <v>73884459.46800001</v>
      </c>
      <c r="L183" s="132">
        <v>-1.2411482254697298E-2</v>
      </c>
      <c r="M183" s="136">
        <f>M182*(1+Table65707[[#This Row],[Relative Change in Smoking Prevalence:
Increase Cigarette Taxes]])</f>
        <v>0.36212423606262151</v>
      </c>
      <c r="N183" s="136">
        <f>N182*(1+Table65707[[#This Row],[Relative Change in Smoking Prevalence:
Increase Cigarette Taxes]])</f>
        <v>4.447139741119914E-2</v>
      </c>
      <c r="O183" s="139">
        <f>Table65707[[#This Row],[Employed Persons:
Males]]*Table65707[[#This Row],[Smoking Prevalence Associated with Intervention: Males]]</f>
        <v>339998.44523919531</v>
      </c>
      <c r="P183" s="139">
        <f>Table65707[[#This Row],[Employed Persons:
Females]]*Table65707[[#This Row],[Smoking Prevalence Associated with Intervention: Females]]</f>
        <v>37400.445222818475</v>
      </c>
      <c r="Q183" s="142">
        <f t="shared" si="34"/>
        <v>43831239.566456109</v>
      </c>
      <c r="R183" s="142">
        <f t="shared" si="35"/>
        <v>3107976.9980162149</v>
      </c>
      <c r="S183" s="142">
        <f>Table65707[[#This Row],[Excess Presenteeism (Costs) - Intervention Scenario:
Males]]+Table65707[[#This Row],[Excess Presenteeism (Costs) - Intervention Scenario:
Females]]</f>
        <v>46939216.564472325</v>
      </c>
      <c r="T183" s="145">
        <f>Table65707[[#This Row],[Excess Presenteeism (Costs):
Males]]-Table65707[[#This Row],[Excess Presenteeism (Costs) - Intervention Scenario:
Males]]</f>
        <v>25161122.9015439</v>
      </c>
      <c r="U183" s="145">
        <f>Table65707[[#This Row],[Excess Presenteeism (Costs):
Females]]-Table65707[[#This Row],[Excess Presenteeism (Costs) - Intervention Scenario:
Females]]</f>
        <v>1784120.0019837851</v>
      </c>
      <c r="V183" s="145">
        <f>Table65707[[#This Row],[Excess Presenteeism (Costs):
Total]]-Table65707[[#This Row],[Excess Presenteeism (Costs) - Intervention Scenario:
Total]]</f>
        <v>26945242.903527685</v>
      </c>
    </row>
    <row r="184" spans="2:22" customFormat="1">
      <c r="B184" s="56">
        <v>15</v>
      </c>
      <c r="C184" s="127">
        <f t="shared" si="30"/>
        <v>938900</v>
      </c>
      <c r="D184" s="127">
        <f t="shared" si="31"/>
        <v>841000</v>
      </c>
      <c r="E184" s="123">
        <f t="shared" si="32"/>
        <v>0.56999999999999995</v>
      </c>
      <c r="F184" s="123">
        <f t="shared" si="33"/>
        <v>7.0000000000000007E-2</v>
      </c>
      <c r="G184" s="127">
        <f>Table65707[[#This Row],[Employed Persons:
Males]]*Table65707[[#This Row],[Smoking Prevalence:
Males]]</f>
        <v>535173</v>
      </c>
      <c r="H184" s="127">
        <f>Table65707[[#This Row],[Employed Persons:
Females]]*Table65707[[#This Row],[Smoking Prevalence:
Females]]</f>
        <v>58870.000000000007</v>
      </c>
      <c r="I184" s="52">
        <f>$C$10*Table65707[[#This Row],[Employed Smokers:
Males]]*D$27</f>
        <v>68992362.46800001</v>
      </c>
      <c r="J184" s="15">
        <f>$C$10*Table65707[[#This Row],[Employed Smokers:
Females]]*E$27</f>
        <v>4892097</v>
      </c>
      <c r="K184" s="15">
        <f>Table65707[[#This Row],[Excess Presenteeism (Costs):
Males]]+Table65707[[#This Row],[Excess Presenteeism (Costs):
Females]]</f>
        <v>73884459.46800001</v>
      </c>
      <c r="L184" s="132">
        <v>-1.2411482254697298E-2</v>
      </c>
      <c r="M184" s="136">
        <f>M183*(1+Table65707[[#This Row],[Relative Change in Smoking Prevalence:
Increase Cigarette Taxes]])</f>
        <v>0.35762973753273447</v>
      </c>
      <c r="N184" s="136">
        <f>N183*(1+Table65707[[#This Row],[Relative Change in Smoking Prevalence:
Increase Cigarette Taxes]])</f>
        <v>4.3919441451388451E-2</v>
      </c>
      <c r="O184" s="139">
        <f>Table65707[[#This Row],[Employed Persons:
Males]]*Table65707[[#This Row],[Smoking Prevalence Associated with Intervention: Males]]</f>
        <v>335778.56056948437</v>
      </c>
      <c r="P184" s="139">
        <f>Table65707[[#This Row],[Employed Persons:
Females]]*Table65707[[#This Row],[Smoking Prevalence Associated with Intervention: Females]]</f>
        <v>36936.250260617686</v>
      </c>
      <c r="Q184" s="142">
        <f t="shared" si="34"/>
        <v>43287228.914375655</v>
      </c>
      <c r="R184" s="142">
        <f t="shared" si="35"/>
        <v>3069402.3966573295</v>
      </c>
      <c r="S184" s="142">
        <f>Table65707[[#This Row],[Excess Presenteeism (Costs) - Intervention Scenario:
Males]]+Table65707[[#This Row],[Excess Presenteeism (Costs) - Intervention Scenario:
Females]]</f>
        <v>46356631.311032988</v>
      </c>
      <c r="T184" s="145">
        <f>Table65707[[#This Row],[Excess Presenteeism (Costs):
Males]]-Table65707[[#This Row],[Excess Presenteeism (Costs) - Intervention Scenario:
Males]]</f>
        <v>25705133.553624354</v>
      </c>
      <c r="U184" s="145">
        <f>Table65707[[#This Row],[Excess Presenteeism (Costs):
Females]]-Table65707[[#This Row],[Excess Presenteeism (Costs) - Intervention Scenario:
Females]]</f>
        <v>1822694.6033426705</v>
      </c>
      <c r="V184" s="145">
        <f>Table65707[[#This Row],[Excess Presenteeism (Costs):
Total]]-Table65707[[#This Row],[Excess Presenteeism (Costs) - Intervention Scenario:
Total]]</f>
        <v>27527828.156967022</v>
      </c>
    </row>
    <row r="185" spans="2:22" ht="17.100000000000001" customHeight="1">
      <c r="B185" s="81"/>
    </row>
    <row r="186" spans="2:22" ht="17.100000000000001" customHeight="1">
      <c r="B186" s="81"/>
    </row>
    <row r="187" spans="2:22" ht="21">
      <c r="B187" s="81" t="s">
        <v>323</v>
      </c>
    </row>
    <row r="188" spans="2:22" ht="21">
      <c r="B188" s="81"/>
    </row>
    <row r="189" spans="2:22" ht="135">
      <c r="B189" s="71" t="s">
        <v>111</v>
      </c>
      <c r="C189" s="129" t="s">
        <v>175</v>
      </c>
      <c r="D189" s="128"/>
      <c r="E189" s="128"/>
      <c r="F189" s="128"/>
      <c r="G189" s="133" t="s">
        <v>176</v>
      </c>
      <c r="H189" s="134"/>
      <c r="I189" s="134"/>
      <c r="J189" s="134"/>
      <c r="K189" s="134"/>
      <c r="L189" s="68" t="s">
        <v>110</v>
      </c>
      <c r="M189" s="74" t="s">
        <v>177</v>
      </c>
      <c r="N189" s="70"/>
      <c r="O189" s="73" t="s">
        <v>178</v>
      </c>
      <c r="P189" s="72"/>
      <c r="Q189" s="72"/>
      <c r="R189" s="72"/>
      <c r="S189" s="72"/>
      <c r="T189" s="78" t="s">
        <v>179</v>
      </c>
      <c r="U189" s="75"/>
      <c r="V189" s="75"/>
    </row>
    <row r="191" spans="2:22" ht="69" customHeight="1" thickBot="1">
      <c r="B191" s="35" t="s">
        <v>81</v>
      </c>
      <c r="C191" s="35" t="s">
        <v>157</v>
      </c>
      <c r="D191" s="35" t="s">
        <v>158</v>
      </c>
      <c r="E191" s="35" t="s">
        <v>155</v>
      </c>
      <c r="F191" s="35" t="s">
        <v>156</v>
      </c>
      <c r="G191" s="35" t="s">
        <v>159</v>
      </c>
      <c r="H191" s="35" t="s">
        <v>160</v>
      </c>
      <c r="I191" s="34" t="s">
        <v>181</v>
      </c>
      <c r="J191" s="34" t="s">
        <v>182</v>
      </c>
      <c r="K191" s="34" t="s">
        <v>183</v>
      </c>
      <c r="L191" s="63" t="s">
        <v>246</v>
      </c>
      <c r="M191" s="135" t="s">
        <v>162</v>
      </c>
      <c r="N191" s="135" t="s">
        <v>163</v>
      </c>
      <c r="O191" s="137" t="s">
        <v>164</v>
      </c>
      <c r="P191" s="137" t="s">
        <v>165</v>
      </c>
      <c r="Q191" s="137" t="s">
        <v>184</v>
      </c>
      <c r="R191" s="137" t="s">
        <v>185</v>
      </c>
      <c r="S191" s="137" t="s">
        <v>186</v>
      </c>
      <c r="T191" s="143" t="s">
        <v>173</v>
      </c>
      <c r="U191" s="143" t="s">
        <v>172</v>
      </c>
      <c r="V191" s="143" t="s">
        <v>174</v>
      </c>
    </row>
    <row r="192" spans="2:22" ht="15.75" thickTop="1">
      <c r="B192" s="53">
        <v>0</v>
      </c>
      <c r="C192" s="124">
        <f t="shared" ref="C192:C207" si="36">$D$24</f>
        <v>938900</v>
      </c>
      <c r="D192" s="124">
        <f t="shared" ref="D192:D207" si="37">$E$24</f>
        <v>841000</v>
      </c>
      <c r="E192" s="120">
        <f t="shared" ref="E192:E207" si="38">$D$25</f>
        <v>0.56999999999999995</v>
      </c>
      <c r="F192" s="120">
        <f t="shared" ref="F192:F207" si="39">$E$25</f>
        <v>7.0000000000000007E-2</v>
      </c>
      <c r="G192" s="124">
        <f>Table6570[[#This Row],[Employed Persons:
Males]]*Table6570[[#This Row],[Smoking Prevalence:
Males]]</f>
        <v>535173</v>
      </c>
      <c r="H192" s="124">
        <f>Table6570[[#This Row],[Employed Persons:
Females]]*Table6570[[#This Row],[Smoking Prevalence:
Females]]</f>
        <v>58870.000000000007</v>
      </c>
      <c r="I192" s="49">
        <f>$C$10*Table6570[[#This Row],[Employed Smokers:
Males]]*D$27</f>
        <v>68992362.46800001</v>
      </c>
      <c r="J192" s="49">
        <f>$C$10*Table6570[[#This Row],[Employed Smokers:
Females]]*E$27</f>
        <v>4892097</v>
      </c>
      <c r="K192" s="12">
        <f>Table6570[[#This Row],[Excess Presenteeism (Costs):
Males]]+Table6570[[#This Row],[Excess Presenteeism (Costs):
Females]]</f>
        <v>73884459.46800001</v>
      </c>
      <c r="L192" s="67"/>
      <c r="M192" s="136">
        <f>Table6570[[#This Row],[Smoking Prevalence:
Males]]</f>
        <v>0.56999999999999995</v>
      </c>
      <c r="N192" s="136">
        <f>Table6570[[#This Row],[Smoking Prevalence:
Females]]</f>
        <v>7.0000000000000007E-2</v>
      </c>
      <c r="O192" s="138">
        <f>Table6570[[#This Row],[Employed Persons:
Males]]*Table6570[[#This Row],[Smoking Prevalence Associated with Intervention: Males]]</f>
        <v>535173</v>
      </c>
      <c r="P192" s="138">
        <f>Table6570[[#This Row],[Employed Persons:
Females]]*Table6570[[#This Row],[Smoking Prevalence Associated with Intervention: Females]]</f>
        <v>58870.000000000007</v>
      </c>
      <c r="Q192" s="140">
        <f t="shared" ref="Q192:Q207" si="40">$C$10*O192*D$27</f>
        <v>68992362.46800001</v>
      </c>
      <c r="R192" s="140">
        <f t="shared" ref="R192:R207" si="41">$C$10*P192*E$27</f>
        <v>4892097</v>
      </c>
      <c r="S192" s="141">
        <f>Table6570[[#This Row],[Excess Presenteeism (Costs) - Intervention Scenario:
Males]]+Table6570[[#This Row],[Excess Presenteeism (Costs) - Intervention Scenario:
Females]]</f>
        <v>73884459.46800001</v>
      </c>
      <c r="T192" s="144">
        <f>Table6570[[#This Row],[Excess Presenteeism (Costs):
Males]]-Table6570[[#This Row],[Excess Presenteeism (Costs) - Intervention Scenario:
Males]]</f>
        <v>0</v>
      </c>
      <c r="U192" s="144">
        <f>Table6570[[#This Row],[Excess Presenteeism (Costs):
Females]]-Table6570[[#This Row],[Excess Presenteeism (Costs) - Intervention Scenario:
Females]]</f>
        <v>0</v>
      </c>
      <c r="V192" s="144">
        <f>Table6570[[#This Row],[Excess Presenteeism (Costs):
Total]]-Table6570[[#This Row],[Excess Presenteeism (Costs) - Intervention Scenario:
Total]]</f>
        <v>0</v>
      </c>
    </row>
    <row r="193" spans="2:22">
      <c r="B193" s="54">
        <v>1</v>
      </c>
      <c r="C193" s="125">
        <f t="shared" si="36"/>
        <v>938900</v>
      </c>
      <c r="D193" s="125">
        <f t="shared" si="37"/>
        <v>841000</v>
      </c>
      <c r="E193" s="121">
        <f t="shared" si="38"/>
        <v>0.56999999999999995</v>
      </c>
      <c r="F193" s="121">
        <f t="shared" si="39"/>
        <v>7.0000000000000007E-2</v>
      </c>
      <c r="G193" s="125">
        <f>Table6570[[#This Row],[Employed Persons:
Males]]*Table6570[[#This Row],[Smoking Prevalence:
Males]]</f>
        <v>535173</v>
      </c>
      <c r="H193" s="125">
        <f>Table6570[[#This Row],[Employed Persons:
Females]]*Table6570[[#This Row],[Smoking Prevalence:
Females]]</f>
        <v>58870.000000000007</v>
      </c>
      <c r="I193" s="50">
        <f>$C$10*Table6570[[#This Row],[Employed Smokers:
Males]]*D$27</f>
        <v>68992362.46800001</v>
      </c>
      <c r="J193" s="12">
        <f>$C$10*Table6570[[#This Row],[Employed Smokers:
Females]]*E$27</f>
        <v>4892097</v>
      </c>
      <c r="K193" s="12">
        <f>Table6570[[#This Row],[Excess Presenteeism (Costs):
Males]]+Table6570[[#This Row],[Excess Presenteeism (Costs):
Females]]</f>
        <v>73884459.46800001</v>
      </c>
      <c r="L193" s="130">
        <v>-3.6400000000000002E-2</v>
      </c>
      <c r="M193" s="136">
        <f>M192*(1+Table6570[[#This Row],[Relative Change in Smoking Prevalence:
Increase Cigarette Taxes]])</f>
        <v>0.54925199999999996</v>
      </c>
      <c r="N193" s="136">
        <f>N192*(1+Table6570[[#This Row],[Relative Change in Smoking Prevalence:
Increase Cigarette Taxes]])</f>
        <v>6.7452000000000012E-2</v>
      </c>
      <c r="O193" s="138">
        <f>Table6570[[#This Row],[Employed Persons:
Males]]*Table6570[[#This Row],[Smoking Prevalence Associated with Intervention: Males]]</f>
        <v>515692.70279999997</v>
      </c>
      <c r="P193" s="138">
        <f>Table6570[[#This Row],[Employed Persons:
Females]]*Table6570[[#This Row],[Smoking Prevalence Associated with Intervention: Females]]</f>
        <v>56727.132000000012</v>
      </c>
      <c r="Q193" s="141">
        <f t="shared" si="40"/>
        <v>66481040.474164806</v>
      </c>
      <c r="R193" s="141">
        <f t="shared" si="41"/>
        <v>4714024.6692000013</v>
      </c>
      <c r="S193" s="141">
        <f>Table6570[[#This Row],[Excess Presenteeism (Costs) - Intervention Scenario:
Males]]+Table6570[[#This Row],[Excess Presenteeism (Costs) - Intervention Scenario:
Females]]</f>
        <v>71195065.143364802</v>
      </c>
      <c r="T193" s="144">
        <f>Table6570[[#This Row],[Excess Presenteeism (Costs):
Males]]-Table6570[[#This Row],[Excess Presenteeism (Costs) - Intervention Scenario:
Males]]</f>
        <v>2511321.9938352033</v>
      </c>
      <c r="U193" s="144">
        <f>Table6570[[#This Row],[Excess Presenteeism (Costs):
Females]]-Table6570[[#This Row],[Excess Presenteeism (Costs) - Intervention Scenario:
Females]]</f>
        <v>178072.33079999872</v>
      </c>
      <c r="V193" s="144">
        <f>Table6570[[#This Row],[Excess Presenteeism (Costs):
Total]]-Table6570[[#This Row],[Excess Presenteeism (Costs) - Intervention Scenario:
Total]]</f>
        <v>2689394.3246352077</v>
      </c>
    </row>
    <row r="194" spans="2:22">
      <c r="B194" s="55">
        <v>2</v>
      </c>
      <c r="C194" s="126">
        <f t="shared" si="36"/>
        <v>938900</v>
      </c>
      <c r="D194" s="126">
        <f t="shared" si="37"/>
        <v>841000</v>
      </c>
      <c r="E194" s="122">
        <f t="shared" si="38"/>
        <v>0.56999999999999995</v>
      </c>
      <c r="F194" s="122">
        <f t="shared" si="39"/>
        <v>7.0000000000000007E-2</v>
      </c>
      <c r="G194" s="126">
        <f>Table6570[[#This Row],[Employed Persons:
Males]]*Table6570[[#This Row],[Smoking Prevalence:
Males]]</f>
        <v>535173</v>
      </c>
      <c r="H194" s="126">
        <f>Table6570[[#This Row],[Employed Persons:
Females]]*Table6570[[#This Row],[Smoking Prevalence:
Females]]</f>
        <v>58870.000000000007</v>
      </c>
      <c r="I194" s="51">
        <f>$C$10*Table6570[[#This Row],[Employed Smokers:
Males]]*D$27</f>
        <v>68992362.46800001</v>
      </c>
      <c r="J194" s="12">
        <f>$C$10*Table6570[[#This Row],[Employed Smokers:
Females]]*E$27</f>
        <v>4892097</v>
      </c>
      <c r="K194" s="12">
        <f>Table6570[[#This Row],[Excess Presenteeism (Costs):
Males]]+Table6570[[#This Row],[Excess Presenteeism (Costs):
Females]]</f>
        <v>73884459.46800001</v>
      </c>
      <c r="L194" s="130">
        <v>-3.6400000000000002E-2</v>
      </c>
      <c r="M194" s="136">
        <f>M193*(1+Table6570[[#This Row],[Relative Change in Smoking Prevalence:
Increase Cigarette Taxes]])</f>
        <v>0.52925922719999996</v>
      </c>
      <c r="N194" s="136">
        <f>N193*(1+Table6570[[#This Row],[Relative Change in Smoking Prevalence:
Increase Cigarette Taxes]])</f>
        <v>6.499674720000001E-2</v>
      </c>
      <c r="O194" s="138">
        <f>Table6570[[#This Row],[Employed Persons:
Males]]*Table6570[[#This Row],[Smoking Prevalence Associated with Intervention: Males]]</f>
        <v>496921.48841807997</v>
      </c>
      <c r="P194" s="138">
        <f>Table6570[[#This Row],[Employed Persons:
Females]]*Table6570[[#This Row],[Smoking Prevalence Associated with Intervention: Females]]</f>
        <v>54662.264395200007</v>
      </c>
      <c r="Q194" s="141">
        <f t="shared" si="40"/>
        <v>64061130.60090521</v>
      </c>
      <c r="R194" s="141">
        <f t="shared" si="41"/>
        <v>4542434.1712411204</v>
      </c>
      <c r="S194" s="141">
        <f>Table6570[[#This Row],[Excess Presenteeism (Costs) - Intervention Scenario:
Males]]+Table6570[[#This Row],[Excess Presenteeism (Costs) - Intervention Scenario:
Females]]</f>
        <v>68603564.772146329</v>
      </c>
      <c r="T194" s="144">
        <f>Table6570[[#This Row],[Excess Presenteeism (Costs):
Males]]-Table6570[[#This Row],[Excess Presenteeism (Costs) - Intervention Scenario:
Males]]</f>
        <v>4931231.8670947999</v>
      </c>
      <c r="U194" s="144">
        <f>Table6570[[#This Row],[Excess Presenteeism (Costs):
Females]]-Table6570[[#This Row],[Excess Presenteeism (Costs) - Intervention Scenario:
Females]]</f>
        <v>349662.82875887956</v>
      </c>
      <c r="V194" s="144">
        <f>Table6570[[#This Row],[Excess Presenteeism (Costs):
Total]]-Table6570[[#This Row],[Excess Presenteeism (Costs) - Intervention Scenario:
Total]]</f>
        <v>5280894.6958536804</v>
      </c>
    </row>
    <row r="195" spans="2:22">
      <c r="B195" s="54">
        <v>3</v>
      </c>
      <c r="C195" s="125">
        <f t="shared" si="36"/>
        <v>938900</v>
      </c>
      <c r="D195" s="125">
        <f t="shared" si="37"/>
        <v>841000</v>
      </c>
      <c r="E195" s="121">
        <f t="shared" si="38"/>
        <v>0.56999999999999995</v>
      </c>
      <c r="F195" s="121">
        <f t="shared" si="39"/>
        <v>7.0000000000000007E-2</v>
      </c>
      <c r="G195" s="125">
        <f>Table6570[[#This Row],[Employed Persons:
Males]]*Table6570[[#This Row],[Smoking Prevalence:
Males]]</f>
        <v>535173</v>
      </c>
      <c r="H195" s="125">
        <f>Table6570[[#This Row],[Employed Persons:
Females]]*Table6570[[#This Row],[Smoking Prevalence:
Females]]</f>
        <v>58870.000000000007</v>
      </c>
      <c r="I195" s="50">
        <f>$C$10*Table6570[[#This Row],[Employed Smokers:
Males]]*D$27</f>
        <v>68992362.46800001</v>
      </c>
      <c r="J195" s="12">
        <f>$C$10*Table6570[[#This Row],[Employed Smokers:
Females]]*E$27</f>
        <v>4892097</v>
      </c>
      <c r="K195" s="12">
        <f>Table6570[[#This Row],[Excess Presenteeism (Costs):
Males]]+Table6570[[#This Row],[Excess Presenteeism (Costs):
Females]]</f>
        <v>73884459.46800001</v>
      </c>
      <c r="L195" s="130">
        <v>-3.6400000000000002E-2</v>
      </c>
      <c r="M195" s="136">
        <f>M194*(1+Table6570[[#This Row],[Relative Change in Smoking Prevalence:
Increase Cigarette Taxes]])</f>
        <v>0.50999419132991997</v>
      </c>
      <c r="N195" s="136">
        <f>N194*(1+Table6570[[#This Row],[Relative Change in Smoking Prevalence:
Increase Cigarette Taxes]])</f>
        <v>6.2630865601920008E-2</v>
      </c>
      <c r="O195" s="138">
        <f>Table6570[[#This Row],[Employed Persons:
Males]]*Table6570[[#This Row],[Smoking Prevalence Associated with Intervention: Males]]</f>
        <v>478833.54623966187</v>
      </c>
      <c r="P195" s="138">
        <f>Table6570[[#This Row],[Employed Persons:
Females]]*Table6570[[#This Row],[Smoking Prevalence Associated with Intervention: Females]]</f>
        <v>52672.55797121473</v>
      </c>
      <c r="Q195" s="141">
        <f t="shared" si="40"/>
        <v>61729305.44703225</v>
      </c>
      <c r="R195" s="141">
        <f t="shared" si="41"/>
        <v>4377089.5674079442</v>
      </c>
      <c r="S195" s="141">
        <f>Table6570[[#This Row],[Excess Presenteeism (Costs) - Intervention Scenario:
Males]]+Table6570[[#This Row],[Excess Presenteeism (Costs) - Intervention Scenario:
Females]]</f>
        <v>66106395.014440194</v>
      </c>
      <c r="T195" s="144">
        <f>Table6570[[#This Row],[Excess Presenteeism (Costs):
Males]]-Table6570[[#This Row],[Excess Presenteeism (Costs) - Intervention Scenario:
Males]]</f>
        <v>7263057.0209677592</v>
      </c>
      <c r="U195" s="144">
        <f>Table6570[[#This Row],[Excess Presenteeism (Costs):
Females]]-Table6570[[#This Row],[Excess Presenteeism (Costs) - Intervention Scenario:
Females]]</f>
        <v>515007.43259205576</v>
      </c>
      <c r="V195" s="144">
        <f>Table6570[[#This Row],[Excess Presenteeism (Costs):
Total]]-Table6570[[#This Row],[Excess Presenteeism (Costs) - Intervention Scenario:
Total]]</f>
        <v>7778064.4535598159</v>
      </c>
    </row>
    <row r="196" spans="2:22">
      <c r="B196" s="55">
        <v>4</v>
      </c>
      <c r="C196" s="126">
        <f t="shared" si="36"/>
        <v>938900</v>
      </c>
      <c r="D196" s="126">
        <f t="shared" si="37"/>
        <v>841000</v>
      </c>
      <c r="E196" s="122">
        <f t="shared" si="38"/>
        <v>0.56999999999999995</v>
      </c>
      <c r="F196" s="122">
        <f t="shared" si="39"/>
        <v>7.0000000000000007E-2</v>
      </c>
      <c r="G196" s="126">
        <f>Table6570[[#This Row],[Employed Persons:
Males]]*Table6570[[#This Row],[Smoking Prevalence:
Males]]</f>
        <v>535173</v>
      </c>
      <c r="H196" s="126">
        <f>Table6570[[#This Row],[Employed Persons:
Females]]*Table6570[[#This Row],[Smoking Prevalence:
Females]]</f>
        <v>58870.000000000007</v>
      </c>
      <c r="I196" s="51">
        <f>$C$10*Table6570[[#This Row],[Employed Smokers:
Males]]*D$27</f>
        <v>68992362.46800001</v>
      </c>
      <c r="J196" s="12">
        <f>$C$10*Table6570[[#This Row],[Employed Smokers:
Females]]*E$27</f>
        <v>4892097</v>
      </c>
      <c r="K196" s="12">
        <f>Table6570[[#This Row],[Excess Presenteeism (Costs):
Males]]+Table6570[[#This Row],[Excess Presenteeism (Costs):
Females]]</f>
        <v>73884459.46800001</v>
      </c>
      <c r="L196" s="130">
        <v>-3.6400000000000002E-2</v>
      </c>
      <c r="M196" s="136">
        <f>M195*(1+Table6570[[#This Row],[Relative Change in Smoking Prevalence:
Increase Cigarette Taxes]])</f>
        <v>0.49143040276551087</v>
      </c>
      <c r="N196" s="136">
        <f>N195*(1+Table6570[[#This Row],[Relative Change in Smoking Prevalence:
Increase Cigarette Taxes]])</f>
        <v>6.0351102094010123E-2</v>
      </c>
      <c r="O196" s="138">
        <f>Table6570[[#This Row],[Employed Persons:
Males]]*Table6570[[#This Row],[Smoking Prevalence Associated with Intervention: Males]]</f>
        <v>461404.00515653816</v>
      </c>
      <c r="P196" s="138">
        <f>Table6570[[#This Row],[Employed Persons:
Females]]*Table6570[[#This Row],[Smoking Prevalence Associated with Intervention: Females]]</f>
        <v>50755.276861062513</v>
      </c>
      <c r="Q196" s="141">
        <f t="shared" si="40"/>
        <v>59482358.72876028</v>
      </c>
      <c r="R196" s="141">
        <f t="shared" si="41"/>
        <v>4217763.5071542952</v>
      </c>
      <c r="S196" s="141">
        <f>Table6570[[#This Row],[Excess Presenteeism (Costs) - Intervention Scenario:
Males]]+Table6570[[#This Row],[Excess Presenteeism (Costs) - Intervention Scenario:
Females]]</f>
        <v>63700122.235914573</v>
      </c>
      <c r="T196" s="144">
        <f>Table6570[[#This Row],[Excess Presenteeism (Costs):
Males]]-Table6570[[#This Row],[Excess Presenteeism (Costs) - Intervention Scenario:
Males]]</f>
        <v>9510003.7392397299</v>
      </c>
      <c r="U196" s="144">
        <f>Table6570[[#This Row],[Excess Presenteeism (Costs):
Females]]-Table6570[[#This Row],[Excess Presenteeism (Costs) - Intervention Scenario:
Females]]</f>
        <v>674333.49284570478</v>
      </c>
      <c r="V196" s="144">
        <f>Table6570[[#This Row],[Excess Presenteeism (Costs):
Total]]-Table6570[[#This Row],[Excess Presenteeism (Costs) - Intervention Scenario:
Total]]</f>
        <v>10184337.232085437</v>
      </c>
    </row>
    <row r="197" spans="2:22" customFormat="1">
      <c r="B197" s="54">
        <v>5</v>
      </c>
      <c r="C197" s="125">
        <f t="shared" si="36"/>
        <v>938900</v>
      </c>
      <c r="D197" s="125">
        <f t="shared" si="37"/>
        <v>841000</v>
      </c>
      <c r="E197" s="121">
        <f t="shared" si="38"/>
        <v>0.56999999999999995</v>
      </c>
      <c r="F197" s="121">
        <f t="shared" si="39"/>
        <v>7.0000000000000007E-2</v>
      </c>
      <c r="G197" s="125">
        <f>Table6570[[#This Row],[Employed Persons:
Males]]*Table6570[[#This Row],[Smoking Prevalence:
Males]]</f>
        <v>535173</v>
      </c>
      <c r="H197" s="125">
        <f>Table6570[[#This Row],[Employed Persons:
Females]]*Table6570[[#This Row],[Smoking Prevalence:
Females]]</f>
        <v>58870.000000000007</v>
      </c>
      <c r="I197" s="50">
        <f>$C$10*Table6570[[#This Row],[Employed Smokers:
Males]]*D$27</f>
        <v>68992362.46800001</v>
      </c>
      <c r="J197" s="15">
        <f>$C$10*Table6570[[#This Row],[Employed Smokers:
Females]]*E$27</f>
        <v>4892097</v>
      </c>
      <c r="K197" s="15">
        <f>Table6570[[#This Row],[Excess Presenteeism (Costs):
Males]]+Table6570[[#This Row],[Excess Presenteeism (Costs):
Females]]</f>
        <v>73884459.46800001</v>
      </c>
      <c r="L197" s="131">
        <v>-3.6400000000000002E-2</v>
      </c>
      <c r="M197" s="136">
        <f>M196*(1+Table6570[[#This Row],[Relative Change in Smoking Prevalence:
Increase Cigarette Taxes]])</f>
        <v>0.47354233610484625</v>
      </c>
      <c r="N197" s="136">
        <f>N196*(1+Table6570[[#This Row],[Relative Change in Smoking Prevalence:
Increase Cigarette Taxes]])</f>
        <v>5.8154321977788158E-2</v>
      </c>
      <c r="O197" s="139">
        <f>Table6570[[#This Row],[Employed Persons:
Males]]*Table6570[[#This Row],[Smoking Prevalence Associated with Intervention: Males]]</f>
        <v>444608.89936884015</v>
      </c>
      <c r="P197" s="139">
        <f>Table6570[[#This Row],[Employed Persons:
Females]]*Table6570[[#This Row],[Smoking Prevalence Associated with Intervention: Females]]</f>
        <v>48907.784783319839</v>
      </c>
      <c r="Q197" s="142">
        <f t="shared" si="40"/>
        <v>57317200.8710334</v>
      </c>
      <c r="R197" s="142">
        <f t="shared" si="41"/>
        <v>4064236.9154938785</v>
      </c>
      <c r="S197" s="142">
        <f>Table6570[[#This Row],[Excess Presenteeism (Costs) - Intervention Scenario:
Males]]+Table6570[[#This Row],[Excess Presenteeism (Costs) - Intervention Scenario:
Females]]</f>
        <v>61381437.786527276</v>
      </c>
      <c r="T197" s="145">
        <f>Table6570[[#This Row],[Excess Presenteeism (Costs):
Males]]-Table6570[[#This Row],[Excess Presenteeism (Costs) - Intervention Scenario:
Males]]</f>
        <v>11675161.596966609</v>
      </c>
      <c r="U197" s="145">
        <f>Table6570[[#This Row],[Excess Presenteeism (Costs):
Females]]-Table6570[[#This Row],[Excess Presenteeism (Costs) - Intervention Scenario:
Females]]</f>
        <v>827860.08450612146</v>
      </c>
      <c r="V197" s="145">
        <f>Table6570[[#This Row],[Excess Presenteeism (Costs):
Total]]-Table6570[[#This Row],[Excess Presenteeism (Costs) - Intervention Scenario:
Total]]</f>
        <v>12503021.681472734</v>
      </c>
    </row>
    <row r="198" spans="2:22" customFormat="1">
      <c r="B198" s="55">
        <v>6</v>
      </c>
      <c r="C198" s="126">
        <f t="shared" si="36"/>
        <v>938900</v>
      </c>
      <c r="D198" s="126">
        <f t="shared" si="37"/>
        <v>841000</v>
      </c>
      <c r="E198" s="122">
        <f t="shared" si="38"/>
        <v>0.56999999999999995</v>
      </c>
      <c r="F198" s="122">
        <f t="shared" si="39"/>
        <v>7.0000000000000007E-2</v>
      </c>
      <c r="G198" s="126">
        <f>Table6570[[#This Row],[Employed Persons:
Males]]*Table6570[[#This Row],[Smoking Prevalence:
Males]]</f>
        <v>535173</v>
      </c>
      <c r="H198" s="126">
        <f>Table6570[[#This Row],[Employed Persons:
Females]]*Table6570[[#This Row],[Smoking Prevalence:
Females]]</f>
        <v>58870.000000000007</v>
      </c>
      <c r="I198" s="51">
        <f>$C$10*Table6570[[#This Row],[Employed Smokers:
Males]]*D$27</f>
        <v>68992362.46800001</v>
      </c>
      <c r="J198" s="15">
        <f>$C$10*Table6570[[#This Row],[Employed Smokers:
Females]]*E$27</f>
        <v>4892097</v>
      </c>
      <c r="K198" s="15">
        <f>Table6570[[#This Row],[Excess Presenteeism (Costs):
Males]]+Table6570[[#This Row],[Excess Presenteeism (Costs):
Females]]</f>
        <v>73884459.46800001</v>
      </c>
      <c r="L198" s="132">
        <v>-9.1000000000000022E-3</v>
      </c>
      <c r="M198" s="136">
        <f>M197*(1+Table6570[[#This Row],[Relative Change in Smoking Prevalence:
Increase Cigarette Taxes]])</f>
        <v>0.46923310084629216</v>
      </c>
      <c r="N198" s="136">
        <f>N197*(1+Table6570[[#This Row],[Relative Change in Smoking Prevalence:
Increase Cigarette Taxes]])</f>
        <v>5.7625117647790283E-2</v>
      </c>
      <c r="O198" s="139">
        <f>Table6570[[#This Row],[Employed Persons:
Males]]*Table6570[[#This Row],[Smoking Prevalence Associated with Intervention: Males]]</f>
        <v>440562.9583845837</v>
      </c>
      <c r="P198" s="139">
        <f>Table6570[[#This Row],[Employed Persons:
Females]]*Table6570[[#This Row],[Smoking Prevalence Associated with Intervention: Females]]</f>
        <v>48462.723941791628</v>
      </c>
      <c r="Q198" s="142">
        <f t="shared" si="40"/>
        <v>56795614.343107</v>
      </c>
      <c r="R198" s="142">
        <f t="shared" si="41"/>
        <v>4027252.3595628846</v>
      </c>
      <c r="S198" s="142">
        <f>Table6570[[#This Row],[Excess Presenteeism (Costs) - Intervention Scenario:
Males]]+Table6570[[#This Row],[Excess Presenteeism (Costs) - Intervention Scenario:
Females]]</f>
        <v>60822866.702669881</v>
      </c>
      <c r="T198" s="145">
        <f>Table6570[[#This Row],[Excess Presenteeism (Costs):
Males]]-Table6570[[#This Row],[Excess Presenteeism (Costs) - Intervention Scenario:
Males]]</f>
        <v>12196748.12489301</v>
      </c>
      <c r="U198" s="145">
        <f>Table6570[[#This Row],[Excess Presenteeism (Costs):
Females]]-Table6570[[#This Row],[Excess Presenteeism (Costs) - Intervention Scenario:
Females]]</f>
        <v>864844.64043711545</v>
      </c>
      <c r="V198" s="145">
        <f>Table6570[[#This Row],[Excess Presenteeism (Costs):
Total]]-Table6570[[#This Row],[Excess Presenteeism (Costs) - Intervention Scenario:
Total]]</f>
        <v>13061592.765330128</v>
      </c>
    </row>
    <row r="199" spans="2:22" customFormat="1">
      <c r="B199" s="54">
        <v>7</v>
      </c>
      <c r="C199" s="125">
        <f t="shared" si="36"/>
        <v>938900</v>
      </c>
      <c r="D199" s="125">
        <f t="shared" si="37"/>
        <v>841000</v>
      </c>
      <c r="E199" s="121">
        <f t="shared" si="38"/>
        <v>0.56999999999999995</v>
      </c>
      <c r="F199" s="121">
        <f t="shared" si="39"/>
        <v>7.0000000000000007E-2</v>
      </c>
      <c r="G199" s="125">
        <f>Table6570[[#This Row],[Employed Persons:
Males]]*Table6570[[#This Row],[Smoking Prevalence:
Males]]</f>
        <v>535173</v>
      </c>
      <c r="H199" s="125">
        <f>Table6570[[#This Row],[Employed Persons:
Females]]*Table6570[[#This Row],[Smoking Prevalence:
Females]]</f>
        <v>58870.000000000007</v>
      </c>
      <c r="I199" s="50">
        <f>$C$10*Table6570[[#This Row],[Employed Smokers:
Males]]*D$27</f>
        <v>68992362.46800001</v>
      </c>
      <c r="J199" s="15">
        <f>$C$10*Table6570[[#This Row],[Employed Smokers:
Females]]*E$27</f>
        <v>4892097</v>
      </c>
      <c r="K199" s="15">
        <f>Table6570[[#This Row],[Excess Presenteeism (Costs):
Males]]+Table6570[[#This Row],[Excess Presenteeism (Costs):
Females]]</f>
        <v>73884459.46800001</v>
      </c>
      <c r="L199" s="132">
        <v>-9.1000000000000022E-3</v>
      </c>
      <c r="M199" s="136">
        <f>M198*(1+Table6570[[#This Row],[Relative Change in Smoking Prevalence:
Increase Cigarette Taxes]])</f>
        <v>0.4649630796285909</v>
      </c>
      <c r="N199" s="136">
        <f>N198*(1+Table6570[[#This Row],[Relative Change in Smoking Prevalence:
Increase Cigarette Taxes]])</f>
        <v>5.7100729077195392E-2</v>
      </c>
      <c r="O199" s="139">
        <f>Table6570[[#This Row],[Employed Persons:
Males]]*Table6570[[#This Row],[Smoking Prevalence Associated with Intervention: Males]]</f>
        <v>436553.83546328399</v>
      </c>
      <c r="P199" s="139">
        <f>Table6570[[#This Row],[Employed Persons:
Females]]*Table6570[[#This Row],[Smoking Prevalence Associated with Intervention: Females]]</f>
        <v>48021.713153921322</v>
      </c>
      <c r="Q199" s="142">
        <f t="shared" si="40"/>
        <v>56278774.252584726</v>
      </c>
      <c r="R199" s="142">
        <f t="shared" si="41"/>
        <v>3990604.3630908621</v>
      </c>
      <c r="S199" s="142">
        <f>Table6570[[#This Row],[Excess Presenteeism (Costs) - Intervention Scenario:
Males]]+Table6570[[#This Row],[Excess Presenteeism (Costs) - Intervention Scenario:
Females]]</f>
        <v>60269378.615675591</v>
      </c>
      <c r="T199" s="145">
        <f>Table6570[[#This Row],[Excess Presenteeism (Costs):
Males]]-Table6570[[#This Row],[Excess Presenteeism (Costs) - Intervention Scenario:
Males]]</f>
        <v>12713588.215415284</v>
      </c>
      <c r="U199" s="145">
        <f>Table6570[[#This Row],[Excess Presenteeism (Costs):
Females]]-Table6570[[#This Row],[Excess Presenteeism (Costs) - Intervention Scenario:
Females]]</f>
        <v>901492.63690913795</v>
      </c>
      <c r="V199" s="145">
        <f>Table6570[[#This Row],[Excess Presenteeism (Costs):
Total]]-Table6570[[#This Row],[Excess Presenteeism (Costs) - Intervention Scenario:
Total]]</f>
        <v>13615080.852324419</v>
      </c>
    </row>
    <row r="200" spans="2:22" customFormat="1">
      <c r="B200" s="55">
        <v>8</v>
      </c>
      <c r="C200" s="126">
        <f t="shared" si="36"/>
        <v>938900</v>
      </c>
      <c r="D200" s="126">
        <f t="shared" si="37"/>
        <v>841000</v>
      </c>
      <c r="E200" s="122">
        <f t="shared" si="38"/>
        <v>0.56999999999999995</v>
      </c>
      <c r="F200" s="122">
        <f t="shared" si="39"/>
        <v>7.0000000000000007E-2</v>
      </c>
      <c r="G200" s="126">
        <f>Table6570[[#This Row],[Employed Persons:
Males]]*Table6570[[#This Row],[Smoking Prevalence:
Males]]</f>
        <v>535173</v>
      </c>
      <c r="H200" s="126">
        <f>Table6570[[#This Row],[Employed Persons:
Females]]*Table6570[[#This Row],[Smoking Prevalence:
Females]]</f>
        <v>58870.000000000007</v>
      </c>
      <c r="I200" s="51">
        <f>$C$10*Table6570[[#This Row],[Employed Smokers:
Males]]*D$27</f>
        <v>68992362.46800001</v>
      </c>
      <c r="J200" s="15">
        <f>$C$10*Table6570[[#This Row],[Employed Smokers:
Females]]*E$27</f>
        <v>4892097</v>
      </c>
      <c r="K200" s="15">
        <f>Table6570[[#This Row],[Excess Presenteeism (Costs):
Males]]+Table6570[[#This Row],[Excess Presenteeism (Costs):
Females]]</f>
        <v>73884459.46800001</v>
      </c>
      <c r="L200" s="132">
        <v>-9.1000000000000022E-3</v>
      </c>
      <c r="M200" s="136">
        <f>M199*(1+Table6570[[#This Row],[Relative Change in Smoking Prevalence:
Increase Cigarette Taxes]])</f>
        <v>0.46073191560397075</v>
      </c>
      <c r="N200" s="136">
        <f>N199*(1+Table6570[[#This Row],[Relative Change in Smoking Prevalence:
Increase Cigarette Taxes]])</f>
        <v>5.6581112442592917E-2</v>
      </c>
      <c r="O200" s="139">
        <f>Table6570[[#This Row],[Employed Persons:
Males]]*Table6570[[#This Row],[Smoking Prevalence Associated with Intervention: Males]]</f>
        <v>432581.19556056813</v>
      </c>
      <c r="P200" s="139">
        <f>Table6570[[#This Row],[Employed Persons:
Females]]*Table6570[[#This Row],[Smoking Prevalence Associated with Intervention: Females]]</f>
        <v>47584.715564220642</v>
      </c>
      <c r="Q200" s="142">
        <f t="shared" si="40"/>
        <v>55766637.406886205</v>
      </c>
      <c r="R200" s="142">
        <f t="shared" si="41"/>
        <v>3954289.8633867353</v>
      </c>
      <c r="S200" s="142">
        <f>Table6570[[#This Row],[Excess Presenteeism (Costs) - Intervention Scenario:
Males]]+Table6570[[#This Row],[Excess Presenteeism (Costs) - Intervention Scenario:
Females]]</f>
        <v>59720927.27027294</v>
      </c>
      <c r="T200" s="145">
        <f>Table6570[[#This Row],[Excess Presenteeism (Costs):
Males]]-Table6570[[#This Row],[Excess Presenteeism (Costs) - Intervention Scenario:
Males]]</f>
        <v>13225725.061113805</v>
      </c>
      <c r="U200" s="145">
        <f>Table6570[[#This Row],[Excess Presenteeism (Costs):
Females]]-Table6570[[#This Row],[Excess Presenteeism (Costs) - Intervention Scenario:
Females]]</f>
        <v>937807.13661326468</v>
      </c>
      <c r="V200" s="145">
        <f>Table6570[[#This Row],[Excess Presenteeism (Costs):
Total]]-Table6570[[#This Row],[Excess Presenteeism (Costs) - Intervention Scenario:
Total]]</f>
        <v>14163532.197727069</v>
      </c>
    </row>
    <row r="201" spans="2:22" customFormat="1">
      <c r="B201" s="54">
        <v>9</v>
      </c>
      <c r="C201" s="125">
        <f t="shared" si="36"/>
        <v>938900</v>
      </c>
      <c r="D201" s="125">
        <f t="shared" si="37"/>
        <v>841000</v>
      </c>
      <c r="E201" s="121">
        <f t="shared" si="38"/>
        <v>0.56999999999999995</v>
      </c>
      <c r="F201" s="121">
        <f t="shared" si="39"/>
        <v>7.0000000000000007E-2</v>
      </c>
      <c r="G201" s="125">
        <f>Table6570[[#This Row],[Employed Persons:
Males]]*Table6570[[#This Row],[Smoking Prevalence:
Males]]</f>
        <v>535173</v>
      </c>
      <c r="H201" s="125">
        <f>Table6570[[#This Row],[Employed Persons:
Females]]*Table6570[[#This Row],[Smoking Prevalence:
Females]]</f>
        <v>58870.000000000007</v>
      </c>
      <c r="I201" s="50">
        <f>$C$10*Table6570[[#This Row],[Employed Smokers:
Males]]*D$27</f>
        <v>68992362.46800001</v>
      </c>
      <c r="J201" s="15">
        <f>$C$10*Table6570[[#This Row],[Employed Smokers:
Females]]*E$27</f>
        <v>4892097</v>
      </c>
      <c r="K201" s="15">
        <f>Table6570[[#This Row],[Excess Presenteeism (Costs):
Males]]+Table6570[[#This Row],[Excess Presenteeism (Costs):
Females]]</f>
        <v>73884459.46800001</v>
      </c>
      <c r="L201" s="132">
        <v>-9.1000000000000022E-3</v>
      </c>
      <c r="M201" s="136">
        <f>M200*(1+Table6570[[#This Row],[Relative Change in Smoking Prevalence:
Increase Cigarette Taxes]])</f>
        <v>0.45653925517197463</v>
      </c>
      <c r="N201" s="136">
        <f>N200*(1+Table6570[[#This Row],[Relative Change in Smoking Prevalence:
Increase Cigarette Taxes]])</f>
        <v>5.6066224319365324E-2</v>
      </c>
      <c r="O201" s="139">
        <f>Table6570[[#This Row],[Employed Persons:
Males]]*Table6570[[#This Row],[Smoking Prevalence Associated with Intervention: Males]]</f>
        <v>428644.70668096701</v>
      </c>
      <c r="P201" s="139">
        <f>Table6570[[#This Row],[Employed Persons:
Females]]*Table6570[[#This Row],[Smoking Prevalence Associated with Intervention: Females]]</f>
        <v>47151.694652586237</v>
      </c>
      <c r="Q201" s="142">
        <f t="shared" si="40"/>
        <v>55259161.006483547</v>
      </c>
      <c r="R201" s="142">
        <f t="shared" si="41"/>
        <v>3918305.825629916</v>
      </c>
      <c r="S201" s="142">
        <f>Table6570[[#This Row],[Excess Presenteeism (Costs) - Intervention Scenario:
Males]]+Table6570[[#This Row],[Excess Presenteeism (Costs) - Intervention Scenario:
Females]]</f>
        <v>59177466.83211346</v>
      </c>
      <c r="T201" s="145">
        <f>Table6570[[#This Row],[Excess Presenteeism (Costs):
Males]]-Table6570[[#This Row],[Excess Presenteeism (Costs) - Intervention Scenario:
Males]]</f>
        <v>13733201.461516462</v>
      </c>
      <c r="U201" s="145">
        <f>Table6570[[#This Row],[Excess Presenteeism (Costs):
Females]]-Table6570[[#This Row],[Excess Presenteeism (Costs) - Intervention Scenario:
Females]]</f>
        <v>973791.17437008396</v>
      </c>
      <c r="V201" s="145">
        <f>Table6570[[#This Row],[Excess Presenteeism (Costs):
Total]]-Table6570[[#This Row],[Excess Presenteeism (Costs) - Intervention Scenario:
Total]]</f>
        <v>14706992.63588655</v>
      </c>
    </row>
    <row r="202" spans="2:22" customFormat="1">
      <c r="B202" s="55">
        <v>10</v>
      </c>
      <c r="C202" s="126">
        <f t="shared" si="36"/>
        <v>938900</v>
      </c>
      <c r="D202" s="126">
        <f t="shared" si="37"/>
        <v>841000</v>
      </c>
      <c r="E202" s="122">
        <f t="shared" si="38"/>
        <v>0.56999999999999995</v>
      </c>
      <c r="F202" s="122">
        <f t="shared" si="39"/>
        <v>7.0000000000000007E-2</v>
      </c>
      <c r="G202" s="126">
        <f>Table6570[[#This Row],[Employed Persons:
Males]]*Table6570[[#This Row],[Smoking Prevalence:
Males]]</f>
        <v>535173</v>
      </c>
      <c r="H202" s="126">
        <f>Table6570[[#This Row],[Employed Persons:
Females]]*Table6570[[#This Row],[Smoking Prevalence:
Females]]</f>
        <v>58870.000000000007</v>
      </c>
      <c r="I202" s="51">
        <f>$C$10*Table6570[[#This Row],[Employed Smokers:
Males]]*D$27</f>
        <v>68992362.46800001</v>
      </c>
      <c r="J202" s="15">
        <f>$C$10*Table6570[[#This Row],[Employed Smokers:
Females]]*E$27</f>
        <v>4892097</v>
      </c>
      <c r="K202" s="15">
        <f>Table6570[[#This Row],[Excess Presenteeism (Costs):
Males]]+Table6570[[#This Row],[Excess Presenteeism (Costs):
Females]]</f>
        <v>73884459.46800001</v>
      </c>
      <c r="L202" s="132">
        <v>-9.1000000000000022E-3</v>
      </c>
      <c r="M202" s="136">
        <f>M201*(1+Table6570[[#This Row],[Relative Change in Smoking Prevalence:
Increase Cigarette Taxes]])</f>
        <v>0.45238474794990968</v>
      </c>
      <c r="N202" s="136">
        <f>N201*(1+Table6570[[#This Row],[Relative Change in Smoking Prevalence:
Increase Cigarette Taxes]])</f>
        <v>5.5556021678059099E-2</v>
      </c>
      <c r="O202" s="139">
        <f>Table6570[[#This Row],[Employed Persons:
Males]]*Table6570[[#This Row],[Smoking Prevalence Associated with Intervention: Males]]</f>
        <v>424744.0398501702</v>
      </c>
      <c r="P202" s="139">
        <f>Table6570[[#This Row],[Employed Persons:
Females]]*Table6570[[#This Row],[Smoking Prevalence Associated with Intervention: Females]]</f>
        <v>46722.614231247702</v>
      </c>
      <c r="Q202" s="142">
        <f t="shared" si="40"/>
        <v>54756302.64132455</v>
      </c>
      <c r="R202" s="142">
        <f t="shared" si="41"/>
        <v>3882649.2426166842</v>
      </c>
      <c r="S202" s="142">
        <f>Table6570[[#This Row],[Excess Presenteeism (Costs) - Intervention Scenario:
Males]]+Table6570[[#This Row],[Excess Presenteeism (Costs) - Intervention Scenario:
Females]]</f>
        <v>58638951.883941233</v>
      </c>
      <c r="T202" s="145">
        <f>Table6570[[#This Row],[Excess Presenteeism (Costs):
Males]]-Table6570[[#This Row],[Excess Presenteeism (Costs) - Intervention Scenario:
Males]]</f>
        <v>14236059.82667546</v>
      </c>
      <c r="U202" s="145">
        <f>Table6570[[#This Row],[Excess Presenteeism (Costs):
Females]]-Table6570[[#This Row],[Excess Presenteeism (Costs) - Intervention Scenario:
Females]]</f>
        <v>1009447.7573833158</v>
      </c>
      <c r="V202" s="145">
        <f>Table6570[[#This Row],[Excess Presenteeism (Costs):
Total]]-Table6570[[#This Row],[Excess Presenteeism (Costs) - Intervention Scenario:
Total]]</f>
        <v>15245507.584058776</v>
      </c>
    </row>
    <row r="203" spans="2:22" customFormat="1">
      <c r="B203" s="54">
        <v>11</v>
      </c>
      <c r="C203" s="125">
        <f t="shared" si="36"/>
        <v>938900</v>
      </c>
      <c r="D203" s="125">
        <f t="shared" si="37"/>
        <v>841000</v>
      </c>
      <c r="E203" s="121">
        <f t="shared" si="38"/>
        <v>0.56999999999999995</v>
      </c>
      <c r="F203" s="121">
        <f t="shared" si="39"/>
        <v>7.0000000000000007E-2</v>
      </c>
      <c r="G203" s="125">
        <f>Table6570[[#This Row],[Employed Persons:
Males]]*Table6570[[#This Row],[Smoking Prevalence:
Males]]</f>
        <v>535173</v>
      </c>
      <c r="H203" s="125">
        <f>Table6570[[#This Row],[Employed Persons:
Females]]*Table6570[[#This Row],[Smoking Prevalence:
Females]]</f>
        <v>58870.000000000007</v>
      </c>
      <c r="I203" s="50">
        <f>$C$10*Table6570[[#This Row],[Employed Smokers:
Males]]*D$27</f>
        <v>68992362.46800001</v>
      </c>
      <c r="J203" s="15">
        <f>$C$10*Table6570[[#This Row],[Employed Smokers:
Females]]*E$27</f>
        <v>4892097</v>
      </c>
      <c r="K203" s="15">
        <f>Table6570[[#This Row],[Excess Presenteeism (Costs):
Males]]+Table6570[[#This Row],[Excess Presenteeism (Costs):
Females]]</f>
        <v>73884459.46800001</v>
      </c>
      <c r="L203" s="132">
        <v>-9.1000000000000022E-3</v>
      </c>
      <c r="M203" s="136">
        <f>M202*(1+Table6570[[#This Row],[Relative Change in Smoking Prevalence:
Increase Cigarette Taxes]])</f>
        <v>0.44826804674356552</v>
      </c>
      <c r="N203" s="136">
        <f>N202*(1+Table6570[[#This Row],[Relative Change in Smoking Prevalence:
Increase Cigarette Taxes]])</f>
        <v>5.5050461880788763E-2</v>
      </c>
      <c r="O203" s="139">
        <f>Table6570[[#This Row],[Employed Persons:
Males]]*Table6570[[#This Row],[Smoking Prevalence Associated with Intervention: Males]]</f>
        <v>420878.86908753368</v>
      </c>
      <c r="P203" s="139">
        <f>Table6570[[#This Row],[Employed Persons:
Females]]*Table6570[[#This Row],[Smoking Prevalence Associated with Intervention: Females]]</f>
        <v>46297.438441743347</v>
      </c>
      <c r="Q203" s="142">
        <f t="shared" si="40"/>
        <v>54258020.287288494</v>
      </c>
      <c r="R203" s="142">
        <f t="shared" si="41"/>
        <v>3847317.1345088724</v>
      </c>
      <c r="S203" s="142">
        <f>Table6570[[#This Row],[Excess Presenteeism (Costs) - Intervention Scenario:
Males]]+Table6570[[#This Row],[Excess Presenteeism (Costs) - Intervention Scenario:
Females]]</f>
        <v>58105337.421797365</v>
      </c>
      <c r="T203" s="145">
        <f>Table6570[[#This Row],[Excess Presenteeism (Costs):
Males]]-Table6570[[#This Row],[Excess Presenteeism (Costs) - Intervention Scenario:
Males]]</f>
        <v>14734342.180711515</v>
      </c>
      <c r="U203" s="145">
        <f>Table6570[[#This Row],[Excess Presenteeism (Costs):
Females]]-Table6570[[#This Row],[Excess Presenteeism (Costs) - Intervention Scenario:
Females]]</f>
        <v>1044779.8654911276</v>
      </c>
      <c r="V203" s="145">
        <f>Table6570[[#This Row],[Excess Presenteeism (Costs):
Total]]-Table6570[[#This Row],[Excess Presenteeism (Costs) - Intervention Scenario:
Total]]</f>
        <v>15779122.046202645</v>
      </c>
    </row>
    <row r="204" spans="2:22" customFormat="1">
      <c r="B204" s="55">
        <v>12</v>
      </c>
      <c r="C204" s="126">
        <f t="shared" si="36"/>
        <v>938900</v>
      </c>
      <c r="D204" s="126">
        <f t="shared" si="37"/>
        <v>841000</v>
      </c>
      <c r="E204" s="122">
        <f t="shared" si="38"/>
        <v>0.56999999999999995</v>
      </c>
      <c r="F204" s="122">
        <f t="shared" si="39"/>
        <v>7.0000000000000007E-2</v>
      </c>
      <c r="G204" s="126">
        <f>Table6570[[#This Row],[Employed Persons:
Males]]*Table6570[[#This Row],[Smoking Prevalence:
Males]]</f>
        <v>535173</v>
      </c>
      <c r="H204" s="126">
        <f>Table6570[[#This Row],[Employed Persons:
Females]]*Table6570[[#This Row],[Smoking Prevalence:
Females]]</f>
        <v>58870.000000000007</v>
      </c>
      <c r="I204" s="51">
        <f>$C$10*Table6570[[#This Row],[Employed Smokers:
Males]]*D$27</f>
        <v>68992362.46800001</v>
      </c>
      <c r="J204" s="15">
        <f>$C$10*Table6570[[#This Row],[Employed Smokers:
Females]]*E$27</f>
        <v>4892097</v>
      </c>
      <c r="K204" s="15">
        <f>Table6570[[#This Row],[Excess Presenteeism (Costs):
Males]]+Table6570[[#This Row],[Excess Presenteeism (Costs):
Females]]</f>
        <v>73884459.46800001</v>
      </c>
      <c r="L204" s="132">
        <v>-9.1000000000000022E-3</v>
      </c>
      <c r="M204" s="136">
        <f>M203*(1+Table6570[[#This Row],[Relative Change in Smoking Prevalence:
Increase Cigarette Taxes]])</f>
        <v>0.44418880751819906</v>
      </c>
      <c r="N204" s="136">
        <f>N203*(1+Table6570[[#This Row],[Relative Change in Smoking Prevalence:
Increase Cigarette Taxes]])</f>
        <v>5.4549502677673584E-2</v>
      </c>
      <c r="O204" s="139">
        <f>Table6570[[#This Row],[Employed Persons:
Males]]*Table6570[[#This Row],[Smoking Prevalence Associated with Intervention: Males]]</f>
        <v>417048.8713788371</v>
      </c>
      <c r="P204" s="139">
        <f>Table6570[[#This Row],[Employed Persons:
Females]]*Table6570[[#This Row],[Smoking Prevalence Associated with Intervention: Females]]</f>
        <v>45876.131751923487</v>
      </c>
      <c r="Q204" s="142">
        <f t="shared" si="40"/>
        <v>53764272.302674159</v>
      </c>
      <c r="R204" s="142">
        <f t="shared" si="41"/>
        <v>3812306.5485848417</v>
      </c>
      <c r="S204" s="142">
        <f>Table6570[[#This Row],[Excess Presenteeism (Costs) - Intervention Scenario:
Males]]+Table6570[[#This Row],[Excess Presenteeism (Costs) - Intervention Scenario:
Females]]</f>
        <v>57576578.851259001</v>
      </c>
      <c r="T204" s="145">
        <f>Table6570[[#This Row],[Excess Presenteeism (Costs):
Males]]-Table6570[[#This Row],[Excess Presenteeism (Costs) - Intervention Scenario:
Males]]</f>
        <v>15228090.16532585</v>
      </c>
      <c r="U204" s="145">
        <f>Table6570[[#This Row],[Excess Presenteeism (Costs):
Females]]-Table6570[[#This Row],[Excess Presenteeism (Costs) - Intervention Scenario:
Females]]</f>
        <v>1079790.4514151583</v>
      </c>
      <c r="V204" s="145">
        <f>Table6570[[#This Row],[Excess Presenteeism (Costs):
Total]]-Table6570[[#This Row],[Excess Presenteeism (Costs) - Intervention Scenario:
Total]]</f>
        <v>16307880.616741009</v>
      </c>
    </row>
    <row r="205" spans="2:22" customFormat="1">
      <c r="B205" s="54">
        <v>13</v>
      </c>
      <c r="C205" s="125">
        <f t="shared" si="36"/>
        <v>938900</v>
      </c>
      <c r="D205" s="125">
        <f t="shared" si="37"/>
        <v>841000</v>
      </c>
      <c r="E205" s="121">
        <f t="shared" si="38"/>
        <v>0.56999999999999995</v>
      </c>
      <c r="F205" s="121">
        <f t="shared" si="39"/>
        <v>7.0000000000000007E-2</v>
      </c>
      <c r="G205" s="125">
        <f>Table6570[[#This Row],[Employed Persons:
Males]]*Table6570[[#This Row],[Smoking Prevalence:
Males]]</f>
        <v>535173</v>
      </c>
      <c r="H205" s="125">
        <f>Table6570[[#This Row],[Employed Persons:
Females]]*Table6570[[#This Row],[Smoking Prevalence:
Females]]</f>
        <v>58870.000000000007</v>
      </c>
      <c r="I205" s="50">
        <f>$C$10*Table6570[[#This Row],[Employed Smokers:
Males]]*D$27</f>
        <v>68992362.46800001</v>
      </c>
      <c r="J205" s="15">
        <f>$C$10*Table6570[[#This Row],[Employed Smokers:
Females]]*E$27</f>
        <v>4892097</v>
      </c>
      <c r="K205" s="15">
        <f>Table6570[[#This Row],[Excess Presenteeism (Costs):
Males]]+Table6570[[#This Row],[Excess Presenteeism (Costs):
Females]]</f>
        <v>73884459.46800001</v>
      </c>
      <c r="L205" s="132">
        <v>-9.1000000000000022E-3</v>
      </c>
      <c r="M205" s="136">
        <f>M204*(1+Table6570[[#This Row],[Relative Change in Smoking Prevalence:
Increase Cigarette Taxes]])</f>
        <v>0.44014668936978346</v>
      </c>
      <c r="N205" s="136">
        <f>N204*(1+Table6570[[#This Row],[Relative Change in Smoking Prevalence:
Increase Cigarette Taxes]])</f>
        <v>5.4053102203306752E-2</v>
      </c>
      <c r="O205" s="139">
        <f>Table6570[[#This Row],[Employed Persons:
Males]]*Table6570[[#This Row],[Smoking Prevalence Associated with Intervention: Males]]</f>
        <v>413253.72664928972</v>
      </c>
      <c r="P205" s="139">
        <f>Table6570[[#This Row],[Employed Persons:
Females]]*Table6570[[#This Row],[Smoking Prevalence Associated with Intervention: Females]]</f>
        <v>45458.658952980979</v>
      </c>
      <c r="Q205" s="142">
        <f t="shared" si="40"/>
        <v>53275017.424719833</v>
      </c>
      <c r="R205" s="142">
        <f t="shared" si="41"/>
        <v>3777614.5589927193</v>
      </c>
      <c r="S205" s="142">
        <f>Table6570[[#This Row],[Excess Presenteeism (Costs) - Intervention Scenario:
Males]]+Table6570[[#This Row],[Excess Presenteeism (Costs) - Intervention Scenario:
Females]]</f>
        <v>57052631.983712554</v>
      </c>
      <c r="T205" s="145">
        <f>Table6570[[#This Row],[Excess Presenteeism (Costs):
Males]]-Table6570[[#This Row],[Excess Presenteeism (Costs) - Intervention Scenario:
Males]]</f>
        <v>15717345.043280177</v>
      </c>
      <c r="U205" s="145">
        <f>Table6570[[#This Row],[Excess Presenteeism (Costs):
Females]]-Table6570[[#This Row],[Excess Presenteeism (Costs) - Intervention Scenario:
Females]]</f>
        <v>1114482.4410072807</v>
      </c>
      <c r="V205" s="145">
        <f>Table6570[[#This Row],[Excess Presenteeism (Costs):
Total]]-Table6570[[#This Row],[Excess Presenteeism (Costs) - Intervention Scenario:
Total]]</f>
        <v>16831827.484287456</v>
      </c>
    </row>
    <row r="206" spans="2:22" customFormat="1">
      <c r="B206" s="55">
        <v>14</v>
      </c>
      <c r="C206" s="126">
        <f t="shared" si="36"/>
        <v>938900</v>
      </c>
      <c r="D206" s="126">
        <f t="shared" si="37"/>
        <v>841000</v>
      </c>
      <c r="E206" s="122">
        <f t="shared" si="38"/>
        <v>0.56999999999999995</v>
      </c>
      <c r="F206" s="122">
        <f t="shared" si="39"/>
        <v>7.0000000000000007E-2</v>
      </c>
      <c r="G206" s="126">
        <f>Table6570[[#This Row],[Employed Persons:
Males]]*Table6570[[#This Row],[Smoking Prevalence:
Males]]</f>
        <v>535173</v>
      </c>
      <c r="H206" s="126">
        <f>Table6570[[#This Row],[Employed Persons:
Females]]*Table6570[[#This Row],[Smoking Prevalence:
Females]]</f>
        <v>58870.000000000007</v>
      </c>
      <c r="I206" s="51">
        <f>$C$10*Table6570[[#This Row],[Employed Smokers:
Males]]*D$27</f>
        <v>68992362.46800001</v>
      </c>
      <c r="J206" s="15">
        <f>$C$10*Table6570[[#This Row],[Employed Smokers:
Females]]*E$27</f>
        <v>4892097</v>
      </c>
      <c r="K206" s="15">
        <f>Table6570[[#This Row],[Excess Presenteeism (Costs):
Males]]+Table6570[[#This Row],[Excess Presenteeism (Costs):
Females]]</f>
        <v>73884459.46800001</v>
      </c>
      <c r="L206" s="132">
        <v>-9.1000000000000022E-3</v>
      </c>
      <c r="M206" s="136">
        <f>M205*(1+Table6570[[#This Row],[Relative Change in Smoking Prevalence:
Increase Cigarette Taxes]])</f>
        <v>0.43614135449651842</v>
      </c>
      <c r="N206" s="136">
        <f>N205*(1+Table6570[[#This Row],[Relative Change in Smoking Prevalence:
Increase Cigarette Taxes]])</f>
        <v>5.3561218973256663E-2</v>
      </c>
      <c r="O206" s="139">
        <f>Table6570[[#This Row],[Employed Persons:
Males]]*Table6570[[#This Row],[Smoking Prevalence Associated with Intervention: Males]]</f>
        <v>409493.11773678113</v>
      </c>
      <c r="P206" s="139">
        <f>Table6570[[#This Row],[Employed Persons:
Females]]*Table6570[[#This Row],[Smoking Prevalence Associated with Intervention: Females]]</f>
        <v>45044.985156508854</v>
      </c>
      <c r="Q206" s="142">
        <f t="shared" si="40"/>
        <v>52790214.766154878</v>
      </c>
      <c r="R206" s="142">
        <f t="shared" si="41"/>
        <v>3743238.2665058854</v>
      </c>
      <c r="S206" s="142">
        <f>Table6570[[#This Row],[Excess Presenteeism (Costs) - Intervention Scenario:
Males]]+Table6570[[#This Row],[Excess Presenteeism (Costs) - Intervention Scenario:
Females]]</f>
        <v>56533453.03266076</v>
      </c>
      <c r="T206" s="145">
        <f>Table6570[[#This Row],[Excess Presenteeism (Costs):
Males]]-Table6570[[#This Row],[Excess Presenteeism (Costs) - Intervention Scenario:
Males]]</f>
        <v>16202147.701845132</v>
      </c>
      <c r="U206" s="145">
        <f>Table6570[[#This Row],[Excess Presenteeism (Costs):
Females]]-Table6570[[#This Row],[Excess Presenteeism (Costs) - Intervention Scenario:
Females]]</f>
        <v>1148858.7334941146</v>
      </c>
      <c r="V206" s="145">
        <f>Table6570[[#This Row],[Excess Presenteeism (Costs):
Total]]-Table6570[[#This Row],[Excess Presenteeism (Costs) - Intervention Scenario:
Total]]</f>
        <v>17351006.43533925</v>
      </c>
    </row>
    <row r="207" spans="2:22" customFormat="1">
      <c r="B207" s="56">
        <v>15</v>
      </c>
      <c r="C207" s="127">
        <f t="shared" si="36"/>
        <v>938900</v>
      </c>
      <c r="D207" s="127">
        <f t="shared" si="37"/>
        <v>841000</v>
      </c>
      <c r="E207" s="123">
        <f t="shared" si="38"/>
        <v>0.56999999999999995</v>
      </c>
      <c r="F207" s="123">
        <f t="shared" si="39"/>
        <v>7.0000000000000007E-2</v>
      </c>
      <c r="G207" s="127">
        <f>Table6570[[#This Row],[Employed Persons:
Males]]*Table6570[[#This Row],[Smoking Prevalence:
Males]]</f>
        <v>535173</v>
      </c>
      <c r="H207" s="127">
        <f>Table6570[[#This Row],[Employed Persons:
Females]]*Table6570[[#This Row],[Smoking Prevalence:
Females]]</f>
        <v>58870.000000000007</v>
      </c>
      <c r="I207" s="52">
        <f>$C$10*Table6570[[#This Row],[Employed Smokers:
Males]]*D$27</f>
        <v>68992362.46800001</v>
      </c>
      <c r="J207" s="15">
        <f>$C$10*Table6570[[#This Row],[Employed Smokers:
Females]]*E$27</f>
        <v>4892097</v>
      </c>
      <c r="K207" s="15">
        <f>Table6570[[#This Row],[Excess Presenteeism (Costs):
Males]]+Table6570[[#This Row],[Excess Presenteeism (Costs):
Females]]</f>
        <v>73884459.46800001</v>
      </c>
      <c r="L207" s="132">
        <v>-9.1000000000000022E-3</v>
      </c>
      <c r="M207" s="136">
        <f>M206*(1+Table6570[[#This Row],[Relative Change in Smoking Prevalence:
Increase Cigarette Taxes]])</f>
        <v>0.43217246817060012</v>
      </c>
      <c r="N207" s="136">
        <f>N206*(1+Table6570[[#This Row],[Relative Change in Smoking Prevalence:
Increase Cigarette Taxes]])</f>
        <v>5.3073811880600029E-2</v>
      </c>
      <c r="O207" s="139">
        <f>Table6570[[#This Row],[Employed Persons:
Males]]*Table6570[[#This Row],[Smoking Prevalence Associated with Intervention: Males]]</f>
        <v>405766.73036537645</v>
      </c>
      <c r="P207" s="139">
        <f>Table6570[[#This Row],[Employed Persons:
Females]]*Table6570[[#This Row],[Smoking Prevalence Associated with Intervention: Females]]</f>
        <v>44635.075791584626</v>
      </c>
      <c r="Q207" s="142">
        <f t="shared" si="40"/>
        <v>52309823.811782874</v>
      </c>
      <c r="R207" s="142">
        <f t="shared" si="41"/>
        <v>3709174.7982806824</v>
      </c>
      <c r="S207" s="142">
        <f>Table6570[[#This Row],[Excess Presenteeism (Costs) - Intervention Scenario:
Males]]+Table6570[[#This Row],[Excess Presenteeism (Costs) - Intervention Scenario:
Females]]</f>
        <v>56018998.610063553</v>
      </c>
      <c r="T207" s="145">
        <f>Table6570[[#This Row],[Excess Presenteeism (Costs):
Males]]-Table6570[[#This Row],[Excess Presenteeism (Costs) - Intervention Scenario:
Males]]</f>
        <v>16682538.656217135</v>
      </c>
      <c r="U207" s="145">
        <f>Table6570[[#This Row],[Excess Presenteeism (Costs):
Females]]-Table6570[[#This Row],[Excess Presenteeism (Costs) - Intervention Scenario:
Females]]</f>
        <v>1182922.2017193176</v>
      </c>
      <c r="V207" s="145">
        <f>Table6570[[#This Row],[Excess Presenteeism (Costs):
Total]]-Table6570[[#This Row],[Excess Presenteeism (Costs) - Intervention Scenario:
Total]]</f>
        <v>17865460.857936457</v>
      </c>
    </row>
    <row r="210" spans="2:22" ht="21">
      <c r="B210" s="81" t="s">
        <v>116</v>
      </c>
    </row>
    <row r="211" spans="2:22" ht="21">
      <c r="B211" s="81"/>
    </row>
    <row r="212" spans="2:22" ht="135">
      <c r="B212" s="71" t="s">
        <v>111</v>
      </c>
      <c r="C212" s="129" t="s">
        <v>175</v>
      </c>
      <c r="D212" s="128"/>
      <c r="E212" s="128"/>
      <c r="F212" s="128"/>
      <c r="G212" s="133" t="s">
        <v>176</v>
      </c>
      <c r="H212" s="134"/>
      <c r="I212" s="134"/>
      <c r="J212" s="134"/>
      <c r="K212" s="134"/>
      <c r="L212" s="68" t="s">
        <v>110</v>
      </c>
      <c r="M212" s="74" t="s">
        <v>177</v>
      </c>
      <c r="N212" s="70"/>
      <c r="O212" s="73" t="s">
        <v>178</v>
      </c>
      <c r="P212" s="72"/>
      <c r="Q212" s="72"/>
      <c r="R212" s="72"/>
      <c r="S212" s="72"/>
      <c r="T212" s="78" t="s">
        <v>179</v>
      </c>
      <c r="U212" s="75"/>
      <c r="V212" s="75"/>
    </row>
    <row r="214" spans="2:22" ht="69" customHeight="1" thickBot="1">
      <c r="B214" s="35" t="s">
        <v>81</v>
      </c>
      <c r="C214" s="35" t="s">
        <v>157</v>
      </c>
      <c r="D214" s="35" t="s">
        <v>158</v>
      </c>
      <c r="E214" s="35" t="s">
        <v>155</v>
      </c>
      <c r="F214" s="35" t="s">
        <v>156</v>
      </c>
      <c r="G214" s="35" t="s">
        <v>159</v>
      </c>
      <c r="H214" s="35" t="s">
        <v>160</v>
      </c>
      <c r="I214" s="34" t="s">
        <v>181</v>
      </c>
      <c r="J214" s="34" t="s">
        <v>182</v>
      </c>
      <c r="K214" s="34" t="s">
        <v>183</v>
      </c>
      <c r="L214" s="63" t="s">
        <v>72</v>
      </c>
      <c r="M214" s="135" t="s">
        <v>162</v>
      </c>
      <c r="N214" s="135" t="s">
        <v>163</v>
      </c>
      <c r="O214" s="137" t="s">
        <v>164</v>
      </c>
      <c r="P214" s="137" t="s">
        <v>165</v>
      </c>
      <c r="Q214" s="137" t="s">
        <v>184</v>
      </c>
      <c r="R214" s="137" t="s">
        <v>185</v>
      </c>
      <c r="S214" s="137" t="s">
        <v>186</v>
      </c>
      <c r="T214" s="143" t="s">
        <v>173</v>
      </c>
      <c r="U214" s="143" t="s">
        <v>172</v>
      </c>
      <c r="V214" s="143" t="s">
        <v>174</v>
      </c>
    </row>
    <row r="215" spans="2:22" ht="15.75" thickTop="1">
      <c r="B215" s="53">
        <v>0</v>
      </c>
      <c r="C215" s="124">
        <f t="shared" ref="C215:C230" si="42">$D$24</f>
        <v>938900</v>
      </c>
      <c r="D215" s="124">
        <f t="shared" ref="D215:D230" si="43">$E$24</f>
        <v>841000</v>
      </c>
      <c r="E215" s="120">
        <f t="shared" ref="E215:E230" si="44">$D$25</f>
        <v>0.56999999999999995</v>
      </c>
      <c r="F215" s="120">
        <f t="shared" ref="F215:F230" si="45">$E$25</f>
        <v>7.0000000000000007E-2</v>
      </c>
      <c r="G215" s="124">
        <f>Table656771[[#This Row],[Employed Persons:
Males]]*Table656771[[#This Row],[Smoking Prevalence:
Males]]</f>
        <v>535173</v>
      </c>
      <c r="H215" s="124">
        <f>Table656771[[#This Row],[Employed Persons:
Females]]*Table656771[[#This Row],[Smoking Prevalence:
Females]]</f>
        <v>58870.000000000007</v>
      </c>
      <c r="I215" s="49">
        <f>$C$10*Table656771[[#This Row],[Employed Smokers:
Males]]*D$27</f>
        <v>68992362.46800001</v>
      </c>
      <c r="J215" s="49">
        <f>$C$10*Table656771[[#This Row],[Employed Smokers:
Females]]*E$27</f>
        <v>4892097</v>
      </c>
      <c r="K215" s="12">
        <f>Table656771[[#This Row],[Excess Presenteeism (Costs):
Males]]+Table656771[[#This Row],[Excess Presenteeism (Costs):
Females]]</f>
        <v>73884459.46800001</v>
      </c>
      <c r="L215" s="67"/>
      <c r="M215" s="136">
        <f>Table656771[[#This Row],[Smoking Prevalence:
Males]]</f>
        <v>0.56999999999999995</v>
      </c>
      <c r="N215" s="136">
        <f>Table656771[[#This Row],[Smoking Prevalence:
Females]]</f>
        <v>7.0000000000000007E-2</v>
      </c>
      <c r="O215" s="138">
        <f>Table656771[[#This Row],[Employed Persons:
Males]]*Table656771[[#This Row],[Smoking Prevalence Associated with Intervention: Males]]</f>
        <v>535173</v>
      </c>
      <c r="P215" s="138">
        <f>Table656771[[#This Row],[Employed Persons:
Females]]*Table656771[[#This Row],[Smoking Prevalence Associated with Intervention: Females]]</f>
        <v>58870.000000000007</v>
      </c>
      <c r="Q215" s="140">
        <f t="shared" ref="Q215:Q230" si="46">$C$10*O215*D$27</f>
        <v>68992362.46800001</v>
      </c>
      <c r="R215" s="140">
        <f t="shared" ref="R215:R230" si="47">$C$10*P215*E$27</f>
        <v>4892097</v>
      </c>
      <c r="S215" s="141">
        <f>Table656771[[#This Row],[Excess Presenteeism (Costs) - Intervention Scenario:
Males]]+Table656771[[#This Row],[Excess Presenteeism (Costs) - Intervention Scenario:
Females]]</f>
        <v>73884459.46800001</v>
      </c>
      <c r="T215" s="144">
        <f>Table656771[[#This Row],[Excess Presenteeism (Costs):
Males]]-Table656771[[#This Row],[Excess Presenteeism (Costs) - Intervention Scenario:
Males]]</f>
        <v>0</v>
      </c>
      <c r="U215" s="144">
        <f>Table656771[[#This Row],[Excess Presenteeism (Costs):
Females]]-Table656771[[#This Row],[Excess Presenteeism (Costs) - Intervention Scenario:
Females]]</f>
        <v>0</v>
      </c>
      <c r="V215" s="144">
        <f>Table656771[[#This Row],[Excess Presenteeism (Costs):
Total]]-Table656771[[#This Row],[Excess Presenteeism (Costs) - Intervention Scenario:
Total]]</f>
        <v>0</v>
      </c>
    </row>
    <row r="216" spans="2:22">
      <c r="B216" s="54">
        <v>1</v>
      </c>
      <c r="C216" s="125">
        <f t="shared" si="42"/>
        <v>938900</v>
      </c>
      <c r="D216" s="125">
        <f t="shared" si="43"/>
        <v>841000</v>
      </c>
      <c r="E216" s="121">
        <f t="shared" si="44"/>
        <v>0.56999999999999995</v>
      </c>
      <c r="F216" s="121">
        <f t="shared" si="45"/>
        <v>7.0000000000000007E-2</v>
      </c>
      <c r="G216" s="125">
        <f>Table656771[[#This Row],[Employed Persons:
Males]]*Table656771[[#This Row],[Smoking Prevalence:
Males]]</f>
        <v>535173</v>
      </c>
      <c r="H216" s="125">
        <f>Table656771[[#This Row],[Employed Persons:
Females]]*Table656771[[#This Row],[Smoking Prevalence:
Females]]</f>
        <v>58870.000000000007</v>
      </c>
      <c r="I216" s="50">
        <f>$C$10*Table656771[[#This Row],[Employed Smokers:
Males]]*D$27</f>
        <v>68992362.46800001</v>
      </c>
      <c r="J216" s="12">
        <f>$C$10*Table656771[[#This Row],[Employed Smokers:
Females]]*E$27</f>
        <v>4892097</v>
      </c>
      <c r="K216" s="12">
        <f>Table656771[[#This Row],[Excess Presenteeism (Costs):
Males]]+Table656771[[#This Row],[Excess Presenteeism (Costs):
Females]]</f>
        <v>73884459.46800001</v>
      </c>
      <c r="L216" s="130">
        <v>-1.0800000000000001E-2</v>
      </c>
      <c r="M216" s="136">
        <f>M215*(1+Table656771[[#This Row],[Relative Change in Smoking Prevalence:
Smoke-Free Air Laws]])</f>
        <v>0.5638439999999999</v>
      </c>
      <c r="N216" s="136">
        <f>N215*(1+Table656771[[#This Row],[Relative Change in Smoking Prevalence:
Smoke-Free Air Laws]])</f>
        <v>6.9244E-2</v>
      </c>
      <c r="O216" s="138">
        <f>Table656771[[#This Row],[Employed Persons:
Males]]*Table656771[[#This Row],[Smoking Prevalence Associated with Intervention: Males]]</f>
        <v>529393.13159999996</v>
      </c>
      <c r="P216" s="138">
        <f>Table656771[[#This Row],[Employed Persons:
Females]]*Table656771[[#This Row],[Smoking Prevalence Associated with Intervention: Females]]</f>
        <v>58234.203999999998</v>
      </c>
      <c r="Q216" s="141">
        <f t="shared" si="46"/>
        <v>68247244.953345597</v>
      </c>
      <c r="R216" s="141">
        <f t="shared" si="47"/>
        <v>4839262.3524000002</v>
      </c>
      <c r="S216" s="141">
        <f>Table656771[[#This Row],[Excess Presenteeism (Costs) - Intervention Scenario:
Males]]+Table656771[[#This Row],[Excess Presenteeism (Costs) - Intervention Scenario:
Females]]</f>
        <v>73086507.305745602</v>
      </c>
      <c r="T216" s="144">
        <f>Table656771[[#This Row],[Excess Presenteeism (Costs):
Males]]-Table656771[[#This Row],[Excess Presenteeism (Costs) - Intervention Scenario:
Males]]</f>
        <v>745117.51465441287</v>
      </c>
      <c r="U216" s="144">
        <f>Table656771[[#This Row],[Excess Presenteeism (Costs):
Females]]-Table656771[[#This Row],[Excess Presenteeism (Costs) - Intervention Scenario:
Females]]</f>
        <v>52834.647599999793</v>
      </c>
      <c r="V216" s="144">
        <f>Table656771[[#This Row],[Excess Presenteeism (Costs):
Total]]-Table656771[[#This Row],[Excess Presenteeism (Costs) - Intervention Scenario:
Total]]</f>
        <v>797952.162254408</v>
      </c>
    </row>
    <row r="217" spans="2:22">
      <c r="B217" s="55">
        <v>2</v>
      </c>
      <c r="C217" s="126">
        <f t="shared" si="42"/>
        <v>938900</v>
      </c>
      <c r="D217" s="126">
        <f t="shared" si="43"/>
        <v>841000</v>
      </c>
      <c r="E217" s="122">
        <f t="shared" si="44"/>
        <v>0.56999999999999995</v>
      </c>
      <c r="F217" s="122">
        <f t="shared" si="45"/>
        <v>7.0000000000000007E-2</v>
      </c>
      <c r="G217" s="126">
        <f>Table656771[[#This Row],[Employed Persons:
Males]]*Table656771[[#This Row],[Smoking Prevalence:
Males]]</f>
        <v>535173</v>
      </c>
      <c r="H217" s="126">
        <f>Table656771[[#This Row],[Employed Persons:
Females]]*Table656771[[#This Row],[Smoking Prevalence:
Females]]</f>
        <v>58870.000000000007</v>
      </c>
      <c r="I217" s="51">
        <f>$C$10*Table656771[[#This Row],[Employed Smokers:
Males]]*D$27</f>
        <v>68992362.46800001</v>
      </c>
      <c r="J217" s="12">
        <f>$C$10*Table656771[[#This Row],[Employed Smokers:
Females]]*E$27</f>
        <v>4892097</v>
      </c>
      <c r="K217" s="12">
        <f>Table656771[[#This Row],[Excess Presenteeism (Costs):
Males]]+Table656771[[#This Row],[Excess Presenteeism (Costs):
Females]]</f>
        <v>73884459.46800001</v>
      </c>
      <c r="L217" s="130">
        <v>-1.0800000000000001E-2</v>
      </c>
      <c r="M217" s="136">
        <f>M216*(1+Table656771[[#This Row],[Relative Change in Smoking Prevalence:
Smoke-Free Air Laws]])</f>
        <v>0.55775448479999989</v>
      </c>
      <c r="N217" s="136">
        <f>N216*(1+Table656771[[#This Row],[Relative Change in Smoking Prevalence:
Smoke-Free Air Laws]])</f>
        <v>6.8496164799999995E-2</v>
      </c>
      <c r="O217" s="138">
        <f>Table656771[[#This Row],[Employed Persons:
Males]]*Table656771[[#This Row],[Smoking Prevalence Associated with Intervention: Males]]</f>
        <v>523675.6857787199</v>
      </c>
      <c r="P217" s="138">
        <f>Table656771[[#This Row],[Employed Persons:
Females]]*Table656771[[#This Row],[Smoking Prevalence Associated with Intervention: Females]]</f>
        <v>57605.274596799994</v>
      </c>
      <c r="Q217" s="141">
        <f t="shared" si="46"/>
        <v>67510174.707849458</v>
      </c>
      <c r="R217" s="141">
        <f t="shared" si="47"/>
        <v>4786998.3189940797</v>
      </c>
      <c r="S217" s="141">
        <f>Table656771[[#This Row],[Excess Presenteeism (Costs) - Intervention Scenario:
Males]]+Table656771[[#This Row],[Excess Presenteeism (Costs) - Intervention Scenario:
Females]]</f>
        <v>72297173.026843533</v>
      </c>
      <c r="T217" s="144">
        <f>Table656771[[#This Row],[Excess Presenteeism (Costs):
Males]]-Table656771[[#This Row],[Excess Presenteeism (Costs) - Intervention Scenario:
Males]]</f>
        <v>1482187.7601505518</v>
      </c>
      <c r="U217" s="144">
        <f>Table656771[[#This Row],[Excess Presenteeism (Costs):
Females]]-Table656771[[#This Row],[Excess Presenteeism (Costs) - Intervention Scenario:
Females]]</f>
        <v>105098.68100592028</v>
      </c>
      <c r="V217" s="144">
        <f>Table656771[[#This Row],[Excess Presenteeism (Costs):
Total]]-Table656771[[#This Row],[Excess Presenteeism (Costs) - Intervention Scenario:
Total]]</f>
        <v>1587286.4411564767</v>
      </c>
    </row>
    <row r="218" spans="2:22">
      <c r="B218" s="54">
        <v>3</v>
      </c>
      <c r="C218" s="125">
        <f t="shared" si="42"/>
        <v>938900</v>
      </c>
      <c r="D218" s="125">
        <f t="shared" si="43"/>
        <v>841000</v>
      </c>
      <c r="E218" s="121">
        <f t="shared" si="44"/>
        <v>0.56999999999999995</v>
      </c>
      <c r="F218" s="121">
        <f t="shared" si="45"/>
        <v>7.0000000000000007E-2</v>
      </c>
      <c r="G218" s="125">
        <f>Table656771[[#This Row],[Employed Persons:
Males]]*Table656771[[#This Row],[Smoking Prevalence:
Males]]</f>
        <v>535173</v>
      </c>
      <c r="H218" s="125">
        <f>Table656771[[#This Row],[Employed Persons:
Females]]*Table656771[[#This Row],[Smoking Prevalence:
Females]]</f>
        <v>58870.000000000007</v>
      </c>
      <c r="I218" s="50">
        <f>$C$10*Table656771[[#This Row],[Employed Smokers:
Males]]*D$27</f>
        <v>68992362.46800001</v>
      </c>
      <c r="J218" s="12">
        <f>$C$10*Table656771[[#This Row],[Employed Smokers:
Females]]*E$27</f>
        <v>4892097</v>
      </c>
      <c r="K218" s="12">
        <f>Table656771[[#This Row],[Excess Presenteeism (Costs):
Males]]+Table656771[[#This Row],[Excess Presenteeism (Costs):
Females]]</f>
        <v>73884459.46800001</v>
      </c>
      <c r="L218" s="130">
        <v>-1.0800000000000001E-2</v>
      </c>
      <c r="M218" s="136">
        <f>M217*(1+Table656771[[#This Row],[Relative Change in Smoking Prevalence:
Smoke-Free Air Laws]])</f>
        <v>0.55173073636415992</v>
      </c>
      <c r="N218" s="136">
        <f>N217*(1+Table656771[[#This Row],[Relative Change in Smoking Prevalence:
Smoke-Free Air Laws]])</f>
        <v>6.7756406220159993E-2</v>
      </c>
      <c r="O218" s="138">
        <f>Table656771[[#This Row],[Employed Persons:
Males]]*Table656771[[#This Row],[Smoking Prevalence Associated with Intervention: Males]]</f>
        <v>518019.98837230977</v>
      </c>
      <c r="P218" s="138">
        <f>Table656771[[#This Row],[Employed Persons:
Females]]*Table656771[[#This Row],[Smoking Prevalence Associated with Intervention: Females]]</f>
        <v>56983.137631154554</v>
      </c>
      <c r="Q218" s="141">
        <f t="shared" si="46"/>
        <v>66781064.821004689</v>
      </c>
      <c r="R218" s="141">
        <f t="shared" si="47"/>
        <v>4735298.7371489434</v>
      </c>
      <c r="S218" s="141">
        <f>Table656771[[#This Row],[Excess Presenteeism (Costs) - Intervention Scenario:
Males]]+Table656771[[#This Row],[Excess Presenteeism (Costs) - Intervention Scenario:
Females]]</f>
        <v>71516363.558153629</v>
      </c>
      <c r="T218" s="144">
        <f>Table656771[[#This Row],[Excess Presenteeism (Costs):
Males]]-Table656771[[#This Row],[Excess Presenteeism (Costs) - Intervention Scenario:
Males]]</f>
        <v>2211297.6469953209</v>
      </c>
      <c r="U218" s="144">
        <f>Table656771[[#This Row],[Excess Presenteeism (Costs):
Females]]-Table656771[[#This Row],[Excess Presenteeism (Costs) - Intervention Scenario:
Females]]</f>
        <v>156798.26285105664</v>
      </c>
      <c r="V218" s="144">
        <f>Table656771[[#This Row],[Excess Presenteeism (Costs):
Total]]-Table656771[[#This Row],[Excess Presenteeism (Costs) - Intervention Scenario:
Total]]</f>
        <v>2368095.9098463804</v>
      </c>
    </row>
    <row r="219" spans="2:22">
      <c r="B219" s="55">
        <v>4</v>
      </c>
      <c r="C219" s="126">
        <f t="shared" si="42"/>
        <v>938900</v>
      </c>
      <c r="D219" s="126">
        <f t="shared" si="43"/>
        <v>841000</v>
      </c>
      <c r="E219" s="122">
        <f t="shared" si="44"/>
        <v>0.56999999999999995</v>
      </c>
      <c r="F219" s="122">
        <f t="shared" si="45"/>
        <v>7.0000000000000007E-2</v>
      </c>
      <c r="G219" s="126">
        <f>Table656771[[#This Row],[Employed Persons:
Males]]*Table656771[[#This Row],[Smoking Prevalence:
Males]]</f>
        <v>535173</v>
      </c>
      <c r="H219" s="126">
        <f>Table656771[[#This Row],[Employed Persons:
Females]]*Table656771[[#This Row],[Smoking Prevalence:
Females]]</f>
        <v>58870.000000000007</v>
      </c>
      <c r="I219" s="51">
        <f>$C$10*Table656771[[#This Row],[Employed Smokers:
Males]]*D$27</f>
        <v>68992362.46800001</v>
      </c>
      <c r="J219" s="12">
        <f>$C$10*Table656771[[#This Row],[Employed Smokers:
Females]]*E$27</f>
        <v>4892097</v>
      </c>
      <c r="K219" s="12">
        <f>Table656771[[#This Row],[Excess Presenteeism (Costs):
Males]]+Table656771[[#This Row],[Excess Presenteeism (Costs):
Females]]</f>
        <v>73884459.46800001</v>
      </c>
      <c r="L219" s="130">
        <v>-1.0800000000000001E-2</v>
      </c>
      <c r="M219" s="136">
        <f>M218*(1+Table656771[[#This Row],[Relative Change in Smoking Prevalence:
Smoke-Free Air Laws]])</f>
        <v>0.54577204441142702</v>
      </c>
      <c r="N219" s="136">
        <f>N218*(1+Table656771[[#This Row],[Relative Change in Smoking Prevalence:
Smoke-Free Air Laws]])</f>
        <v>6.7024637032982268E-2</v>
      </c>
      <c r="O219" s="138">
        <f>Table656771[[#This Row],[Employed Persons:
Males]]*Table656771[[#This Row],[Smoking Prevalence Associated with Intervention: Males]]</f>
        <v>512425.37249788881</v>
      </c>
      <c r="P219" s="138">
        <f>Table656771[[#This Row],[Employed Persons:
Females]]*Table656771[[#This Row],[Smoking Prevalence Associated with Intervention: Females]]</f>
        <v>56367.71974473809</v>
      </c>
      <c r="Q219" s="141">
        <f t="shared" si="46"/>
        <v>66059829.320937842</v>
      </c>
      <c r="R219" s="141">
        <f t="shared" si="47"/>
        <v>4684157.5107877348</v>
      </c>
      <c r="S219" s="141">
        <f>Table656771[[#This Row],[Excess Presenteeism (Costs) - Intervention Scenario:
Males]]+Table656771[[#This Row],[Excess Presenteeism (Costs) - Intervention Scenario:
Females]]</f>
        <v>70743986.831725582</v>
      </c>
      <c r="T219" s="144">
        <f>Table656771[[#This Row],[Excess Presenteeism (Costs):
Males]]-Table656771[[#This Row],[Excess Presenteeism (Costs) - Intervention Scenario:
Males]]</f>
        <v>2932533.1470621675</v>
      </c>
      <c r="U219" s="144">
        <f>Table656771[[#This Row],[Excess Presenteeism (Costs):
Females]]-Table656771[[#This Row],[Excess Presenteeism (Costs) - Intervention Scenario:
Females]]</f>
        <v>207939.48921226524</v>
      </c>
      <c r="V219" s="144">
        <f>Table656771[[#This Row],[Excess Presenteeism (Costs):
Total]]-Table656771[[#This Row],[Excess Presenteeism (Costs) - Intervention Scenario:
Total]]</f>
        <v>3140472.6362744272</v>
      </c>
    </row>
    <row r="220" spans="2:22" customFormat="1">
      <c r="B220" s="54">
        <v>5</v>
      </c>
      <c r="C220" s="125">
        <f t="shared" si="42"/>
        <v>938900</v>
      </c>
      <c r="D220" s="125">
        <f t="shared" si="43"/>
        <v>841000</v>
      </c>
      <c r="E220" s="121">
        <f t="shared" si="44"/>
        <v>0.56999999999999995</v>
      </c>
      <c r="F220" s="121">
        <f t="shared" si="45"/>
        <v>7.0000000000000007E-2</v>
      </c>
      <c r="G220" s="125">
        <f>Table656771[[#This Row],[Employed Persons:
Males]]*Table656771[[#This Row],[Smoking Prevalence:
Males]]</f>
        <v>535173</v>
      </c>
      <c r="H220" s="125">
        <f>Table656771[[#This Row],[Employed Persons:
Females]]*Table656771[[#This Row],[Smoking Prevalence:
Females]]</f>
        <v>58870.000000000007</v>
      </c>
      <c r="I220" s="50">
        <f>$C$10*Table656771[[#This Row],[Employed Smokers:
Males]]*D$27</f>
        <v>68992362.46800001</v>
      </c>
      <c r="J220" s="15">
        <f>$C$10*Table656771[[#This Row],[Employed Smokers:
Females]]*E$27</f>
        <v>4892097</v>
      </c>
      <c r="K220" s="15">
        <f>Table656771[[#This Row],[Excess Presenteeism (Costs):
Males]]+Table656771[[#This Row],[Excess Presenteeism (Costs):
Females]]</f>
        <v>73884459.46800001</v>
      </c>
      <c r="L220" s="131">
        <v>-1.0800000000000001E-2</v>
      </c>
      <c r="M220" s="136">
        <f>M219*(1+Table656771[[#This Row],[Relative Change in Smoking Prevalence:
Smoke-Free Air Laws]])</f>
        <v>0.53987770633178356</v>
      </c>
      <c r="N220" s="136">
        <f>N219*(1+Table656771[[#This Row],[Relative Change in Smoking Prevalence:
Smoke-Free Air Laws]])</f>
        <v>6.6300770953026056E-2</v>
      </c>
      <c r="O220" s="139">
        <f>Table656771[[#This Row],[Employed Persons:
Males]]*Table656771[[#This Row],[Smoking Prevalence Associated with Intervention: Males]]</f>
        <v>506891.17847491161</v>
      </c>
      <c r="P220" s="139">
        <f>Table656771[[#This Row],[Employed Persons:
Females]]*Table656771[[#This Row],[Smoking Prevalence Associated with Intervention: Females]]</f>
        <v>55758.948371494917</v>
      </c>
      <c r="Q220" s="142">
        <f t="shared" si="46"/>
        <v>65346383.164271705</v>
      </c>
      <c r="R220" s="142">
        <f t="shared" si="47"/>
        <v>4633568.6096712276</v>
      </c>
      <c r="S220" s="142">
        <f>Table656771[[#This Row],[Excess Presenteeism (Costs) - Intervention Scenario:
Males]]+Table656771[[#This Row],[Excess Presenteeism (Costs) - Intervention Scenario:
Females]]</f>
        <v>69979951.773942932</v>
      </c>
      <c r="T220" s="145">
        <f>Table656771[[#This Row],[Excess Presenteeism (Costs):
Males]]-Table656771[[#This Row],[Excess Presenteeism (Costs) - Intervention Scenario:
Males]]</f>
        <v>3645979.3037283048</v>
      </c>
      <c r="U220" s="145">
        <f>Table656771[[#This Row],[Excess Presenteeism (Costs):
Females]]-Table656771[[#This Row],[Excess Presenteeism (Costs) - Intervention Scenario:
Females]]</f>
        <v>258528.39032877237</v>
      </c>
      <c r="V220" s="145">
        <f>Table656771[[#This Row],[Excess Presenteeism (Costs):
Total]]-Table656771[[#This Row],[Excess Presenteeism (Costs) - Intervention Scenario:
Total]]</f>
        <v>3904507.6940570772</v>
      </c>
    </row>
    <row r="221" spans="2:22" customFormat="1">
      <c r="B221" s="55">
        <v>6</v>
      </c>
      <c r="C221" s="126">
        <f t="shared" si="42"/>
        <v>938900</v>
      </c>
      <c r="D221" s="126">
        <f t="shared" si="43"/>
        <v>841000</v>
      </c>
      <c r="E221" s="122">
        <f t="shared" si="44"/>
        <v>0.56999999999999995</v>
      </c>
      <c r="F221" s="122">
        <f t="shared" si="45"/>
        <v>7.0000000000000007E-2</v>
      </c>
      <c r="G221" s="126">
        <f>Table656771[[#This Row],[Employed Persons:
Males]]*Table656771[[#This Row],[Smoking Prevalence:
Males]]</f>
        <v>535173</v>
      </c>
      <c r="H221" s="126">
        <f>Table656771[[#This Row],[Employed Persons:
Females]]*Table656771[[#This Row],[Smoking Prevalence:
Females]]</f>
        <v>58870.000000000007</v>
      </c>
      <c r="I221" s="51">
        <f>$C$10*Table656771[[#This Row],[Employed Smokers:
Males]]*D$27</f>
        <v>68992362.46800001</v>
      </c>
      <c r="J221" s="15">
        <f>$C$10*Table656771[[#This Row],[Employed Smokers:
Females]]*E$27</f>
        <v>4892097</v>
      </c>
      <c r="K221" s="15">
        <f>Table656771[[#This Row],[Excess Presenteeism (Costs):
Males]]+Table656771[[#This Row],[Excess Presenteeism (Costs):
Females]]</f>
        <v>73884459.46800001</v>
      </c>
      <c r="L221" s="132">
        <v>-8.0000000000000004E-4</v>
      </c>
      <c r="M221" s="136">
        <f>M220*(1+Table656771[[#This Row],[Relative Change in Smoking Prevalence:
Smoke-Free Air Laws]])</f>
        <v>0.53944580416671817</v>
      </c>
      <c r="N221" s="136">
        <f>N220*(1+Table656771[[#This Row],[Relative Change in Smoking Prevalence:
Smoke-Free Air Laws]])</f>
        <v>6.6247730336263633E-2</v>
      </c>
      <c r="O221" s="139">
        <f>Table656771[[#This Row],[Employed Persons:
Males]]*Table656771[[#This Row],[Smoking Prevalence Associated with Intervention: Males]]</f>
        <v>506485.66553213168</v>
      </c>
      <c r="P221" s="139">
        <f>Table656771[[#This Row],[Employed Persons:
Females]]*Table656771[[#This Row],[Smoking Prevalence Associated with Intervention: Females]]</f>
        <v>55714.341212797714</v>
      </c>
      <c r="Q221" s="142">
        <f t="shared" si="46"/>
        <v>65294106.057740286</v>
      </c>
      <c r="R221" s="142">
        <f t="shared" si="47"/>
        <v>4629861.7547834907</v>
      </c>
      <c r="S221" s="142">
        <f>Table656771[[#This Row],[Excess Presenteeism (Costs) - Intervention Scenario:
Males]]+Table656771[[#This Row],[Excess Presenteeism (Costs) - Intervention Scenario:
Females]]</f>
        <v>69923967.812523782</v>
      </c>
      <c r="T221" s="145">
        <f>Table656771[[#This Row],[Excess Presenteeism (Costs):
Males]]-Table656771[[#This Row],[Excess Presenteeism (Costs) - Intervention Scenario:
Males]]</f>
        <v>3698256.4102597237</v>
      </c>
      <c r="U221" s="145">
        <f>Table656771[[#This Row],[Excess Presenteeism (Costs):
Females]]-Table656771[[#This Row],[Excess Presenteeism (Costs) - Intervention Scenario:
Females]]</f>
        <v>262235.24521650933</v>
      </c>
      <c r="V221" s="145">
        <f>Table656771[[#This Row],[Excess Presenteeism (Costs):
Total]]-Table656771[[#This Row],[Excess Presenteeism (Costs) - Intervention Scenario:
Total]]</f>
        <v>3960491.6554762274</v>
      </c>
    </row>
    <row r="222" spans="2:22" customFormat="1">
      <c r="B222" s="54">
        <v>7</v>
      </c>
      <c r="C222" s="125">
        <f t="shared" si="42"/>
        <v>938900</v>
      </c>
      <c r="D222" s="125">
        <f t="shared" si="43"/>
        <v>841000</v>
      </c>
      <c r="E222" s="121">
        <f t="shared" si="44"/>
        <v>0.56999999999999995</v>
      </c>
      <c r="F222" s="121">
        <f t="shared" si="45"/>
        <v>7.0000000000000007E-2</v>
      </c>
      <c r="G222" s="125">
        <f>Table656771[[#This Row],[Employed Persons:
Males]]*Table656771[[#This Row],[Smoking Prevalence:
Males]]</f>
        <v>535173</v>
      </c>
      <c r="H222" s="125">
        <f>Table656771[[#This Row],[Employed Persons:
Females]]*Table656771[[#This Row],[Smoking Prevalence:
Females]]</f>
        <v>58870.000000000007</v>
      </c>
      <c r="I222" s="50">
        <f>$C$10*Table656771[[#This Row],[Employed Smokers:
Males]]*D$27</f>
        <v>68992362.46800001</v>
      </c>
      <c r="J222" s="15">
        <f>$C$10*Table656771[[#This Row],[Employed Smokers:
Females]]*E$27</f>
        <v>4892097</v>
      </c>
      <c r="K222" s="15">
        <f>Table656771[[#This Row],[Excess Presenteeism (Costs):
Males]]+Table656771[[#This Row],[Excess Presenteeism (Costs):
Females]]</f>
        <v>73884459.46800001</v>
      </c>
      <c r="L222" s="132">
        <v>-8.0000000000000004E-4</v>
      </c>
      <c r="M222" s="136">
        <f>M221*(1+Table656771[[#This Row],[Relative Change in Smoking Prevalence:
Smoke-Free Air Laws]])</f>
        <v>0.53901424752338478</v>
      </c>
      <c r="N222" s="136">
        <f>N221*(1+Table656771[[#This Row],[Relative Change in Smoking Prevalence:
Smoke-Free Air Laws]])</f>
        <v>6.6194732151994617E-2</v>
      </c>
      <c r="O222" s="139">
        <f>Table656771[[#This Row],[Employed Persons:
Males]]*Table656771[[#This Row],[Smoking Prevalence Associated with Intervention: Males]]</f>
        <v>506080.47699970595</v>
      </c>
      <c r="P222" s="139">
        <f>Table656771[[#This Row],[Employed Persons:
Females]]*Table656771[[#This Row],[Smoking Prevalence Associated with Intervention: Females]]</f>
        <v>55669.769739827476</v>
      </c>
      <c r="Q222" s="142">
        <f t="shared" si="46"/>
        <v>65241870.772894092</v>
      </c>
      <c r="R222" s="142">
        <f t="shared" si="47"/>
        <v>4626157.8653796632</v>
      </c>
      <c r="S222" s="142">
        <f>Table656771[[#This Row],[Excess Presenteeism (Costs) - Intervention Scenario:
Males]]+Table656771[[#This Row],[Excess Presenteeism (Costs) - Intervention Scenario:
Females]]</f>
        <v>69868028.638273761</v>
      </c>
      <c r="T222" s="145">
        <f>Table656771[[#This Row],[Excess Presenteeism (Costs):
Males]]-Table656771[[#This Row],[Excess Presenteeism (Costs) - Intervention Scenario:
Males]]</f>
        <v>3750491.6951059178</v>
      </c>
      <c r="U222" s="145">
        <f>Table656771[[#This Row],[Excess Presenteeism (Costs):
Females]]-Table656771[[#This Row],[Excess Presenteeism (Costs) - Intervention Scenario:
Females]]</f>
        <v>265939.13462033682</v>
      </c>
      <c r="V222" s="145">
        <f>Table656771[[#This Row],[Excess Presenteeism (Costs):
Total]]-Table656771[[#This Row],[Excess Presenteeism (Costs) - Intervention Scenario:
Total]]</f>
        <v>4016430.829726249</v>
      </c>
    </row>
    <row r="223" spans="2:22" customFormat="1">
      <c r="B223" s="55">
        <v>8</v>
      </c>
      <c r="C223" s="126">
        <f t="shared" si="42"/>
        <v>938900</v>
      </c>
      <c r="D223" s="126">
        <f t="shared" si="43"/>
        <v>841000</v>
      </c>
      <c r="E223" s="122">
        <f t="shared" si="44"/>
        <v>0.56999999999999995</v>
      </c>
      <c r="F223" s="122">
        <f t="shared" si="45"/>
        <v>7.0000000000000007E-2</v>
      </c>
      <c r="G223" s="126">
        <f>Table656771[[#This Row],[Employed Persons:
Males]]*Table656771[[#This Row],[Smoking Prevalence:
Males]]</f>
        <v>535173</v>
      </c>
      <c r="H223" s="126">
        <f>Table656771[[#This Row],[Employed Persons:
Females]]*Table656771[[#This Row],[Smoking Prevalence:
Females]]</f>
        <v>58870.000000000007</v>
      </c>
      <c r="I223" s="51">
        <f>$C$10*Table656771[[#This Row],[Employed Smokers:
Males]]*D$27</f>
        <v>68992362.46800001</v>
      </c>
      <c r="J223" s="15">
        <f>$C$10*Table656771[[#This Row],[Employed Smokers:
Females]]*E$27</f>
        <v>4892097</v>
      </c>
      <c r="K223" s="15">
        <f>Table656771[[#This Row],[Excess Presenteeism (Costs):
Males]]+Table656771[[#This Row],[Excess Presenteeism (Costs):
Females]]</f>
        <v>73884459.46800001</v>
      </c>
      <c r="L223" s="132">
        <v>-8.0000000000000004E-4</v>
      </c>
      <c r="M223" s="136">
        <f>M222*(1+Table656771[[#This Row],[Relative Change in Smoking Prevalence:
Smoke-Free Air Laws]])</f>
        <v>0.53858303612536607</v>
      </c>
      <c r="N223" s="136">
        <f>N222*(1+Table656771[[#This Row],[Relative Change in Smoking Prevalence:
Smoke-Free Air Laws]])</f>
        <v>6.6141776366273025E-2</v>
      </c>
      <c r="O223" s="139">
        <f>Table656771[[#This Row],[Employed Persons:
Males]]*Table656771[[#This Row],[Smoking Prevalence Associated with Intervention: Males]]</f>
        <v>505675.61261810618</v>
      </c>
      <c r="P223" s="139">
        <f>Table656771[[#This Row],[Employed Persons:
Females]]*Table656771[[#This Row],[Smoking Prevalence Associated with Intervention: Females]]</f>
        <v>55625.233924035616</v>
      </c>
      <c r="Q223" s="142">
        <f t="shared" si="46"/>
        <v>65189677.276275776</v>
      </c>
      <c r="R223" s="142">
        <f t="shared" si="47"/>
        <v>4622456.9390873592</v>
      </c>
      <c r="S223" s="142">
        <f>Table656771[[#This Row],[Excess Presenteeism (Costs) - Intervention Scenario:
Males]]+Table656771[[#This Row],[Excess Presenteeism (Costs) - Intervention Scenario:
Females]]</f>
        <v>69812134.21536313</v>
      </c>
      <c r="T223" s="145">
        <f>Table656771[[#This Row],[Excess Presenteeism (Costs):
Males]]-Table656771[[#This Row],[Excess Presenteeism (Costs) - Intervention Scenario:
Males]]</f>
        <v>3802685.1917242333</v>
      </c>
      <c r="U223" s="145">
        <f>Table656771[[#This Row],[Excess Presenteeism (Costs):
Females]]-Table656771[[#This Row],[Excess Presenteeism (Costs) - Intervention Scenario:
Females]]</f>
        <v>269640.06091264077</v>
      </c>
      <c r="V223" s="145">
        <f>Table656771[[#This Row],[Excess Presenteeism (Costs):
Total]]-Table656771[[#This Row],[Excess Presenteeism (Costs) - Intervention Scenario:
Total]]</f>
        <v>4072325.2526368797</v>
      </c>
    </row>
    <row r="224" spans="2:22" customFormat="1">
      <c r="B224" s="54">
        <v>9</v>
      </c>
      <c r="C224" s="125">
        <f t="shared" si="42"/>
        <v>938900</v>
      </c>
      <c r="D224" s="125">
        <f t="shared" si="43"/>
        <v>841000</v>
      </c>
      <c r="E224" s="121">
        <f t="shared" si="44"/>
        <v>0.56999999999999995</v>
      </c>
      <c r="F224" s="121">
        <f t="shared" si="45"/>
        <v>7.0000000000000007E-2</v>
      </c>
      <c r="G224" s="125">
        <f>Table656771[[#This Row],[Employed Persons:
Males]]*Table656771[[#This Row],[Smoking Prevalence:
Males]]</f>
        <v>535173</v>
      </c>
      <c r="H224" s="125">
        <f>Table656771[[#This Row],[Employed Persons:
Females]]*Table656771[[#This Row],[Smoking Prevalence:
Females]]</f>
        <v>58870.000000000007</v>
      </c>
      <c r="I224" s="50">
        <f>$C$10*Table656771[[#This Row],[Employed Smokers:
Males]]*D$27</f>
        <v>68992362.46800001</v>
      </c>
      <c r="J224" s="15">
        <f>$C$10*Table656771[[#This Row],[Employed Smokers:
Females]]*E$27</f>
        <v>4892097</v>
      </c>
      <c r="K224" s="15">
        <f>Table656771[[#This Row],[Excess Presenteeism (Costs):
Males]]+Table656771[[#This Row],[Excess Presenteeism (Costs):
Females]]</f>
        <v>73884459.46800001</v>
      </c>
      <c r="L224" s="132">
        <v>-8.0000000000000004E-4</v>
      </c>
      <c r="M224" s="136">
        <f>M223*(1+Table656771[[#This Row],[Relative Change in Smoking Prevalence:
Smoke-Free Air Laws]])</f>
        <v>0.53815216969646573</v>
      </c>
      <c r="N224" s="136">
        <f>N223*(1+Table656771[[#This Row],[Relative Change in Smoking Prevalence:
Smoke-Free Air Laws]])</f>
        <v>6.6088862945180002E-2</v>
      </c>
      <c r="O224" s="139">
        <f>Table656771[[#This Row],[Employed Persons:
Males]]*Table656771[[#This Row],[Smoking Prevalence Associated with Intervention: Males]]</f>
        <v>505271.07212801167</v>
      </c>
      <c r="P224" s="139">
        <f>Table656771[[#This Row],[Employed Persons:
Females]]*Table656771[[#This Row],[Smoking Prevalence Associated with Intervention: Females]]</f>
        <v>55580.733736896378</v>
      </c>
      <c r="Q224" s="142">
        <f t="shared" si="46"/>
        <v>65137525.534454755</v>
      </c>
      <c r="R224" s="142">
        <f t="shared" si="47"/>
        <v>4618758.9735360891</v>
      </c>
      <c r="S224" s="142">
        <f>Table656771[[#This Row],[Excess Presenteeism (Costs) - Intervention Scenario:
Males]]+Table656771[[#This Row],[Excess Presenteeism (Costs) - Intervention Scenario:
Females]]</f>
        <v>69756284.507990837</v>
      </c>
      <c r="T224" s="145">
        <f>Table656771[[#This Row],[Excess Presenteeism (Costs):
Males]]-Table656771[[#This Row],[Excess Presenteeism (Costs) - Intervention Scenario:
Males]]</f>
        <v>3854836.9335452542</v>
      </c>
      <c r="U224" s="145">
        <f>Table656771[[#This Row],[Excess Presenteeism (Costs):
Females]]-Table656771[[#This Row],[Excess Presenteeism (Costs) - Intervention Scenario:
Females]]</f>
        <v>273338.02646391094</v>
      </c>
      <c r="V224" s="145">
        <f>Table656771[[#This Row],[Excess Presenteeism (Costs):
Total]]-Table656771[[#This Row],[Excess Presenteeism (Costs) - Intervention Scenario:
Total]]</f>
        <v>4128174.9600091726</v>
      </c>
    </row>
    <row r="225" spans="2:22" customFormat="1">
      <c r="B225" s="55">
        <v>10</v>
      </c>
      <c r="C225" s="126">
        <f t="shared" si="42"/>
        <v>938900</v>
      </c>
      <c r="D225" s="126">
        <f t="shared" si="43"/>
        <v>841000</v>
      </c>
      <c r="E225" s="122">
        <f t="shared" si="44"/>
        <v>0.56999999999999995</v>
      </c>
      <c r="F225" s="122">
        <f t="shared" si="45"/>
        <v>7.0000000000000007E-2</v>
      </c>
      <c r="G225" s="126">
        <f>Table656771[[#This Row],[Employed Persons:
Males]]*Table656771[[#This Row],[Smoking Prevalence:
Males]]</f>
        <v>535173</v>
      </c>
      <c r="H225" s="126">
        <f>Table656771[[#This Row],[Employed Persons:
Females]]*Table656771[[#This Row],[Smoking Prevalence:
Females]]</f>
        <v>58870.000000000007</v>
      </c>
      <c r="I225" s="51">
        <f>$C$10*Table656771[[#This Row],[Employed Smokers:
Males]]*D$27</f>
        <v>68992362.46800001</v>
      </c>
      <c r="J225" s="15">
        <f>$C$10*Table656771[[#This Row],[Employed Smokers:
Females]]*E$27</f>
        <v>4892097</v>
      </c>
      <c r="K225" s="15">
        <f>Table656771[[#This Row],[Excess Presenteeism (Costs):
Males]]+Table656771[[#This Row],[Excess Presenteeism (Costs):
Females]]</f>
        <v>73884459.46800001</v>
      </c>
      <c r="L225" s="132">
        <v>-8.0000000000000004E-4</v>
      </c>
      <c r="M225" s="136">
        <f>M224*(1+Table656771[[#This Row],[Relative Change in Smoking Prevalence:
Smoke-Free Air Laws]])</f>
        <v>0.53772164796070854</v>
      </c>
      <c r="N225" s="136">
        <f>N224*(1+Table656771[[#This Row],[Relative Change in Smoking Prevalence:
Smoke-Free Air Laws]])</f>
        <v>6.6035991854823853E-2</v>
      </c>
      <c r="O225" s="139">
        <f>Table656771[[#This Row],[Employed Persons:
Males]]*Table656771[[#This Row],[Smoking Prevalence Associated with Intervention: Males]]</f>
        <v>504866.85527030926</v>
      </c>
      <c r="P225" s="139">
        <f>Table656771[[#This Row],[Employed Persons:
Females]]*Table656771[[#This Row],[Smoking Prevalence Associated with Intervention: Females]]</f>
        <v>55536.269149906861</v>
      </c>
      <c r="Q225" s="142">
        <f t="shared" si="46"/>
        <v>65085415.514027186</v>
      </c>
      <c r="R225" s="142">
        <f t="shared" si="47"/>
        <v>4615063.9663572609</v>
      </c>
      <c r="S225" s="142">
        <f>Table656771[[#This Row],[Excess Presenteeism (Costs) - Intervention Scenario:
Males]]+Table656771[[#This Row],[Excess Presenteeism (Costs) - Intervention Scenario:
Females]]</f>
        <v>69700479.480384439</v>
      </c>
      <c r="T225" s="145">
        <f>Table656771[[#This Row],[Excess Presenteeism (Costs):
Males]]-Table656771[[#This Row],[Excess Presenteeism (Costs) - Intervention Scenario:
Males]]</f>
        <v>3906946.9539728239</v>
      </c>
      <c r="U225" s="145">
        <f>Table656771[[#This Row],[Excess Presenteeism (Costs):
Females]]-Table656771[[#This Row],[Excess Presenteeism (Costs) - Intervention Scenario:
Females]]</f>
        <v>277033.03364273906</v>
      </c>
      <c r="V225" s="145">
        <f>Table656771[[#This Row],[Excess Presenteeism (Costs):
Total]]-Table656771[[#This Row],[Excess Presenteeism (Costs) - Intervention Scenario:
Total]]</f>
        <v>4183979.9876155704</v>
      </c>
    </row>
    <row r="226" spans="2:22" customFormat="1">
      <c r="B226" s="54">
        <v>11</v>
      </c>
      <c r="C226" s="125">
        <f t="shared" si="42"/>
        <v>938900</v>
      </c>
      <c r="D226" s="125">
        <f t="shared" si="43"/>
        <v>841000</v>
      </c>
      <c r="E226" s="121">
        <f t="shared" si="44"/>
        <v>0.56999999999999995</v>
      </c>
      <c r="F226" s="121">
        <f t="shared" si="45"/>
        <v>7.0000000000000007E-2</v>
      </c>
      <c r="G226" s="125">
        <f>Table656771[[#This Row],[Employed Persons:
Males]]*Table656771[[#This Row],[Smoking Prevalence:
Males]]</f>
        <v>535173</v>
      </c>
      <c r="H226" s="125">
        <f>Table656771[[#This Row],[Employed Persons:
Females]]*Table656771[[#This Row],[Smoking Prevalence:
Females]]</f>
        <v>58870.000000000007</v>
      </c>
      <c r="I226" s="50">
        <f>$C$10*Table656771[[#This Row],[Employed Smokers:
Males]]*D$27</f>
        <v>68992362.46800001</v>
      </c>
      <c r="J226" s="15">
        <f>$C$10*Table656771[[#This Row],[Employed Smokers:
Females]]*E$27</f>
        <v>4892097</v>
      </c>
      <c r="K226" s="15">
        <f>Table656771[[#This Row],[Excess Presenteeism (Costs):
Males]]+Table656771[[#This Row],[Excess Presenteeism (Costs):
Females]]</f>
        <v>73884459.46800001</v>
      </c>
      <c r="L226" s="132">
        <v>-8.0000000000000004E-4</v>
      </c>
      <c r="M226" s="136">
        <f>M225*(1+Table656771[[#This Row],[Relative Change in Smoking Prevalence:
Smoke-Free Air Laws]])</f>
        <v>0.53729147064233995</v>
      </c>
      <c r="N226" s="136">
        <f>N225*(1+Table656771[[#This Row],[Relative Change in Smoking Prevalence:
Smoke-Free Air Laws]])</f>
        <v>6.5983163061339986E-2</v>
      </c>
      <c r="O226" s="139">
        <f>Table656771[[#This Row],[Employed Persons:
Males]]*Table656771[[#This Row],[Smoking Prevalence Associated with Intervention: Males]]</f>
        <v>504462.96178609296</v>
      </c>
      <c r="P226" s="139">
        <f>Table656771[[#This Row],[Employed Persons:
Females]]*Table656771[[#This Row],[Smoking Prevalence Associated with Intervention: Females]]</f>
        <v>55491.840134586928</v>
      </c>
      <c r="Q226" s="142">
        <f t="shared" si="46"/>
        <v>65033347.181615964</v>
      </c>
      <c r="R226" s="142">
        <f t="shared" si="47"/>
        <v>4611371.9151841737</v>
      </c>
      <c r="S226" s="142">
        <f>Table656771[[#This Row],[Excess Presenteeism (Costs) - Intervention Scenario:
Males]]+Table656771[[#This Row],[Excess Presenteeism (Costs) - Intervention Scenario:
Females]]</f>
        <v>69644719.096800134</v>
      </c>
      <c r="T226" s="145">
        <f>Table656771[[#This Row],[Excess Presenteeism (Costs):
Males]]-Table656771[[#This Row],[Excess Presenteeism (Costs) - Intervention Scenario:
Males]]</f>
        <v>3959015.2863840461</v>
      </c>
      <c r="U226" s="145">
        <f>Table656771[[#This Row],[Excess Presenteeism (Costs):
Females]]-Table656771[[#This Row],[Excess Presenteeism (Costs) - Intervention Scenario:
Females]]</f>
        <v>280725.08481582627</v>
      </c>
      <c r="V226" s="145">
        <f>Table656771[[#This Row],[Excess Presenteeism (Costs):
Total]]-Table656771[[#This Row],[Excess Presenteeism (Costs) - Intervention Scenario:
Total]]</f>
        <v>4239740.3711998761</v>
      </c>
    </row>
    <row r="227" spans="2:22" customFormat="1">
      <c r="B227" s="55">
        <v>12</v>
      </c>
      <c r="C227" s="126">
        <f t="shared" si="42"/>
        <v>938900</v>
      </c>
      <c r="D227" s="126">
        <f t="shared" si="43"/>
        <v>841000</v>
      </c>
      <c r="E227" s="122">
        <f t="shared" si="44"/>
        <v>0.56999999999999995</v>
      </c>
      <c r="F227" s="122">
        <f t="shared" si="45"/>
        <v>7.0000000000000007E-2</v>
      </c>
      <c r="G227" s="126">
        <f>Table656771[[#This Row],[Employed Persons:
Males]]*Table656771[[#This Row],[Smoking Prevalence:
Males]]</f>
        <v>535173</v>
      </c>
      <c r="H227" s="126">
        <f>Table656771[[#This Row],[Employed Persons:
Females]]*Table656771[[#This Row],[Smoking Prevalence:
Females]]</f>
        <v>58870.000000000007</v>
      </c>
      <c r="I227" s="51">
        <f>$C$10*Table656771[[#This Row],[Employed Smokers:
Males]]*D$27</f>
        <v>68992362.46800001</v>
      </c>
      <c r="J227" s="15">
        <f>$C$10*Table656771[[#This Row],[Employed Smokers:
Females]]*E$27</f>
        <v>4892097</v>
      </c>
      <c r="K227" s="15">
        <f>Table656771[[#This Row],[Excess Presenteeism (Costs):
Males]]+Table656771[[#This Row],[Excess Presenteeism (Costs):
Females]]</f>
        <v>73884459.46800001</v>
      </c>
      <c r="L227" s="132">
        <v>-8.0000000000000004E-4</v>
      </c>
      <c r="M227" s="136">
        <f>M226*(1+Table656771[[#This Row],[Relative Change in Smoking Prevalence:
Smoke-Free Air Laws]])</f>
        <v>0.53686163746582605</v>
      </c>
      <c r="N227" s="136">
        <f>N226*(1+Table656771[[#This Row],[Relative Change in Smoking Prevalence:
Smoke-Free Air Laws]])</f>
        <v>6.5930376530890913E-2</v>
      </c>
      <c r="O227" s="139">
        <f>Table656771[[#This Row],[Employed Persons:
Males]]*Table656771[[#This Row],[Smoking Prevalence Associated with Intervention: Males]]</f>
        <v>504059.39141666406</v>
      </c>
      <c r="P227" s="139">
        <f>Table656771[[#This Row],[Employed Persons:
Females]]*Table656771[[#This Row],[Smoking Prevalence Associated with Intervention: Females]]</f>
        <v>55447.446662479255</v>
      </c>
      <c r="Q227" s="142">
        <f t="shared" si="46"/>
        <v>64981320.503870666</v>
      </c>
      <c r="R227" s="142">
        <f t="shared" si="47"/>
        <v>4607682.8176520262</v>
      </c>
      <c r="S227" s="142">
        <f>Table656771[[#This Row],[Excess Presenteeism (Costs) - Intervention Scenario:
Males]]+Table656771[[#This Row],[Excess Presenteeism (Costs) - Intervention Scenario:
Females]]</f>
        <v>69589003.321522698</v>
      </c>
      <c r="T227" s="145">
        <f>Table656771[[#This Row],[Excess Presenteeism (Costs):
Males]]-Table656771[[#This Row],[Excess Presenteeism (Costs) - Intervention Scenario:
Males]]</f>
        <v>4011041.9641293436</v>
      </c>
      <c r="U227" s="145">
        <f>Table656771[[#This Row],[Excess Presenteeism (Costs):
Females]]-Table656771[[#This Row],[Excess Presenteeism (Costs) - Intervention Scenario:
Females]]</f>
        <v>284414.18234797381</v>
      </c>
      <c r="V227" s="145">
        <f>Table656771[[#This Row],[Excess Presenteeism (Costs):
Total]]-Table656771[[#This Row],[Excess Presenteeism (Costs) - Intervention Scenario:
Total]]</f>
        <v>4295456.1464773118</v>
      </c>
    </row>
    <row r="228" spans="2:22" customFormat="1">
      <c r="B228" s="54">
        <v>13</v>
      </c>
      <c r="C228" s="125">
        <f t="shared" si="42"/>
        <v>938900</v>
      </c>
      <c r="D228" s="125">
        <f t="shared" si="43"/>
        <v>841000</v>
      </c>
      <c r="E228" s="121">
        <f t="shared" si="44"/>
        <v>0.56999999999999995</v>
      </c>
      <c r="F228" s="121">
        <f t="shared" si="45"/>
        <v>7.0000000000000007E-2</v>
      </c>
      <c r="G228" s="125">
        <f>Table656771[[#This Row],[Employed Persons:
Males]]*Table656771[[#This Row],[Smoking Prevalence:
Males]]</f>
        <v>535173</v>
      </c>
      <c r="H228" s="125">
        <f>Table656771[[#This Row],[Employed Persons:
Females]]*Table656771[[#This Row],[Smoking Prevalence:
Females]]</f>
        <v>58870.000000000007</v>
      </c>
      <c r="I228" s="50">
        <f>$C$10*Table656771[[#This Row],[Employed Smokers:
Males]]*D$27</f>
        <v>68992362.46800001</v>
      </c>
      <c r="J228" s="15">
        <f>$C$10*Table656771[[#This Row],[Employed Smokers:
Females]]*E$27</f>
        <v>4892097</v>
      </c>
      <c r="K228" s="15">
        <f>Table656771[[#This Row],[Excess Presenteeism (Costs):
Males]]+Table656771[[#This Row],[Excess Presenteeism (Costs):
Females]]</f>
        <v>73884459.46800001</v>
      </c>
      <c r="L228" s="132">
        <v>-8.0000000000000004E-4</v>
      </c>
      <c r="M228" s="136">
        <f>M227*(1+Table656771[[#This Row],[Relative Change in Smoking Prevalence:
Smoke-Free Air Laws]])</f>
        <v>0.53643214815585338</v>
      </c>
      <c r="N228" s="136">
        <f>N227*(1+Table656771[[#This Row],[Relative Change in Smoking Prevalence:
Smoke-Free Air Laws]])</f>
        <v>6.5877632229666194E-2</v>
      </c>
      <c r="O228" s="139">
        <f>Table656771[[#This Row],[Employed Persons:
Males]]*Table656771[[#This Row],[Smoking Prevalence Associated with Intervention: Males]]</f>
        <v>503656.14390353073</v>
      </c>
      <c r="P228" s="139">
        <f>Table656771[[#This Row],[Employed Persons:
Females]]*Table656771[[#This Row],[Smoking Prevalence Associated with Intervention: Females]]</f>
        <v>55403.088705149268</v>
      </c>
      <c r="Q228" s="142">
        <f t="shared" si="46"/>
        <v>64929335.447467573</v>
      </c>
      <c r="R228" s="142">
        <f t="shared" si="47"/>
        <v>4603996.6713979039</v>
      </c>
      <c r="S228" s="142">
        <f>Table656771[[#This Row],[Excess Presenteeism (Costs) - Intervention Scenario:
Males]]+Table656771[[#This Row],[Excess Presenteeism (Costs) - Intervention Scenario:
Females]]</f>
        <v>69533332.118865475</v>
      </c>
      <c r="T228" s="145">
        <f>Table656771[[#This Row],[Excess Presenteeism (Costs):
Males]]-Table656771[[#This Row],[Excess Presenteeism (Costs) - Intervention Scenario:
Males]]</f>
        <v>4063027.0205324367</v>
      </c>
      <c r="U228" s="145">
        <f>Table656771[[#This Row],[Excess Presenteeism (Costs):
Females]]-Table656771[[#This Row],[Excess Presenteeism (Costs) - Intervention Scenario:
Females]]</f>
        <v>288100.32860209607</v>
      </c>
      <c r="V228" s="145">
        <f>Table656771[[#This Row],[Excess Presenteeism (Costs):
Total]]-Table656771[[#This Row],[Excess Presenteeism (Costs) - Intervention Scenario:
Total]]</f>
        <v>4351127.3491345346</v>
      </c>
    </row>
    <row r="229" spans="2:22" customFormat="1">
      <c r="B229" s="55">
        <v>14</v>
      </c>
      <c r="C229" s="126">
        <f t="shared" si="42"/>
        <v>938900</v>
      </c>
      <c r="D229" s="126">
        <f t="shared" si="43"/>
        <v>841000</v>
      </c>
      <c r="E229" s="122">
        <f t="shared" si="44"/>
        <v>0.56999999999999995</v>
      </c>
      <c r="F229" s="122">
        <f t="shared" si="45"/>
        <v>7.0000000000000007E-2</v>
      </c>
      <c r="G229" s="126">
        <f>Table656771[[#This Row],[Employed Persons:
Males]]*Table656771[[#This Row],[Smoking Prevalence:
Males]]</f>
        <v>535173</v>
      </c>
      <c r="H229" s="126">
        <f>Table656771[[#This Row],[Employed Persons:
Females]]*Table656771[[#This Row],[Smoking Prevalence:
Females]]</f>
        <v>58870.000000000007</v>
      </c>
      <c r="I229" s="51">
        <f>$C$10*Table656771[[#This Row],[Employed Smokers:
Males]]*D$27</f>
        <v>68992362.46800001</v>
      </c>
      <c r="J229" s="15">
        <f>$C$10*Table656771[[#This Row],[Employed Smokers:
Females]]*E$27</f>
        <v>4892097</v>
      </c>
      <c r="K229" s="15">
        <f>Table656771[[#This Row],[Excess Presenteeism (Costs):
Males]]+Table656771[[#This Row],[Excess Presenteeism (Costs):
Females]]</f>
        <v>73884459.46800001</v>
      </c>
      <c r="L229" s="132">
        <v>-8.0000000000000004E-4</v>
      </c>
      <c r="M229" s="136">
        <f>M228*(1+Table656771[[#This Row],[Relative Change in Smoking Prevalence:
Smoke-Free Air Laws]])</f>
        <v>0.53600300243732868</v>
      </c>
      <c r="N229" s="136">
        <f>N228*(1+Table656771[[#This Row],[Relative Change in Smoking Prevalence:
Smoke-Free Air Laws]])</f>
        <v>6.5824930123882464E-2</v>
      </c>
      <c r="O229" s="139">
        <f>Table656771[[#This Row],[Employed Persons:
Males]]*Table656771[[#This Row],[Smoking Prevalence Associated with Intervention: Males]]</f>
        <v>503253.21898840787</v>
      </c>
      <c r="P229" s="139">
        <f>Table656771[[#This Row],[Employed Persons:
Females]]*Table656771[[#This Row],[Smoking Prevalence Associated with Intervention: Females]]</f>
        <v>55358.766234185154</v>
      </c>
      <c r="Q229" s="142">
        <f t="shared" si="46"/>
        <v>64877391.979109585</v>
      </c>
      <c r="R229" s="142">
        <f t="shared" si="47"/>
        <v>4600313.4740607869</v>
      </c>
      <c r="S229" s="142">
        <f>Table656771[[#This Row],[Excess Presenteeism (Costs) - Intervention Scenario:
Males]]+Table656771[[#This Row],[Excess Presenteeism (Costs) - Intervention Scenario:
Females]]</f>
        <v>69477705.453170374</v>
      </c>
      <c r="T229" s="145">
        <f>Table656771[[#This Row],[Excess Presenteeism (Costs):
Males]]-Table656771[[#This Row],[Excess Presenteeism (Costs) - Intervention Scenario:
Males]]</f>
        <v>4114970.4888904244</v>
      </c>
      <c r="U229" s="145">
        <f>Table656771[[#This Row],[Excess Presenteeism (Costs):
Females]]-Table656771[[#This Row],[Excess Presenteeism (Costs) - Intervention Scenario:
Females]]</f>
        <v>291783.52593921311</v>
      </c>
      <c r="V229" s="145">
        <f>Table656771[[#This Row],[Excess Presenteeism (Costs):
Total]]-Table656771[[#This Row],[Excess Presenteeism (Costs) - Intervention Scenario:
Total]]</f>
        <v>4406754.0148296356</v>
      </c>
    </row>
    <row r="230" spans="2:22" customFormat="1">
      <c r="B230" s="56">
        <v>15</v>
      </c>
      <c r="C230" s="127">
        <f t="shared" si="42"/>
        <v>938900</v>
      </c>
      <c r="D230" s="127">
        <f t="shared" si="43"/>
        <v>841000</v>
      </c>
      <c r="E230" s="123">
        <f t="shared" si="44"/>
        <v>0.56999999999999995</v>
      </c>
      <c r="F230" s="123">
        <f t="shared" si="45"/>
        <v>7.0000000000000007E-2</v>
      </c>
      <c r="G230" s="127">
        <f>Table656771[[#This Row],[Employed Persons:
Males]]*Table656771[[#This Row],[Smoking Prevalence:
Males]]</f>
        <v>535173</v>
      </c>
      <c r="H230" s="127">
        <f>Table656771[[#This Row],[Employed Persons:
Females]]*Table656771[[#This Row],[Smoking Prevalence:
Females]]</f>
        <v>58870.000000000007</v>
      </c>
      <c r="I230" s="52">
        <f>$C$10*Table656771[[#This Row],[Employed Smokers:
Males]]*D$27</f>
        <v>68992362.46800001</v>
      </c>
      <c r="J230" s="15">
        <f>$C$10*Table656771[[#This Row],[Employed Smokers:
Females]]*E$27</f>
        <v>4892097</v>
      </c>
      <c r="K230" s="15">
        <f>Table656771[[#This Row],[Excess Presenteeism (Costs):
Males]]+Table656771[[#This Row],[Excess Presenteeism (Costs):
Females]]</f>
        <v>73884459.46800001</v>
      </c>
      <c r="L230" s="132">
        <v>-8.0000000000000004E-4</v>
      </c>
      <c r="M230" s="136">
        <f>M229*(1+Table656771[[#This Row],[Relative Change in Smoking Prevalence:
Smoke-Free Air Laws]])</f>
        <v>0.53557420003537881</v>
      </c>
      <c r="N230" s="136">
        <f>N229*(1+Table656771[[#This Row],[Relative Change in Smoking Prevalence:
Smoke-Free Air Laws]])</f>
        <v>6.5772270179783363E-2</v>
      </c>
      <c r="O230" s="139">
        <f>Table656771[[#This Row],[Employed Persons:
Males]]*Table656771[[#This Row],[Smoking Prevalence Associated with Intervention: Males]]</f>
        <v>502850.61641321715</v>
      </c>
      <c r="P230" s="139">
        <f>Table656771[[#This Row],[Employed Persons:
Females]]*Table656771[[#This Row],[Smoking Prevalence Associated with Intervention: Females]]</f>
        <v>55314.479221197806</v>
      </c>
      <c r="Q230" s="142">
        <f t="shared" si="46"/>
        <v>64825490.065526307</v>
      </c>
      <c r="R230" s="142">
        <f t="shared" si="47"/>
        <v>4596633.2232815372</v>
      </c>
      <c r="S230" s="142">
        <f>Table656771[[#This Row],[Excess Presenteeism (Costs) - Intervention Scenario:
Males]]+Table656771[[#This Row],[Excess Presenteeism (Costs) - Intervention Scenario:
Females]]</f>
        <v>69422123.288807839</v>
      </c>
      <c r="T230" s="145">
        <f>Table656771[[#This Row],[Excess Presenteeism (Costs):
Males]]-Table656771[[#This Row],[Excess Presenteeism (Costs) - Intervention Scenario:
Males]]</f>
        <v>4166872.402473703</v>
      </c>
      <c r="U230" s="145">
        <f>Table656771[[#This Row],[Excess Presenteeism (Costs):
Females]]-Table656771[[#This Row],[Excess Presenteeism (Costs) - Intervention Scenario:
Females]]</f>
        <v>295463.77671846282</v>
      </c>
      <c r="V230" s="145">
        <f>Table656771[[#This Row],[Excess Presenteeism (Costs):
Total]]-Table656771[[#This Row],[Excess Presenteeism (Costs) - Intervention Scenario:
Total]]</f>
        <v>4462336.1791921705</v>
      </c>
    </row>
    <row r="233" spans="2:22" ht="21">
      <c r="B233" s="81" t="s">
        <v>117</v>
      </c>
    </row>
    <row r="234" spans="2:22" ht="21">
      <c r="B234" s="81"/>
    </row>
    <row r="235" spans="2:22" ht="135">
      <c r="B235" s="71" t="s">
        <v>111</v>
      </c>
      <c r="C235" s="129" t="s">
        <v>175</v>
      </c>
      <c r="D235" s="128"/>
      <c r="E235" s="128"/>
      <c r="F235" s="128"/>
      <c r="G235" s="133" t="s">
        <v>176</v>
      </c>
      <c r="H235" s="134"/>
      <c r="I235" s="134"/>
      <c r="J235" s="134"/>
      <c r="K235" s="134"/>
      <c r="L235" s="68" t="s">
        <v>110</v>
      </c>
      <c r="M235" s="74" t="s">
        <v>177</v>
      </c>
      <c r="N235" s="70"/>
      <c r="O235" s="73" t="s">
        <v>178</v>
      </c>
      <c r="P235" s="72"/>
      <c r="Q235" s="72"/>
      <c r="R235" s="72"/>
      <c r="S235" s="72"/>
      <c r="T235" s="78" t="s">
        <v>179</v>
      </c>
      <c r="U235" s="75"/>
      <c r="V235" s="75"/>
    </row>
    <row r="237" spans="2:22" ht="69" customHeight="1" thickBot="1">
      <c r="B237" s="35" t="s">
        <v>81</v>
      </c>
      <c r="C237" s="35" t="s">
        <v>157</v>
      </c>
      <c r="D237" s="35" t="s">
        <v>158</v>
      </c>
      <c r="E237" s="35" t="s">
        <v>155</v>
      </c>
      <c r="F237" s="35" t="s">
        <v>156</v>
      </c>
      <c r="G237" s="35" t="s">
        <v>159</v>
      </c>
      <c r="H237" s="35" t="s">
        <v>160</v>
      </c>
      <c r="I237" s="34" t="s">
        <v>181</v>
      </c>
      <c r="J237" s="34" t="s">
        <v>182</v>
      </c>
      <c r="K237" s="34" t="s">
        <v>183</v>
      </c>
      <c r="L237" s="63" t="s">
        <v>73</v>
      </c>
      <c r="M237" s="135" t="s">
        <v>162</v>
      </c>
      <c r="N237" s="135" t="s">
        <v>163</v>
      </c>
      <c r="O237" s="137" t="s">
        <v>164</v>
      </c>
      <c r="P237" s="137" t="s">
        <v>165</v>
      </c>
      <c r="Q237" s="137" t="s">
        <v>184</v>
      </c>
      <c r="R237" s="137" t="s">
        <v>185</v>
      </c>
      <c r="S237" s="137" t="s">
        <v>186</v>
      </c>
      <c r="T237" s="143" t="s">
        <v>173</v>
      </c>
      <c r="U237" s="143" t="s">
        <v>172</v>
      </c>
      <c r="V237" s="143" t="s">
        <v>174</v>
      </c>
    </row>
    <row r="238" spans="2:22" ht="15.75" thickTop="1">
      <c r="B238" s="53">
        <v>0</v>
      </c>
      <c r="C238" s="124">
        <f t="shared" ref="C238:C253" si="48">$D$24</f>
        <v>938900</v>
      </c>
      <c r="D238" s="124">
        <f t="shared" ref="D238:D253" si="49">$E$24</f>
        <v>841000</v>
      </c>
      <c r="E238" s="120">
        <f t="shared" ref="E238:E253" si="50">$D$25</f>
        <v>0.56999999999999995</v>
      </c>
      <c r="F238" s="120">
        <f t="shared" ref="F238:F253" si="51">$E$25</f>
        <v>7.0000000000000007E-2</v>
      </c>
      <c r="G238" s="124">
        <f>Table65676872[[#This Row],[Employed Persons:
Males]]*Table65676872[[#This Row],[Smoking Prevalence:
Males]]</f>
        <v>535173</v>
      </c>
      <c r="H238" s="124">
        <f>Table65676872[[#This Row],[Employed Persons:
Females]]*Table65676872[[#This Row],[Smoking Prevalence:
Females]]</f>
        <v>58870.000000000007</v>
      </c>
      <c r="I238" s="49">
        <f>$C$10*Table65676872[[#This Row],[Employed Smokers:
Males]]*D$27</f>
        <v>68992362.46800001</v>
      </c>
      <c r="J238" s="49">
        <f>$C$10*Table65676872[[#This Row],[Employed Smokers:
Females]]*E$27</f>
        <v>4892097</v>
      </c>
      <c r="K238" s="12">
        <f>Table65676872[[#This Row],[Excess Presenteeism (Costs):
Males]]+Table65676872[[#This Row],[Excess Presenteeism (Costs):
Females]]</f>
        <v>73884459.46800001</v>
      </c>
      <c r="L238" s="67"/>
      <c r="M238" s="136">
        <f>Table65676872[[#This Row],[Smoking Prevalence:
Males]]</f>
        <v>0.56999999999999995</v>
      </c>
      <c r="N238" s="136">
        <f>Table65676872[[#This Row],[Smoking Prevalence:
Females]]</f>
        <v>7.0000000000000007E-2</v>
      </c>
      <c r="O238" s="138">
        <f>Table65676872[[#This Row],[Employed Persons:
Males]]*Table65676872[[#This Row],[Smoking Prevalence Associated with Intervention: Males]]</f>
        <v>535173</v>
      </c>
      <c r="P238" s="138">
        <f>Table65676872[[#This Row],[Employed Persons:
Females]]*Table65676872[[#This Row],[Smoking Prevalence Associated with Intervention: Females]]</f>
        <v>58870.000000000007</v>
      </c>
      <c r="Q238" s="140">
        <f t="shared" ref="Q238:Q253" si="52">$C$10*O238*D$27</f>
        <v>68992362.46800001</v>
      </c>
      <c r="R238" s="140">
        <f t="shared" ref="R238:R253" si="53">$C$10*P238*E$27</f>
        <v>4892097</v>
      </c>
      <c r="S238" s="141">
        <f>Table65676872[[#This Row],[Excess Presenteeism (Costs) - Intervention Scenario:
Males]]+Table65676872[[#This Row],[Excess Presenteeism (Costs) - Intervention Scenario:
Females]]</f>
        <v>73884459.46800001</v>
      </c>
      <c r="T238" s="144">
        <f>Table65676872[[#This Row],[Excess Presenteeism (Costs):
Males]]-Table65676872[[#This Row],[Excess Presenteeism (Costs) - Intervention Scenario:
Males]]</f>
        <v>0</v>
      </c>
      <c r="U238" s="144">
        <f>Table65676872[[#This Row],[Excess Presenteeism (Costs):
Females]]-Table65676872[[#This Row],[Excess Presenteeism (Costs) - Intervention Scenario:
Females]]</f>
        <v>0</v>
      </c>
      <c r="V238" s="144">
        <f>Table65676872[[#This Row],[Excess Presenteeism (Costs):
Total]]-Table65676872[[#This Row],[Excess Presenteeism (Costs) - Intervention Scenario:
Total]]</f>
        <v>0</v>
      </c>
    </row>
    <row r="239" spans="2:22">
      <c r="B239" s="54">
        <v>1</v>
      </c>
      <c r="C239" s="125">
        <f t="shared" si="48"/>
        <v>938900</v>
      </c>
      <c r="D239" s="125">
        <f t="shared" si="49"/>
        <v>841000</v>
      </c>
      <c r="E239" s="121">
        <f t="shared" si="50"/>
        <v>0.56999999999999995</v>
      </c>
      <c r="F239" s="121">
        <f t="shared" si="51"/>
        <v>7.0000000000000007E-2</v>
      </c>
      <c r="G239" s="125">
        <f>Table65676872[[#This Row],[Employed Persons:
Males]]*Table65676872[[#This Row],[Smoking Prevalence:
Males]]</f>
        <v>535173</v>
      </c>
      <c r="H239" s="125">
        <f>Table65676872[[#This Row],[Employed Persons:
Females]]*Table65676872[[#This Row],[Smoking Prevalence:
Females]]</f>
        <v>58870.000000000007</v>
      </c>
      <c r="I239" s="50">
        <f>$C$10*Table65676872[[#This Row],[Employed Smokers:
Males]]*D$27</f>
        <v>68992362.46800001</v>
      </c>
      <c r="J239" s="12">
        <f>$C$10*Table65676872[[#This Row],[Employed Smokers:
Females]]*E$27</f>
        <v>4892097</v>
      </c>
      <c r="K239" s="12">
        <f>Table65676872[[#This Row],[Excess Presenteeism (Costs):
Males]]+Table65676872[[#This Row],[Excess Presenteeism (Costs):
Females]]</f>
        <v>73884459.46800001</v>
      </c>
      <c r="L239" s="130">
        <v>-0.02</v>
      </c>
      <c r="M239" s="136">
        <f>M238*(1+Table65676872[[#This Row],[Relative Change in Smoking Prevalence:
Enforce Marketing Restrictions]])</f>
        <v>0.55859999999999999</v>
      </c>
      <c r="N239" s="136">
        <f>N238*(1+Table65676872[[#This Row],[Relative Change in Smoking Prevalence:
Enforce Marketing Restrictions]])</f>
        <v>6.8600000000000008E-2</v>
      </c>
      <c r="O239" s="138">
        <f>Table65676872[[#This Row],[Employed Persons:
Males]]*Table65676872[[#This Row],[Smoking Prevalence Associated with Intervention: Males]]</f>
        <v>524469.54</v>
      </c>
      <c r="P239" s="138">
        <f>Table65676872[[#This Row],[Employed Persons:
Females]]*Table65676872[[#This Row],[Smoking Prevalence Associated with Intervention: Females]]</f>
        <v>57692.600000000006</v>
      </c>
      <c r="Q239" s="141">
        <f t="shared" si="52"/>
        <v>67612515.218640015</v>
      </c>
      <c r="R239" s="141">
        <f t="shared" si="53"/>
        <v>4794255.0600000005</v>
      </c>
      <c r="S239" s="141">
        <f>Table65676872[[#This Row],[Excess Presenteeism (Costs) - Intervention Scenario:
Males]]+Table65676872[[#This Row],[Excess Presenteeism (Costs) - Intervention Scenario:
Females]]</f>
        <v>72406770.278640017</v>
      </c>
      <c r="T239" s="144">
        <f>Table65676872[[#This Row],[Excess Presenteeism (Costs):
Males]]-Table65676872[[#This Row],[Excess Presenteeism (Costs) - Intervention Scenario:
Males]]</f>
        <v>1379847.2493599951</v>
      </c>
      <c r="U239" s="144">
        <f>Table65676872[[#This Row],[Excess Presenteeism (Costs):
Females]]-Table65676872[[#This Row],[Excess Presenteeism (Costs) - Intervention Scenario:
Females]]</f>
        <v>97841.939999999478</v>
      </c>
      <c r="V239" s="144">
        <f>Table65676872[[#This Row],[Excess Presenteeism (Costs):
Total]]-Table65676872[[#This Row],[Excess Presenteeism (Costs) - Intervention Scenario:
Total]]</f>
        <v>1477689.1893599927</v>
      </c>
    </row>
    <row r="240" spans="2:22">
      <c r="B240" s="55">
        <v>2</v>
      </c>
      <c r="C240" s="126">
        <f t="shared" si="48"/>
        <v>938900</v>
      </c>
      <c r="D240" s="126">
        <f t="shared" si="49"/>
        <v>841000</v>
      </c>
      <c r="E240" s="122">
        <f t="shared" si="50"/>
        <v>0.56999999999999995</v>
      </c>
      <c r="F240" s="122">
        <f t="shared" si="51"/>
        <v>7.0000000000000007E-2</v>
      </c>
      <c r="G240" s="126">
        <f>Table65676872[[#This Row],[Employed Persons:
Males]]*Table65676872[[#This Row],[Smoking Prevalence:
Males]]</f>
        <v>535173</v>
      </c>
      <c r="H240" s="126">
        <f>Table65676872[[#This Row],[Employed Persons:
Females]]*Table65676872[[#This Row],[Smoking Prevalence:
Females]]</f>
        <v>58870.000000000007</v>
      </c>
      <c r="I240" s="51">
        <f>$C$10*Table65676872[[#This Row],[Employed Smokers:
Males]]*D$27</f>
        <v>68992362.46800001</v>
      </c>
      <c r="J240" s="12">
        <f>$C$10*Table65676872[[#This Row],[Employed Smokers:
Females]]*E$27</f>
        <v>4892097</v>
      </c>
      <c r="K240" s="12">
        <f>Table65676872[[#This Row],[Excess Presenteeism (Costs):
Males]]+Table65676872[[#This Row],[Excess Presenteeism (Costs):
Females]]</f>
        <v>73884459.46800001</v>
      </c>
      <c r="L240" s="130">
        <v>-0.02</v>
      </c>
      <c r="M240" s="136">
        <f>M239*(1+Table65676872[[#This Row],[Relative Change in Smoking Prevalence:
Enforce Marketing Restrictions]])</f>
        <v>0.54742800000000003</v>
      </c>
      <c r="N240" s="136">
        <f>N239*(1+Table65676872[[#This Row],[Relative Change in Smoking Prevalence:
Enforce Marketing Restrictions]])</f>
        <v>6.722800000000001E-2</v>
      </c>
      <c r="O240" s="138">
        <f>Table65676872[[#This Row],[Employed Persons:
Males]]*Table65676872[[#This Row],[Smoking Prevalence Associated with Intervention: Males]]</f>
        <v>513980.14920000004</v>
      </c>
      <c r="P240" s="138">
        <f>Table65676872[[#This Row],[Employed Persons:
Females]]*Table65676872[[#This Row],[Smoking Prevalence Associated with Intervention: Females]]</f>
        <v>56538.748000000007</v>
      </c>
      <c r="Q240" s="141">
        <f t="shared" si="52"/>
        <v>66260264.914267205</v>
      </c>
      <c r="R240" s="141">
        <f t="shared" si="53"/>
        <v>4698369.9588000011</v>
      </c>
      <c r="S240" s="141">
        <f>Table65676872[[#This Row],[Excess Presenteeism (Costs) - Intervention Scenario:
Males]]+Table65676872[[#This Row],[Excess Presenteeism (Costs) - Intervention Scenario:
Females]]</f>
        <v>70958634.8730672</v>
      </c>
      <c r="T240" s="144">
        <f>Table65676872[[#This Row],[Excess Presenteeism (Costs):
Males]]-Table65676872[[#This Row],[Excess Presenteeism (Costs) - Intervention Scenario:
Males]]</f>
        <v>2732097.553732805</v>
      </c>
      <c r="U240" s="144">
        <f>Table65676872[[#This Row],[Excess Presenteeism (Costs):
Females]]-Table65676872[[#This Row],[Excess Presenteeism (Costs) - Intervention Scenario:
Females]]</f>
        <v>193727.04119999893</v>
      </c>
      <c r="V240" s="144">
        <f>Table65676872[[#This Row],[Excess Presenteeism (Costs):
Total]]-Table65676872[[#This Row],[Excess Presenteeism (Costs) - Intervention Scenario:
Total]]</f>
        <v>2925824.5949328095</v>
      </c>
    </row>
    <row r="241" spans="2:22">
      <c r="B241" s="54">
        <v>3</v>
      </c>
      <c r="C241" s="125">
        <f t="shared" si="48"/>
        <v>938900</v>
      </c>
      <c r="D241" s="125">
        <f t="shared" si="49"/>
        <v>841000</v>
      </c>
      <c r="E241" s="121">
        <f t="shared" si="50"/>
        <v>0.56999999999999995</v>
      </c>
      <c r="F241" s="121">
        <f t="shared" si="51"/>
        <v>7.0000000000000007E-2</v>
      </c>
      <c r="G241" s="125">
        <f>Table65676872[[#This Row],[Employed Persons:
Males]]*Table65676872[[#This Row],[Smoking Prevalence:
Males]]</f>
        <v>535173</v>
      </c>
      <c r="H241" s="125">
        <f>Table65676872[[#This Row],[Employed Persons:
Females]]*Table65676872[[#This Row],[Smoking Prevalence:
Females]]</f>
        <v>58870.000000000007</v>
      </c>
      <c r="I241" s="50">
        <f>$C$10*Table65676872[[#This Row],[Employed Smokers:
Males]]*D$27</f>
        <v>68992362.46800001</v>
      </c>
      <c r="J241" s="12">
        <f>$C$10*Table65676872[[#This Row],[Employed Smokers:
Females]]*E$27</f>
        <v>4892097</v>
      </c>
      <c r="K241" s="12">
        <f>Table65676872[[#This Row],[Excess Presenteeism (Costs):
Males]]+Table65676872[[#This Row],[Excess Presenteeism (Costs):
Females]]</f>
        <v>73884459.46800001</v>
      </c>
      <c r="L241" s="130">
        <v>-0.02</v>
      </c>
      <c r="M241" s="136">
        <f>M240*(1+Table65676872[[#This Row],[Relative Change in Smoking Prevalence:
Enforce Marketing Restrictions]])</f>
        <v>0.53647944000000003</v>
      </c>
      <c r="N241" s="136">
        <f>N240*(1+Table65676872[[#This Row],[Relative Change in Smoking Prevalence:
Enforce Marketing Restrictions]])</f>
        <v>6.5883440000000015E-2</v>
      </c>
      <c r="O241" s="138">
        <f>Table65676872[[#This Row],[Employed Persons:
Males]]*Table65676872[[#This Row],[Smoking Prevalence Associated with Intervention: Males]]</f>
        <v>503700.54621600005</v>
      </c>
      <c r="P241" s="138">
        <f>Table65676872[[#This Row],[Employed Persons:
Females]]*Table65676872[[#This Row],[Smoking Prevalence Associated with Intervention: Females]]</f>
        <v>55407.973040000012</v>
      </c>
      <c r="Q241" s="141">
        <f t="shared" si="52"/>
        <v>64935059.615981862</v>
      </c>
      <c r="R241" s="141">
        <f t="shared" si="53"/>
        <v>4604402.5596240014</v>
      </c>
      <c r="S241" s="141">
        <f>Table65676872[[#This Row],[Excess Presenteeism (Costs) - Intervention Scenario:
Males]]+Table65676872[[#This Row],[Excess Presenteeism (Costs) - Intervention Scenario:
Females]]</f>
        <v>69539462.175605863</v>
      </c>
      <c r="T241" s="144">
        <f>Table65676872[[#This Row],[Excess Presenteeism (Costs):
Males]]-Table65676872[[#This Row],[Excess Presenteeism (Costs) - Intervention Scenario:
Males]]</f>
        <v>4057302.8520181477</v>
      </c>
      <c r="U241" s="144">
        <f>Table65676872[[#This Row],[Excess Presenteeism (Costs):
Females]]-Table65676872[[#This Row],[Excess Presenteeism (Costs) - Intervention Scenario:
Females]]</f>
        <v>287694.44037599862</v>
      </c>
      <c r="V241" s="144">
        <f>Table65676872[[#This Row],[Excess Presenteeism (Costs):
Total]]-Table65676872[[#This Row],[Excess Presenteeism (Costs) - Intervention Scenario:
Total]]</f>
        <v>4344997.2923941463</v>
      </c>
    </row>
    <row r="242" spans="2:22">
      <c r="B242" s="55">
        <v>4</v>
      </c>
      <c r="C242" s="126">
        <f t="shared" si="48"/>
        <v>938900</v>
      </c>
      <c r="D242" s="126">
        <f t="shared" si="49"/>
        <v>841000</v>
      </c>
      <c r="E242" s="122">
        <f t="shared" si="50"/>
        <v>0.56999999999999995</v>
      </c>
      <c r="F242" s="122">
        <f t="shared" si="51"/>
        <v>7.0000000000000007E-2</v>
      </c>
      <c r="G242" s="126">
        <f>Table65676872[[#This Row],[Employed Persons:
Males]]*Table65676872[[#This Row],[Smoking Prevalence:
Males]]</f>
        <v>535173</v>
      </c>
      <c r="H242" s="126">
        <f>Table65676872[[#This Row],[Employed Persons:
Females]]*Table65676872[[#This Row],[Smoking Prevalence:
Females]]</f>
        <v>58870.000000000007</v>
      </c>
      <c r="I242" s="51">
        <f>$C$10*Table65676872[[#This Row],[Employed Smokers:
Males]]*D$27</f>
        <v>68992362.46800001</v>
      </c>
      <c r="J242" s="12">
        <f>$C$10*Table65676872[[#This Row],[Employed Smokers:
Females]]*E$27</f>
        <v>4892097</v>
      </c>
      <c r="K242" s="12">
        <f>Table65676872[[#This Row],[Excess Presenteeism (Costs):
Males]]+Table65676872[[#This Row],[Excess Presenteeism (Costs):
Females]]</f>
        <v>73884459.46800001</v>
      </c>
      <c r="L242" s="130">
        <v>-0.02</v>
      </c>
      <c r="M242" s="136">
        <f>M241*(1+Table65676872[[#This Row],[Relative Change in Smoking Prevalence:
Enforce Marketing Restrictions]])</f>
        <v>0.52574985120000006</v>
      </c>
      <c r="N242" s="136">
        <f>N241*(1+Table65676872[[#This Row],[Relative Change in Smoking Prevalence:
Enforce Marketing Restrictions]])</f>
        <v>6.4565771200000011E-2</v>
      </c>
      <c r="O242" s="138">
        <f>Table65676872[[#This Row],[Employed Persons:
Males]]*Table65676872[[#This Row],[Smoking Prevalence Associated with Intervention: Males]]</f>
        <v>493626.53529168008</v>
      </c>
      <c r="P242" s="138">
        <f>Table65676872[[#This Row],[Employed Persons:
Females]]*Table65676872[[#This Row],[Smoking Prevalence Associated with Intervention: Females]]</f>
        <v>54299.81357920001</v>
      </c>
      <c r="Q242" s="141">
        <f t="shared" si="52"/>
        <v>63636358.42366223</v>
      </c>
      <c r="R242" s="141">
        <f t="shared" si="53"/>
        <v>4512314.5084315203</v>
      </c>
      <c r="S242" s="141">
        <f>Table65676872[[#This Row],[Excess Presenteeism (Costs) - Intervention Scenario:
Males]]+Table65676872[[#This Row],[Excess Presenteeism (Costs) - Intervention Scenario:
Females]]</f>
        <v>68148672.932093754</v>
      </c>
      <c r="T242" s="144">
        <f>Table65676872[[#This Row],[Excess Presenteeism (Costs):
Males]]-Table65676872[[#This Row],[Excess Presenteeism (Costs) - Intervention Scenario:
Males]]</f>
        <v>5356004.0443377793</v>
      </c>
      <c r="U242" s="144">
        <f>Table65676872[[#This Row],[Excess Presenteeism (Costs):
Females]]-Table65676872[[#This Row],[Excess Presenteeism (Costs) - Intervention Scenario:
Females]]</f>
        <v>379782.49156847969</v>
      </c>
      <c r="V242" s="144">
        <f>Table65676872[[#This Row],[Excess Presenteeism (Costs):
Total]]-Table65676872[[#This Row],[Excess Presenteeism (Costs) - Intervention Scenario:
Total]]</f>
        <v>5735786.5359062552</v>
      </c>
    </row>
    <row r="243" spans="2:22" customFormat="1">
      <c r="B243" s="54">
        <v>5</v>
      </c>
      <c r="C243" s="125">
        <f t="shared" si="48"/>
        <v>938900</v>
      </c>
      <c r="D243" s="125">
        <f t="shared" si="49"/>
        <v>841000</v>
      </c>
      <c r="E243" s="121">
        <f t="shared" si="50"/>
        <v>0.56999999999999995</v>
      </c>
      <c r="F243" s="121">
        <f t="shared" si="51"/>
        <v>7.0000000000000007E-2</v>
      </c>
      <c r="G243" s="125">
        <f>Table65676872[[#This Row],[Employed Persons:
Males]]*Table65676872[[#This Row],[Smoking Prevalence:
Males]]</f>
        <v>535173</v>
      </c>
      <c r="H243" s="125">
        <f>Table65676872[[#This Row],[Employed Persons:
Females]]*Table65676872[[#This Row],[Smoking Prevalence:
Females]]</f>
        <v>58870.000000000007</v>
      </c>
      <c r="I243" s="50">
        <f>$C$10*Table65676872[[#This Row],[Employed Smokers:
Males]]*D$27</f>
        <v>68992362.46800001</v>
      </c>
      <c r="J243" s="15">
        <f>$C$10*Table65676872[[#This Row],[Employed Smokers:
Females]]*E$27</f>
        <v>4892097</v>
      </c>
      <c r="K243" s="15">
        <f>Table65676872[[#This Row],[Excess Presenteeism (Costs):
Males]]+Table65676872[[#This Row],[Excess Presenteeism (Costs):
Females]]</f>
        <v>73884459.46800001</v>
      </c>
      <c r="L243" s="131">
        <v>-0.02</v>
      </c>
      <c r="M243" s="136">
        <f>M242*(1+Table65676872[[#This Row],[Relative Change in Smoking Prevalence:
Enforce Marketing Restrictions]])</f>
        <v>0.51523485417600001</v>
      </c>
      <c r="N243" s="136">
        <f>N242*(1+Table65676872[[#This Row],[Relative Change in Smoking Prevalence:
Enforce Marketing Restrictions]])</f>
        <v>6.3274455776000008E-2</v>
      </c>
      <c r="O243" s="139">
        <f>Table65676872[[#This Row],[Employed Persons:
Males]]*Table65676872[[#This Row],[Smoking Prevalence Associated with Intervention: Males]]</f>
        <v>483754.00458584639</v>
      </c>
      <c r="P243" s="139">
        <f>Table65676872[[#This Row],[Employed Persons:
Females]]*Table65676872[[#This Row],[Smoking Prevalence Associated with Intervention: Females]]</f>
        <v>53213.817307616009</v>
      </c>
      <c r="Q243" s="142">
        <f t="shared" si="52"/>
        <v>62363631.255188972</v>
      </c>
      <c r="R243" s="142">
        <f t="shared" si="53"/>
        <v>4422068.2182628904</v>
      </c>
      <c r="S243" s="142">
        <f>Table65676872[[#This Row],[Excess Presenteeism (Costs) - Intervention Scenario:
Males]]+Table65676872[[#This Row],[Excess Presenteeism (Costs) - Intervention Scenario:
Females]]</f>
        <v>66785699.47345186</v>
      </c>
      <c r="T243" s="145">
        <f>Table65676872[[#This Row],[Excess Presenteeism (Costs):
Males]]-Table65676872[[#This Row],[Excess Presenteeism (Costs) - Intervention Scenario:
Males]]</f>
        <v>6628731.2128110379</v>
      </c>
      <c r="U243" s="145">
        <f>Table65676872[[#This Row],[Excess Presenteeism (Costs):
Females]]-Table65676872[[#This Row],[Excess Presenteeism (Costs) - Intervention Scenario:
Females]]</f>
        <v>470028.78173710965</v>
      </c>
      <c r="V243" s="145">
        <f>Table65676872[[#This Row],[Excess Presenteeism (Costs):
Total]]-Table65676872[[#This Row],[Excess Presenteeism (Costs) - Intervention Scenario:
Total]]</f>
        <v>7098759.9945481494</v>
      </c>
    </row>
    <row r="244" spans="2:22" customFormat="1">
      <c r="B244" s="55">
        <v>6</v>
      </c>
      <c r="C244" s="126">
        <f t="shared" si="48"/>
        <v>938900</v>
      </c>
      <c r="D244" s="126">
        <f t="shared" si="49"/>
        <v>841000</v>
      </c>
      <c r="E244" s="122">
        <f t="shared" si="50"/>
        <v>0.56999999999999995</v>
      </c>
      <c r="F244" s="122">
        <f t="shared" si="51"/>
        <v>7.0000000000000007E-2</v>
      </c>
      <c r="G244" s="126">
        <f>Table65676872[[#This Row],[Employed Persons:
Males]]*Table65676872[[#This Row],[Smoking Prevalence:
Males]]</f>
        <v>535173</v>
      </c>
      <c r="H244" s="126">
        <f>Table65676872[[#This Row],[Employed Persons:
Females]]*Table65676872[[#This Row],[Smoking Prevalence:
Females]]</f>
        <v>58870.000000000007</v>
      </c>
      <c r="I244" s="51">
        <f>$C$10*Table65676872[[#This Row],[Employed Smokers:
Males]]*D$27</f>
        <v>68992362.46800001</v>
      </c>
      <c r="J244" s="15">
        <f>$C$10*Table65676872[[#This Row],[Employed Smokers:
Females]]*E$27</f>
        <v>4892097</v>
      </c>
      <c r="K244" s="15">
        <f>Table65676872[[#This Row],[Excess Presenteeism (Costs):
Males]]+Table65676872[[#This Row],[Excess Presenteeism (Costs):
Females]]</f>
        <v>73884459.46800001</v>
      </c>
      <c r="L244" s="132">
        <v>-1.9999999999999992E-3</v>
      </c>
      <c r="M244" s="136">
        <f>M243*(1+Table65676872[[#This Row],[Relative Change in Smoking Prevalence:
Enforce Marketing Restrictions]])</f>
        <v>0.51420438446764805</v>
      </c>
      <c r="N244" s="136">
        <f>N243*(1+Table65676872[[#This Row],[Relative Change in Smoking Prevalence:
Enforce Marketing Restrictions]])</f>
        <v>6.3147906864448003E-2</v>
      </c>
      <c r="O244" s="139">
        <f>Table65676872[[#This Row],[Employed Persons:
Males]]*Table65676872[[#This Row],[Smoking Prevalence Associated with Intervention: Males]]</f>
        <v>482786.49657667475</v>
      </c>
      <c r="P244" s="139">
        <f>Table65676872[[#This Row],[Employed Persons:
Females]]*Table65676872[[#This Row],[Smoking Prevalence Associated with Intervention: Females]]</f>
        <v>53107.389673000769</v>
      </c>
      <c r="Q244" s="142">
        <f t="shared" si="52"/>
        <v>62238903.992678605</v>
      </c>
      <c r="R244" s="142">
        <f t="shared" si="53"/>
        <v>4413224.0818263646</v>
      </c>
      <c r="S244" s="142">
        <f>Table65676872[[#This Row],[Excess Presenteeism (Costs) - Intervention Scenario:
Males]]+Table65676872[[#This Row],[Excess Presenteeism (Costs) - Intervention Scenario:
Females]]</f>
        <v>66652128.074504972</v>
      </c>
      <c r="T244" s="145">
        <f>Table65676872[[#This Row],[Excess Presenteeism (Costs):
Males]]-Table65676872[[#This Row],[Excess Presenteeism (Costs) - Intervention Scenario:
Males]]</f>
        <v>6753458.4753214046</v>
      </c>
      <c r="U244" s="145">
        <f>Table65676872[[#This Row],[Excess Presenteeism (Costs):
Females]]-Table65676872[[#This Row],[Excess Presenteeism (Costs) - Intervention Scenario:
Females]]</f>
        <v>478872.91817363538</v>
      </c>
      <c r="V244" s="145">
        <f>Table65676872[[#This Row],[Excess Presenteeism (Costs):
Total]]-Table65676872[[#This Row],[Excess Presenteeism (Costs) - Intervention Scenario:
Total]]</f>
        <v>7232331.3934950382</v>
      </c>
    </row>
    <row r="245" spans="2:22" customFormat="1">
      <c r="B245" s="54">
        <v>7</v>
      </c>
      <c r="C245" s="125">
        <f t="shared" si="48"/>
        <v>938900</v>
      </c>
      <c r="D245" s="125">
        <f t="shared" si="49"/>
        <v>841000</v>
      </c>
      <c r="E245" s="121">
        <f t="shared" si="50"/>
        <v>0.56999999999999995</v>
      </c>
      <c r="F245" s="121">
        <f t="shared" si="51"/>
        <v>7.0000000000000007E-2</v>
      </c>
      <c r="G245" s="125">
        <f>Table65676872[[#This Row],[Employed Persons:
Males]]*Table65676872[[#This Row],[Smoking Prevalence:
Males]]</f>
        <v>535173</v>
      </c>
      <c r="H245" s="125">
        <f>Table65676872[[#This Row],[Employed Persons:
Females]]*Table65676872[[#This Row],[Smoking Prevalence:
Females]]</f>
        <v>58870.000000000007</v>
      </c>
      <c r="I245" s="50">
        <f>$C$10*Table65676872[[#This Row],[Employed Smokers:
Males]]*D$27</f>
        <v>68992362.46800001</v>
      </c>
      <c r="J245" s="15">
        <f>$C$10*Table65676872[[#This Row],[Employed Smokers:
Females]]*E$27</f>
        <v>4892097</v>
      </c>
      <c r="K245" s="15">
        <f>Table65676872[[#This Row],[Excess Presenteeism (Costs):
Males]]+Table65676872[[#This Row],[Excess Presenteeism (Costs):
Females]]</f>
        <v>73884459.46800001</v>
      </c>
      <c r="L245" s="132">
        <v>-1.9999999999999992E-3</v>
      </c>
      <c r="M245" s="136">
        <f>M244*(1+Table65676872[[#This Row],[Relative Change in Smoking Prevalence:
Enforce Marketing Restrictions]])</f>
        <v>0.51317597569871276</v>
      </c>
      <c r="N245" s="136">
        <f>N244*(1+Table65676872[[#This Row],[Relative Change in Smoking Prevalence:
Enforce Marketing Restrictions]])</f>
        <v>6.3021611050719101E-2</v>
      </c>
      <c r="O245" s="139">
        <f>Table65676872[[#This Row],[Employed Persons:
Males]]*Table65676872[[#This Row],[Smoking Prevalence Associated with Intervention: Males]]</f>
        <v>481820.92358352139</v>
      </c>
      <c r="P245" s="139">
        <f>Table65676872[[#This Row],[Employed Persons:
Females]]*Table65676872[[#This Row],[Smoking Prevalence Associated with Intervention: Females]]</f>
        <v>53001.174893654766</v>
      </c>
      <c r="Q245" s="142">
        <f t="shared" si="52"/>
        <v>62114426.184693247</v>
      </c>
      <c r="R245" s="142">
        <f t="shared" si="53"/>
        <v>4404397.6336627109</v>
      </c>
      <c r="S245" s="142">
        <f>Table65676872[[#This Row],[Excess Presenteeism (Costs) - Intervention Scenario:
Males]]+Table65676872[[#This Row],[Excess Presenteeism (Costs) - Intervention Scenario:
Females]]</f>
        <v>66518823.818355955</v>
      </c>
      <c r="T245" s="145">
        <f>Table65676872[[#This Row],[Excess Presenteeism (Costs):
Males]]-Table65676872[[#This Row],[Excess Presenteeism (Costs) - Intervention Scenario:
Males]]</f>
        <v>6877936.2833067626</v>
      </c>
      <c r="U245" s="145">
        <f>Table65676872[[#This Row],[Excess Presenteeism (Costs):
Females]]-Table65676872[[#This Row],[Excess Presenteeism (Costs) - Intervention Scenario:
Females]]</f>
        <v>487699.3663372891</v>
      </c>
      <c r="V245" s="145">
        <f>Table65676872[[#This Row],[Excess Presenteeism (Costs):
Total]]-Table65676872[[#This Row],[Excess Presenteeism (Costs) - Intervention Scenario:
Total]]</f>
        <v>7365635.6496440545</v>
      </c>
    </row>
    <row r="246" spans="2:22" customFormat="1">
      <c r="B246" s="55">
        <v>8</v>
      </c>
      <c r="C246" s="126">
        <f t="shared" si="48"/>
        <v>938900</v>
      </c>
      <c r="D246" s="126">
        <f t="shared" si="49"/>
        <v>841000</v>
      </c>
      <c r="E246" s="122">
        <f t="shared" si="50"/>
        <v>0.56999999999999995</v>
      </c>
      <c r="F246" s="122">
        <f t="shared" si="51"/>
        <v>7.0000000000000007E-2</v>
      </c>
      <c r="G246" s="126">
        <f>Table65676872[[#This Row],[Employed Persons:
Males]]*Table65676872[[#This Row],[Smoking Prevalence:
Males]]</f>
        <v>535173</v>
      </c>
      <c r="H246" s="126">
        <f>Table65676872[[#This Row],[Employed Persons:
Females]]*Table65676872[[#This Row],[Smoking Prevalence:
Females]]</f>
        <v>58870.000000000007</v>
      </c>
      <c r="I246" s="51">
        <f>$C$10*Table65676872[[#This Row],[Employed Smokers:
Males]]*D$27</f>
        <v>68992362.46800001</v>
      </c>
      <c r="J246" s="15">
        <f>$C$10*Table65676872[[#This Row],[Employed Smokers:
Females]]*E$27</f>
        <v>4892097</v>
      </c>
      <c r="K246" s="15">
        <f>Table65676872[[#This Row],[Excess Presenteeism (Costs):
Males]]+Table65676872[[#This Row],[Excess Presenteeism (Costs):
Females]]</f>
        <v>73884459.46800001</v>
      </c>
      <c r="L246" s="132">
        <v>-1.9999999999999992E-3</v>
      </c>
      <c r="M246" s="136">
        <f>M245*(1+Table65676872[[#This Row],[Relative Change in Smoking Prevalence:
Enforce Marketing Restrictions]])</f>
        <v>0.51214962374731532</v>
      </c>
      <c r="N246" s="136">
        <f>N245*(1+Table65676872[[#This Row],[Relative Change in Smoking Prevalence:
Enforce Marketing Restrictions]])</f>
        <v>6.289556782861766E-2</v>
      </c>
      <c r="O246" s="139">
        <f>Table65676872[[#This Row],[Employed Persons:
Males]]*Table65676872[[#This Row],[Smoking Prevalence Associated with Intervention: Males]]</f>
        <v>480857.28173635434</v>
      </c>
      <c r="P246" s="139">
        <f>Table65676872[[#This Row],[Employed Persons:
Females]]*Table65676872[[#This Row],[Smoking Prevalence Associated with Intervention: Females]]</f>
        <v>52895.172543867455</v>
      </c>
      <c r="Q246" s="142">
        <f t="shared" si="52"/>
        <v>61990197.332323857</v>
      </c>
      <c r="R246" s="142">
        <f t="shared" si="53"/>
        <v>4395588.8383953851</v>
      </c>
      <c r="S246" s="142">
        <f>Table65676872[[#This Row],[Excess Presenteeism (Costs) - Intervention Scenario:
Males]]+Table65676872[[#This Row],[Excess Presenteeism (Costs) - Intervention Scenario:
Females]]</f>
        <v>66385786.170719244</v>
      </c>
      <c r="T246" s="145">
        <f>Table65676872[[#This Row],[Excess Presenteeism (Costs):
Males]]-Table65676872[[#This Row],[Excess Presenteeism (Costs) - Intervention Scenario:
Males]]</f>
        <v>7002165.135676153</v>
      </c>
      <c r="U246" s="145">
        <f>Table65676872[[#This Row],[Excess Presenteeism (Costs):
Females]]-Table65676872[[#This Row],[Excess Presenteeism (Costs) - Intervention Scenario:
Females]]</f>
        <v>496508.16160461493</v>
      </c>
      <c r="V246" s="145">
        <f>Table65676872[[#This Row],[Excess Presenteeism (Costs):
Total]]-Table65676872[[#This Row],[Excess Presenteeism (Costs) - Intervention Scenario:
Total]]</f>
        <v>7498673.2972807661</v>
      </c>
    </row>
    <row r="247" spans="2:22" customFormat="1">
      <c r="B247" s="54">
        <v>9</v>
      </c>
      <c r="C247" s="125">
        <f t="shared" si="48"/>
        <v>938900</v>
      </c>
      <c r="D247" s="125">
        <f t="shared" si="49"/>
        <v>841000</v>
      </c>
      <c r="E247" s="121">
        <f t="shared" si="50"/>
        <v>0.56999999999999995</v>
      </c>
      <c r="F247" s="121">
        <f t="shared" si="51"/>
        <v>7.0000000000000007E-2</v>
      </c>
      <c r="G247" s="125">
        <f>Table65676872[[#This Row],[Employed Persons:
Males]]*Table65676872[[#This Row],[Smoking Prevalence:
Males]]</f>
        <v>535173</v>
      </c>
      <c r="H247" s="125">
        <f>Table65676872[[#This Row],[Employed Persons:
Females]]*Table65676872[[#This Row],[Smoking Prevalence:
Females]]</f>
        <v>58870.000000000007</v>
      </c>
      <c r="I247" s="50">
        <f>$C$10*Table65676872[[#This Row],[Employed Smokers:
Males]]*D$27</f>
        <v>68992362.46800001</v>
      </c>
      <c r="J247" s="15">
        <f>$C$10*Table65676872[[#This Row],[Employed Smokers:
Females]]*E$27</f>
        <v>4892097</v>
      </c>
      <c r="K247" s="15">
        <f>Table65676872[[#This Row],[Excess Presenteeism (Costs):
Males]]+Table65676872[[#This Row],[Excess Presenteeism (Costs):
Females]]</f>
        <v>73884459.46800001</v>
      </c>
      <c r="L247" s="132">
        <v>-1.9999999999999992E-3</v>
      </c>
      <c r="M247" s="136">
        <f>M246*(1+Table65676872[[#This Row],[Relative Change in Smoking Prevalence:
Enforce Marketing Restrictions]])</f>
        <v>0.51112532449982073</v>
      </c>
      <c r="N247" s="136">
        <f>N246*(1+Table65676872[[#This Row],[Relative Change in Smoking Prevalence:
Enforce Marketing Restrictions]])</f>
        <v>6.2769776692960425E-2</v>
      </c>
      <c r="O247" s="139">
        <f>Table65676872[[#This Row],[Employed Persons:
Males]]*Table65676872[[#This Row],[Smoking Prevalence Associated with Intervention: Males]]</f>
        <v>479895.56717288168</v>
      </c>
      <c r="P247" s="139">
        <f>Table65676872[[#This Row],[Employed Persons:
Females]]*Table65676872[[#This Row],[Smoking Prevalence Associated with Intervention: Females]]</f>
        <v>52789.38219877972</v>
      </c>
      <c r="Q247" s="142">
        <f t="shared" si="52"/>
        <v>61866216.937659219</v>
      </c>
      <c r="R247" s="142">
        <f t="shared" si="53"/>
        <v>4386797.6607185947</v>
      </c>
      <c r="S247" s="142">
        <f>Table65676872[[#This Row],[Excess Presenteeism (Costs) - Intervention Scenario:
Males]]+Table65676872[[#This Row],[Excess Presenteeism (Costs) - Intervention Scenario:
Females]]</f>
        <v>66253014.598377816</v>
      </c>
      <c r="T247" s="145">
        <f>Table65676872[[#This Row],[Excess Presenteeism (Costs):
Males]]-Table65676872[[#This Row],[Excess Presenteeism (Costs) - Intervention Scenario:
Males]]</f>
        <v>7126145.5303407907</v>
      </c>
      <c r="U247" s="145">
        <f>Table65676872[[#This Row],[Excess Presenteeism (Costs):
Females]]-Table65676872[[#This Row],[Excess Presenteeism (Costs) - Intervention Scenario:
Females]]</f>
        <v>505299.33928140532</v>
      </c>
      <c r="V247" s="145">
        <f>Table65676872[[#This Row],[Excess Presenteeism (Costs):
Total]]-Table65676872[[#This Row],[Excess Presenteeism (Costs) - Intervention Scenario:
Total]]</f>
        <v>7631444.8696221933</v>
      </c>
    </row>
    <row r="248" spans="2:22" customFormat="1">
      <c r="B248" s="55">
        <v>10</v>
      </c>
      <c r="C248" s="126">
        <f t="shared" si="48"/>
        <v>938900</v>
      </c>
      <c r="D248" s="126">
        <f t="shared" si="49"/>
        <v>841000</v>
      </c>
      <c r="E248" s="122">
        <f t="shared" si="50"/>
        <v>0.56999999999999995</v>
      </c>
      <c r="F248" s="122">
        <f t="shared" si="51"/>
        <v>7.0000000000000007E-2</v>
      </c>
      <c r="G248" s="126">
        <f>Table65676872[[#This Row],[Employed Persons:
Males]]*Table65676872[[#This Row],[Smoking Prevalence:
Males]]</f>
        <v>535173</v>
      </c>
      <c r="H248" s="126">
        <f>Table65676872[[#This Row],[Employed Persons:
Females]]*Table65676872[[#This Row],[Smoking Prevalence:
Females]]</f>
        <v>58870.000000000007</v>
      </c>
      <c r="I248" s="51">
        <f>$C$10*Table65676872[[#This Row],[Employed Smokers:
Males]]*D$27</f>
        <v>68992362.46800001</v>
      </c>
      <c r="J248" s="15">
        <f>$C$10*Table65676872[[#This Row],[Employed Smokers:
Females]]*E$27</f>
        <v>4892097</v>
      </c>
      <c r="K248" s="15">
        <f>Table65676872[[#This Row],[Excess Presenteeism (Costs):
Males]]+Table65676872[[#This Row],[Excess Presenteeism (Costs):
Females]]</f>
        <v>73884459.46800001</v>
      </c>
      <c r="L248" s="132">
        <v>-1.9999999999999992E-3</v>
      </c>
      <c r="M248" s="136">
        <f>M247*(1+Table65676872[[#This Row],[Relative Change in Smoking Prevalence:
Enforce Marketing Restrictions]])</f>
        <v>0.5101030738508211</v>
      </c>
      <c r="N248" s="136">
        <f>N247*(1+Table65676872[[#This Row],[Relative Change in Smoking Prevalence:
Enforce Marketing Restrictions]])</f>
        <v>6.264423713957451E-2</v>
      </c>
      <c r="O248" s="139">
        <f>Table65676872[[#This Row],[Employed Persons:
Males]]*Table65676872[[#This Row],[Smoking Prevalence Associated with Intervention: Males]]</f>
        <v>478935.77603853593</v>
      </c>
      <c r="P248" s="139">
        <f>Table65676872[[#This Row],[Employed Persons:
Females]]*Table65676872[[#This Row],[Smoking Prevalence Associated with Intervention: Females]]</f>
        <v>52683.803434382164</v>
      </c>
      <c r="Q248" s="142">
        <f t="shared" si="52"/>
        <v>61742484.503783897</v>
      </c>
      <c r="R248" s="142">
        <f t="shared" si="53"/>
        <v>4378024.0653971573</v>
      </c>
      <c r="S248" s="142">
        <f>Table65676872[[#This Row],[Excess Presenteeism (Costs) - Intervention Scenario:
Males]]+Table65676872[[#This Row],[Excess Presenteeism (Costs) - Intervention Scenario:
Females]]</f>
        <v>66120508.569181055</v>
      </c>
      <c r="T248" s="145">
        <f>Table65676872[[#This Row],[Excess Presenteeism (Costs):
Males]]-Table65676872[[#This Row],[Excess Presenteeism (Costs) - Intervention Scenario:
Males]]</f>
        <v>7249877.9642161131</v>
      </c>
      <c r="U248" s="145">
        <f>Table65676872[[#This Row],[Excess Presenteeism (Costs):
Females]]-Table65676872[[#This Row],[Excess Presenteeism (Costs) - Intervention Scenario:
Females]]</f>
        <v>514072.93460284267</v>
      </c>
      <c r="V248" s="145">
        <f>Table65676872[[#This Row],[Excess Presenteeism (Costs):
Total]]-Table65676872[[#This Row],[Excess Presenteeism (Costs) - Intervention Scenario:
Total]]</f>
        <v>7763950.8988189548</v>
      </c>
    </row>
    <row r="249" spans="2:22" customFormat="1">
      <c r="B249" s="54">
        <v>11</v>
      </c>
      <c r="C249" s="125">
        <f t="shared" si="48"/>
        <v>938900</v>
      </c>
      <c r="D249" s="125">
        <f t="shared" si="49"/>
        <v>841000</v>
      </c>
      <c r="E249" s="121">
        <f t="shared" si="50"/>
        <v>0.56999999999999995</v>
      </c>
      <c r="F249" s="121">
        <f t="shared" si="51"/>
        <v>7.0000000000000007E-2</v>
      </c>
      <c r="G249" s="125">
        <f>Table65676872[[#This Row],[Employed Persons:
Males]]*Table65676872[[#This Row],[Smoking Prevalence:
Males]]</f>
        <v>535173</v>
      </c>
      <c r="H249" s="125">
        <f>Table65676872[[#This Row],[Employed Persons:
Females]]*Table65676872[[#This Row],[Smoking Prevalence:
Females]]</f>
        <v>58870.000000000007</v>
      </c>
      <c r="I249" s="50">
        <f>$C$10*Table65676872[[#This Row],[Employed Smokers:
Males]]*D$27</f>
        <v>68992362.46800001</v>
      </c>
      <c r="J249" s="15">
        <f>$C$10*Table65676872[[#This Row],[Employed Smokers:
Females]]*E$27</f>
        <v>4892097</v>
      </c>
      <c r="K249" s="15">
        <f>Table65676872[[#This Row],[Excess Presenteeism (Costs):
Males]]+Table65676872[[#This Row],[Excess Presenteeism (Costs):
Females]]</f>
        <v>73884459.46800001</v>
      </c>
      <c r="L249" s="132">
        <v>-1.9999999999999992E-3</v>
      </c>
      <c r="M249" s="136">
        <f>M248*(1+Table65676872[[#This Row],[Relative Change in Smoking Prevalence:
Enforce Marketing Restrictions]])</f>
        <v>0.5090828677031195</v>
      </c>
      <c r="N249" s="136">
        <f>N248*(1+Table65676872[[#This Row],[Relative Change in Smoking Prevalence:
Enforce Marketing Restrictions]])</f>
        <v>6.2518948665295365E-2</v>
      </c>
      <c r="O249" s="139">
        <f>Table65676872[[#This Row],[Employed Persons:
Males]]*Table65676872[[#This Row],[Smoking Prevalence Associated with Intervention: Males]]</f>
        <v>477977.90448645892</v>
      </c>
      <c r="P249" s="139">
        <f>Table65676872[[#This Row],[Employed Persons:
Females]]*Table65676872[[#This Row],[Smoking Prevalence Associated with Intervention: Females]]</f>
        <v>52578.4358275134</v>
      </c>
      <c r="Q249" s="142">
        <f t="shared" si="52"/>
        <v>61618999.534776337</v>
      </c>
      <c r="R249" s="142">
        <f t="shared" si="53"/>
        <v>4369268.0172663629</v>
      </c>
      <c r="S249" s="142">
        <f>Table65676872[[#This Row],[Excess Presenteeism (Costs) - Intervention Scenario:
Males]]+Table65676872[[#This Row],[Excess Presenteeism (Costs) - Intervention Scenario:
Females]]</f>
        <v>65988267.5520427</v>
      </c>
      <c r="T249" s="145">
        <f>Table65676872[[#This Row],[Excess Presenteeism (Costs):
Males]]-Table65676872[[#This Row],[Excess Presenteeism (Costs) - Intervention Scenario:
Males]]</f>
        <v>7373362.9332236722</v>
      </c>
      <c r="U249" s="145">
        <f>Table65676872[[#This Row],[Excess Presenteeism (Costs):
Females]]-Table65676872[[#This Row],[Excess Presenteeism (Costs) - Intervention Scenario:
Females]]</f>
        <v>522828.98273363709</v>
      </c>
      <c r="V249" s="145">
        <f>Table65676872[[#This Row],[Excess Presenteeism (Costs):
Total]]-Table65676872[[#This Row],[Excess Presenteeism (Costs) - Intervention Scenario:
Total]]</f>
        <v>7896191.9159573093</v>
      </c>
    </row>
    <row r="250" spans="2:22" customFormat="1">
      <c r="B250" s="55">
        <v>12</v>
      </c>
      <c r="C250" s="126">
        <f t="shared" si="48"/>
        <v>938900</v>
      </c>
      <c r="D250" s="126">
        <f t="shared" si="49"/>
        <v>841000</v>
      </c>
      <c r="E250" s="122">
        <f t="shared" si="50"/>
        <v>0.56999999999999995</v>
      </c>
      <c r="F250" s="122">
        <f t="shared" si="51"/>
        <v>7.0000000000000007E-2</v>
      </c>
      <c r="G250" s="126">
        <f>Table65676872[[#This Row],[Employed Persons:
Males]]*Table65676872[[#This Row],[Smoking Prevalence:
Males]]</f>
        <v>535173</v>
      </c>
      <c r="H250" s="126">
        <f>Table65676872[[#This Row],[Employed Persons:
Females]]*Table65676872[[#This Row],[Smoking Prevalence:
Females]]</f>
        <v>58870.000000000007</v>
      </c>
      <c r="I250" s="51">
        <f>$C$10*Table65676872[[#This Row],[Employed Smokers:
Males]]*D$27</f>
        <v>68992362.46800001</v>
      </c>
      <c r="J250" s="15">
        <f>$C$10*Table65676872[[#This Row],[Employed Smokers:
Females]]*E$27</f>
        <v>4892097</v>
      </c>
      <c r="K250" s="15">
        <f>Table65676872[[#This Row],[Excess Presenteeism (Costs):
Males]]+Table65676872[[#This Row],[Excess Presenteeism (Costs):
Females]]</f>
        <v>73884459.46800001</v>
      </c>
      <c r="L250" s="132">
        <v>-1.9999999999999992E-3</v>
      </c>
      <c r="M250" s="136">
        <f>M249*(1+Table65676872[[#This Row],[Relative Change in Smoking Prevalence:
Enforce Marketing Restrictions]])</f>
        <v>0.50806470196771325</v>
      </c>
      <c r="N250" s="136">
        <f>N249*(1+Table65676872[[#This Row],[Relative Change in Smoking Prevalence:
Enforce Marketing Restrictions]])</f>
        <v>6.2393910767964772E-2</v>
      </c>
      <c r="O250" s="139">
        <f>Table65676872[[#This Row],[Employed Persons:
Males]]*Table65676872[[#This Row],[Smoking Prevalence Associated with Intervention: Males]]</f>
        <v>477021.94867748598</v>
      </c>
      <c r="P250" s="139">
        <f>Table65676872[[#This Row],[Employed Persons:
Females]]*Table65676872[[#This Row],[Smoking Prevalence Associated with Intervention: Females]]</f>
        <v>52473.278955858375</v>
      </c>
      <c r="Q250" s="142">
        <f t="shared" si="52"/>
        <v>61495761.535706788</v>
      </c>
      <c r="R250" s="142">
        <f t="shared" si="53"/>
        <v>4360529.4812318319</v>
      </c>
      <c r="S250" s="142">
        <f>Table65676872[[#This Row],[Excess Presenteeism (Costs) - Intervention Scenario:
Males]]+Table65676872[[#This Row],[Excess Presenteeism (Costs) - Intervention Scenario:
Females]]</f>
        <v>65856291.016938619</v>
      </c>
      <c r="T250" s="145">
        <f>Table65676872[[#This Row],[Excess Presenteeism (Costs):
Males]]-Table65676872[[#This Row],[Excess Presenteeism (Costs) - Intervention Scenario:
Males]]</f>
        <v>7496600.9322932214</v>
      </c>
      <c r="U250" s="145">
        <f>Table65676872[[#This Row],[Excess Presenteeism (Costs):
Females]]-Table65676872[[#This Row],[Excess Presenteeism (Costs) - Intervention Scenario:
Females]]</f>
        <v>531567.51876816805</v>
      </c>
      <c r="V250" s="145">
        <f>Table65676872[[#This Row],[Excess Presenteeism (Costs):
Total]]-Table65676872[[#This Row],[Excess Presenteeism (Costs) - Intervention Scenario:
Total]]</f>
        <v>8028168.4510613903</v>
      </c>
    </row>
    <row r="251" spans="2:22" customFormat="1">
      <c r="B251" s="54">
        <v>13</v>
      </c>
      <c r="C251" s="125">
        <f t="shared" si="48"/>
        <v>938900</v>
      </c>
      <c r="D251" s="125">
        <f t="shared" si="49"/>
        <v>841000</v>
      </c>
      <c r="E251" s="121">
        <f t="shared" si="50"/>
        <v>0.56999999999999995</v>
      </c>
      <c r="F251" s="121">
        <f t="shared" si="51"/>
        <v>7.0000000000000007E-2</v>
      </c>
      <c r="G251" s="125">
        <f>Table65676872[[#This Row],[Employed Persons:
Males]]*Table65676872[[#This Row],[Smoking Prevalence:
Males]]</f>
        <v>535173</v>
      </c>
      <c r="H251" s="125">
        <f>Table65676872[[#This Row],[Employed Persons:
Females]]*Table65676872[[#This Row],[Smoking Prevalence:
Females]]</f>
        <v>58870.000000000007</v>
      </c>
      <c r="I251" s="50">
        <f>$C$10*Table65676872[[#This Row],[Employed Smokers:
Males]]*D$27</f>
        <v>68992362.46800001</v>
      </c>
      <c r="J251" s="15">
        <f>$C$10*Table65676872[[#This Row],[Employed Smokers:
Females]]*E$27</f>
        <v>4892097</v>
      </c>
      <c r="K251" s="15">
        <f>Table65676872[[#This Row],[Excess Presenteeism (Costs):
Males]]+Table65676872[[#This Row],[Excess Presenteeism (Costs):
Females]]</f>
        <v>73884459.46800001</v>
      </c>
      <c r="L251" s="132">
        <v>-1.9999999999999992E-3</v>
      </c>
      <c r="M251" s="136">
        <f>M250*(1+Table65676872[[#This Row],[Relative Change in Smoking Prevalence:
Enforce Marketing Restrictions]])</f>
        <v>0.50704857256377778</v>
      </c>
      <c r="N251" s="136">
        <f>N250*(1+Table65676872[[#This Row],[Relative Change in Smoking Prevalence:
Enforce Marketing Restrictions]])</f>
        <v>6.2269122946428841E-2</v>
      </c>
      <c r="O251" s="139">
        <f>Table65676872[[#This Row],[Employed Persons:
Males]]*Table65676872[[#This Row],[Smoking Prevalence Associated with Intervention: Males]]</f>
        <v>476067.90478013095</v>
      </c>
      <c r="P251" s="139">
        <f>Table65676872[[#This Row],[Employed Persons:
Females]]*Table65676872[[#This Row],[Smoking Prevalence Associated with Intervention: Females]]</f>
        <v>52368.332397946659</v>
      </c>
      <c r="Q251" s="142">
        <f t="shared" si="52"/>
        <v>61372770.012635373</v>
      </c>
      <c r="R251" s="142">
        <f t="shared" si="53"/>
        <v>4351808.4222693676</v>
      </c>
      <c r="S251" s="142">
        <f>Table65676872[[#This Row],[Excess Presenteeism (Costs) - Intervention Scenario:
Males]]+Table65676872[[#This Row],[Excess Presenteeism (Costs) - Intervention Scenario:
Females]]</f>
        <v>65724578.434904739</v>
      </c>
      <c r="T251" s="145">
        <f>Table65676872[[#This Row],[Excess Presenteeism (Costs):
Males]]-Table65676872[[#This Row],[Excess Presenteeism (Costs) - Intervention Scenario:
Males]]</f>
        <v>7619592.4553646371</v>
      </c>
      <c r="U251" s="145">
        <f>Table65676872[[#This Row],[Excess Presenteeism (Costs):
Females]]-Table65676872[[#This Row],[Excess Presenteeism (Costs) - Intervention Scenario:
Females]]</f>
        <v>540288.57773063239</v>
      </c>
      <c r="V251" s="145">
        <f>Table65676872[[#This Row],[Excess Presenteeism (Costs):
Total]]-Table65676872[[#This Row],[Excess Presenteeism (Costs) - Intervention Scenario:
Total]]</f>
        <v>8159881.0330952704</v>
      </c>
    </row>
    <row r="252" spans="2:22" customFormat="1">
      <c r="B252" s="55">
        <v>14</v>
      </c>
      <c r="C252" s="126">
        <f t="shared" si="48"/>
        <v>938900</v>
      </c>
      <c r="D252" s="126">
        <f t="shared" si="49"/>
        <v>841000</v>
      </c>
      <c r="E252" s="122">
        <f t="shared" si="50"/>
        <v>0.56999999999999995</v>
      </c>
      <c r="F252" s="122">
        <f t="shared" si="51"/>
        <v>7.0000000000000007E-2</v>
      </c>
      <c r="G252" s="126">
        <f>Table65676872[[#This Row],[Employed Persons:
Males]]*Table65676872[[#This Row],[Smoking Prevalence:
Males]]</f>
        <v>535173</v>
      </c>
      <c r="H252" s="126">
        <f>Table65676872[[#This Row],[Employed Persons:
Females]]*Table65676872[[#This Row],[Smoking Prevalence:
Females]]</f>
        <v>58870.000000000007</v>
      </c>
      <c r="I252" s="51">
        <f>$C$10*Table65676872[[#This Row],[Employed Smokers:
Males]]*D$27</f>
        <v>68992362.46800001</v>
      </c>
      <c r="J252" s="15">
        <f>$C$10*Table65676872[[#This Row],[Employed Smokers:
Females]]*E$27</f>
        <v>4892097</v>
      </c>
      <c r="K252" s="15">
        <f>Table65676872[[#This Row],[Excess Presenteeism (Costs):
Males]]+Table65676872[[#This Row],[Excess Presenteeism (Costs):
Females]]</f>
        <v>73884459.46800001</v>
      </c>
      <c r="L252" s="132">
        <v>-1.9999999999999992E-3</v>
      </c>
      <c r="M252" s="136">
        <f>M251*(1+Table65676872[[#This Row],[Relative Change in Smoking Prevalence:
Enforce Marketing Restrictions]])</f>
        <v>0.50603447541865021</v>
      </c>
      <c r="N252" s="136">
        <f>N251*(1+Table65676872[[#This Row],[Relative Change in Smoking Prevalence:
Enforce Marketing Restrictions]])</f>
        <v>6.2144584700535986E-2</v>
      </c>
      <c r="O252" s="139">
        <f>Table65676872[[#This Row],[Employed Persons:
Males]]*Table65676872[[#This Row],[Smoking Prevalence Associated with Intervention: Males]]</f>
        <v>475115.7689705707</v>
      </c>
      <c r="P252" s="139">
        <f>Table65676872[[#This Row],[Employed Persons:
Females]]*Table65676872[[#This Row],[Smoking Prevalence Associated with Intervention: Females]]</f>
        <v>52263.595733150767</v>
      </c>
      <c r="Q252" s="142">
        <f t="shared" si="52"/>
        <v>61250024.472610101</v>
      </c>
      <c r="R252" s="142">
        <f t="shared" si="53"/>
        <v>4343104.805424829</v>
      </c>
      <c r="S252" s="142">
        <f>Table65676872[[#This Row],[Excess Presenteeism (Costs) - Intervention Scenario:
Males]]+Table65676872[[#This Row],[Excess Presenteeism (Costs) - Intervention Scenario:
Females]]</f>
        <v>65593129.278034933</v>
      </c>
      <c r="T252" s="145">
        <f>Table65676872[[#This Row],[Excess Presenteeism (Costs):
Males]]-Table65676872[[#This Row],[Excess Presenteeism (Costs) - Intervention Scenario:
Males]]</f>
        <v>7742337.9953899086</v>
      </c>
      <c r="U252" s="145">
        <f>Table65676872[[#This Row],[Excess Presenteeism (Costs):
Females]]-Table65676872[[#This Row],[Excess Presenteeism (Costs) - Intervention Scenario:
Females]]</f>
        <v>548992.19457517099</v>
      </c>
      <c r="V252" s="145">
        <f>Table65676872[[#This Row],[Excess Presenteeism (Costs):
Total]]-Table65676872[[#This Row],[Excess Presenteeism (Costs) - Intervention Scenario:
Total]]</f>
        <v>8291330.1899650767</v>
      </c>
    </row>
    <row r="253" spans="2:22" customFormat="1">
      <c r="B253" s="56">
        <v>15</v>
      </c>
      <c r="C253" s="127">
        <f t="shared" si="48"/>
        <v>938900</v>
      </c>
      <c r="D253" s="127">
        <f t="shared" si="49"/>
        <v>841000</v>
      </c>
      <c r="E253" s="123">
        <f t="shared" si="50"/>
        <v>0.56999999999999995</v>
      </c>
      <c r="F253" s="123">
        <f t="shared" si="51"/>
        <v>7.0000000000000007E-2</v>
      </c>
      <c r="G253" s="127">
        <f>Table65676872[[#This Row],[Employed Persons:
Males]]*Table65676872[[#This Row],[Smoking Prevalence:
Males]]</f>
        <v>535173</v>
      </c>
      <c r="H253" s="127">
        <f>Table65676872[[#This Row],[Employed Persons:
Females]]*Table65676872[[#This Row],[Smoking Prevalence:
Females]]</f>
        <v>58870.000000000007</v>
      </c>
      <c r="I253" s="52">
        <f>$C$10*Table65676872[[#This Row],[Employed Smokers:
Males]]*D$27</f>
        <v>68992362.46800001</v>
      </c>
      <c r="J253" s="15">
        <f>$C$10*Table65676872[[#This Row],[Employed Smokers:
Females]]*E$27</f>
        <v>4892097</v>
      </c>
      <c r="K253" s="15">
        <f>Table65676872[[#This Row],[Excess Presenteeism (Costs):
Males]]+Table65676872[[#This Row],[Excess Presenteeism (Costs):
Females]]</f>
        <v>73884459.46800001</v>
      </c>
      <c r="L253" s="132">
        <v>-1.9999999999999992E-3</v>
      </c>
      <c r="M253" s="136">
        <f>M252*(1+Table65676872[[#This Row],[Relative Change in Smoking Prevalence:
Enforce Marketing Restrictions]])</f>
        <v>0.50502240646781293</v>
      </c>
      <c r="N253" s="136">
        <f>N252*(1+Table65676872[[#This Row],[Relative Change in Smoking Prevalence:
Enforce Marketing Restrictions]])</f>
        <v>6.2020295531134917E-2</v>
      </c>
      <c r="O253" s="139">
        <f>Table65676872[[#This Row],[Employed Persons:
Males]]*Table65676872[[#This Row],[Smoking Prevalence Associated with Intervention: Males]]</f>
        <v>474165.53743262956</v>
      </c>
      <c r="P253" s="139">
        <f>Table65676872[[#This Row],[Employed Persons:
Females]]*Table65676872[[#This Row],[Smoking Prevalence Associated with Intervention: Females]]</f>
        <v>52159.068541684464</v>
      </c>
      <c r="Q253" s="142">
        <f t="shared" si="52"/>
        <v>61127524.423664875</v>
      </c>
      <c r="R253" s="142">
        <f t="shared" si="53"/>
        <v>4334418.5958139785</v>
      </c>
      <c r="S253" s="142">
        <f>Table65676872[[#This Row],[Excess Presenteeism (Costs) - Intervention Scenario:
Males]]+Table65676872[[#This Row],[Excess Presenteeism (Costs) - Intervention Scenario:
Females]]</f>
        <v>65461943.019478858</v>
      </c>
      <c r="T253" s="145">
        <f>Table65676872[[#This Row],[Excess Presenteeism (Costs):
Males]]-Table65676872[[#This Row],[Excess Presenteeism (Costs) - Intervention Scenario:
Males]]</f>
        <v>7864838.0443351343</v>
      </c>
      <c r="U253" s="145">
        <f>Table65676872[[#This Row],[Excess Presenteeism (Costs):
Females]]-Table65676872[[#This Row],[Excess Presenteeism (Costs) - Intervention Scenario:
Females]]</f>
        <v>557678.40418602154</v>
      </c>
      <c r="V253" s="145">
        <f>Table65676872[[#This Row],[Excess Presenteeism (Costs):
Total]]-Table65676872[[#This Row],[Excess Presenteeism (Costs) - Intervention Scenario:
Total]]</f>
        <v>8422516.4485211521</v>
      </c>
    </row>
    <row r="256" spans="2:22" ht="21">
      <c r="B256" s="81" t="s">
        <v>118</v>
      </c>
    </row>
    <row r="257" spans="2:22" ht="21">
      <c r="B257" s="81"/>
    </row>
    <row r="258" spans="2:22" ht="135">
      <c r="B258" s="71" t="s">
        <v>111</v>
      </c>
      <c r="C258" s="129" t="s">
        <v>175</v>
      </c>
      <c r="D258" s="128"/>
      <c r="E258" s="128"/>
      <c r="F258" s="128"/>
      <c r="G258" s="133" t="s">
        <v>176</v>
      </c>
      <c r="H258" s="134"/>
      <c r="I258" s="134"/>
      <c r="J258" s="134"/>
      <c r="K258" s="134"/>
      <c r="L258" s="68" t="s">
        <v>110</v>
      </c>
      <c r="M258" s="74" t="s">
        <v>177</v>
      </c>
      <c r="N258" s="70"/>
      <c r="O258" s="73" t="s">
        <v>178</v>
      </c>
      <c r="P258" s="72"/>
      <c r="Q258" s="72"/>
      <c r="R258" s="72"/>
      <c r="S258" s="72"/>
      <c r="T258" s="78" t="s">
        <v>179</v>
      </c>
      <c r="U258" s="75"/>
      <c r="V258" s="75"/>
    </row>
    <row r="260" spans="2:22" ht="69" customHeight="1" thickBot="1">
      <c r="B260" s="35" t="s">
        <v>81</v>
      </c>
      <c r="C260" s="35" t="s">
        <v>157</v>
      </c>
      <c r="D260" s="35" t="s">
        <v>158</v>
      </c>
      <c r="E260" s="35" t="s">
        <v>155</v>
      </c>
      <c r="F260" s="35" t="s">
        <v>156</v>
      </c>
      <c r="G260" s="35" t="s">
        <v>159</v>
      </c>
      <c r="H260" s="35" t="s">
        <v>160</v>
      </c>
      <c r="I260" s="34" t="s">
        <v>181</v>
      </c>
      <c r="J260" s="34" t="s">
        <v>182</v>
      </c>
      <c r="K260" s="34" t="s">
        <v>183</v>
      </c>
      <c r="L260" s="63" t="s">
        <v>74</v>
      </c>
      <c r="M260" s="135" t="s">
        <v>162</v>
      </c>
      <c r="N260" s="135" t="s">
        <v>163</v>
      </c>
      <c r="O260" s="137" t="s">
        <v>164</v>
      </c>
      <c r="P260" s="137" t="s">
        <v>165</v>
      </c>
      <c r="Q260" s="137" t="s">
        <v>184</v>
      </c>
      <c r="R260" s="137" t="s">
        <v>185</v>
      </c>
      <c r="S260" s="137" t="s">
        <v>186</v>
      </c>
      <c r="T260" s="143" t="s">
        <v>173</v>
      </c>
      <c r="U260" s="143" t="s">
        <v>172</v>
      </c>
      <c r="V260" s="143" t="s">
        <v>174</v>
      </c>
    </row>
    <row r="261" spans="2:22" ht="15.75" thickTop="1">
      <c r="B261" s="53">
        <v>0</v>
      </c>
      <c r="C261" s="124">
        <f t="shared" ref="C261:C276" si="54">$D$24</f>
        <v>938900</v>
      </c>
      <c r="D261" s="124">
        <f t="shared" ref="D261:D276" si="55">$E$24</f>
        <v>841000</v>
      </c>
      <c r="E261" s="120">
        <f t="shared" ref="E261:E276" si="56">$D$25</f>
        <v>0.56999999999999995</v>
      </c>
      <c r="F261" s="120">
        <f t="shared" ref="F261:F276" si="57">$E$25</f>
        <v>7.0000000000000007E-2</v>
      </c>
      <c r="G261" s="124">
        <f>Table6567686973[[#This Row],[Employed Persons:
Males]]*Table6567686973[[#This Row],[Smoking Prevalence:
Males]]</f>
        <v>535173</v>
      </c>
      <c r="H261" s="124">
        <f>Table6567686973[[#This Row],[Employed Persons:
Females]]*Table6567686973[[#This Row],[Smoking Prevalence:
Females]]</f>
        <v>58870.000000000007</v>
      </c>
      <c r="I261" s="49">
        <f>$C$10*Table6567686973[[#This Row],[Employed Smokers:
Males]]*D$27</f>
        <v>68992362.46800001</v>
      </c>
      <c r="J261" s="49">
        <f>$C$10*Table6567686973[[#This Row],[Employed Smokers:
Females]]*E$27</f>
        <v>4892097</v>
      </c>
      <c r="K261" s="12">
        <f>Table6567686973[[#This Row],[Excess Presenteeism (Costs):
Males]]+Table6567686973[[#This Row],[Excess Presenteeism (Costs):
Females]]</f>
        <v>73884459.46800001</v>
      </c>
      <c r="L261" s="67"/>
      <c r="M261" s="136">
        <f>Table6567686973[[#This Row],[Smoking Prevalence:
Males]]</f>
        <v>0.56999999999999995</v>
      </c>
      <c r="N261" s="136">
        <f>Table6567686973[[#This Row],[Smoking Prevalence:
Females]]</f>
        <v>7.0000000000000007E-2</v>
      </c>
      <c r="O261" s="138">
        <f>Table6567686973[[#This Row],[Employed Persons:
Males]]*Table6567686973[[#This Row],[Smoking Prevalence Associated with Intervention: Males]]</f>
        <v>535173</v>
      </c>
      <c r="P261" s="138">
        <f>Table6567686973[[#This Row],[Employed Persons:
Females]]*Table6567686973[[#This Row],[Smoking Prevalence Associated with Intervention: Females]]</f>
        <v>58870.000000000007</v>
      </c>
      <c r="Q261" s="140">
        <f t="shared" ref="Q261:Q276" si="58">$C$10*O261*D$27</f>
        <v>68992362.46800001</v>
      </c>
      <c r="R261" s="140">
        <f t="shared" ref="R261:R276" si="59">$C$10*P261*E$27</f>
        <v>4892097</v>
      </c>
      <c r="S261" s="141">
        <f>Table6567686973[[#This Row],[Excess Presenteeism (Costs) - Intervention Scenario:
Males]]+Table6567686973[[#This Row],[Excess Presenteeism (Costs) - Intervention Scenario:
Females]]</f>
        <v>73884459.46800001</v>
      </c>
      <c r="T261" s="144">
        <f>Table6567686973[[#This Row],[Excess Presenteeism (Costs):
Males]]-Table6567686973[[#This Row],[Excess Presenteeism (Costs) - Intervention Scenario:
Males]]</f>
        <v>0</v>
      </c>
      <c r="U261" s="144">
        <f>Table6567686973[[#This Row],[Excess Presenteeism (Costs):
Females]]-Table6567686973[[#This Row],[Excess Presenteeism (Costs) - Intervention Scenario:
Females]]</f>
        <v>0</v>
      </c>
      <c r="V261" s="144">
        <f>Table6567686973[[#This Row],[Excess Presenteeism (Costs):
Total]]-Table6567686973[[#This Row],[Excess Presenteeism (Costs) - Intervention Scenario:
Total]]</f>
        <v>0</v>
      </c>
    </row>
    <row r="262" spans="2:22">
      <c r="B262" s="54">
        <v>1</v>
      </c>
      <c r="C262" s="125">
        <f t="shared" si="54"/>
        <v>938900</v>
      </c>
      <c r="D262" s="125">
        <f t="shared" si="55"/>
        <v>841000</v>
      </c>
      <c r="E262" s="121">
        <f t="shared" si="56"/>
        <v>0.56999999999999995</v>
      </c>
      <c r="F262" s="121">
        <f t="shared" si="57"/>
        <v>7.0000000000000007E-2</v>
      </c>
      <c r="G262" s="125">
        <f>Table6567686973[[#This Row],[Employed Persons:
Males]]*Table6567686973[[#This Row],[Smoking Prevalence:
Males]]</f>
        <v>535173</v>
      </c>
      <c r="H262" s="125">
        <f>Table6567686973[[#This Row],[Employed Persons:
Females]]*Table6567686973[[#This Row],[Smoking Prevalence:
Females]]</f>
        <v>58870.000000000007</v>
      </c>
      <c r="I262" s="50">
        <f>$C$10*Table6567686973[[#This Row],[Employed Smokers:
Males]]*D$27</f>
        <v>68992362.46800001</v>
      </c>
      <c r="J262" s="12">
        <f>$C$10*Table6567686973[[#This Row],[Employed Smokers:
Females]]*E$27</f>
        <v>4892097</v>
      </c>
      <c r="K262" s="12">
        <f>Table6567686973[[#This Row],[Excess Presenteeism (Costs):
Males]]+Table6567686973[[#This Row],[Excess Presenteeism (Costs):
Females]]</f>
        <v>73884459.46800001</v>
      </c>
      <c r="L262" s="130">
        <v>-1.2E-2</v>
      </c>
      <c r="M262" s="136">
        <f>M261*(1+Table6567686973[[#This Row],[Relative Change in Smoking Prevalence:
Cigarette Package Warnings]])</f>
        <v>0.56315999999999999</v>
      </c>
      <c r="N262" s="136">
        <f>N261*(1+Table6567686973[[#This Row],[Relative Change in Smoking Prevalence:
Cigarette Package Warnings]])</f>
        <v>6.9159999999999999E-2</v>
      </c>
      <c r="O262" s="138">
        <f>Table6567686973[[#This Row],[Employed Persons:
Males]]*Table6567686973[[#This Row],[Smoking Prevalence Associated with Intervention: Males]]</f>
        <v>528750.924</v>
      </c>
      <c r="P262" s="138">
        <f>Table6567686973[[#This Row],[Employed Persons:
Females]]*Table6567686973[[#This Row],[Smoking Prevalence Associated with Intervention: Females]]</f>
        <v>58163.56</v>
      </c>
      <c r="Q262" s="141">
        <f t="shared" si="58"/>
        <v>68164454.118384004</v>
      </c>
      <c r="R262" s="141">
        <f t="shared" si="59"/>
        <v>4833391.8359999992</v>
      </c>
      <c r="S262" s="141">
        <f>Table6567686973[[#This Row],[Excess Presenteeism (Costs) - Intervention Scenario:
Males]]+Table6567686973[[#This Row],[Excess Presenteeism (Costs) - Intervention Scenario:
Females]]</f>
        <v>72997845.954383999</v>
      </c>
      <c r="T262" s="144">
        <f>Table6567686973[[#This Row],[Excess Presenteeism (Costs):
Males]]-Table6567686973[[#This Row],[Excess Presenteeism (Costs) - Intervention Scenario:
Males]]</f>
        <v>827908.34961600602</v>
      </c>
      <c r="U262" s="144">
        <f>Table6567686973[[#This Row],[Excess Presenteeism (Costs):
Females]]-Table6567686973[[#This Row],[Excess Presenteeism (Costs) - Intervention Scenario:
Females]]</f>
        <v>58705.164000000805</v>
      </c>
      <c r="V262" s="144">
        <f>Table6567686973[[#This Row],[Excess Presenteeism (Costs):
Total]]-Table6567686973[[#This Row],[Excess Presenteeism (Costs) - Intervention Scenario:
Total]]</f>
        <v>886613.51361601055</v>
      </c>
    </row>
    <row r="263" spans="2:22">
      <c r="B263" s="55">
        <v>2</v>
      </c>
      <c r="C263" s="126">
        <f t="shared" si="54"/>
        <v>938900</v>
      </c>
      <c r="D263" s="126">
        <f t="shared" si="55"/>
        <v>841000</v>
      </c>
      <c r="E263" s="122">
        <f t="shared" si="56"/>
        <v>0.56999999999999995</v>
      </c>
      <c r="F263" s="122">
        <f t="shared" si="57"/>
        <v>7.0000000000000007E-2</v>
      </c>
      <c r="G263" s="126">
        <f>Table6567686973[[#This Row],[Employed Persons:
Males]]*Table6567686973[[#This Row],[Smoking Prevalence:
Males]]</f>
        <v>535173</v>
      </c>
      <c r="H263" s="126">
        <f>Table6567686973[[#This Row],[Employed Persons:
Females]]*Table6567686973[[#This Row],[Smoking Prevalence:
Females]]</f>
        <v>58870.000000000007</v>
      </c>
      <c r="I263" s="51">
        <f>$C$10*Table6567686973[[#This Row],[Employed Smokers:
Males]]*D$27</f>
        <v>68992362.46800001</v>
      </c>
      <c r="J263" s="12">
        <f>$C$10*Table6567686973[[#This Row],[Employed Smokers:
Females]]*E$27</f>
        <v>4892097</v>
      </c>
      <c r="K263" s="12">
        <f>Table6567686973[[#This Row],[Excess Presenteeism (Costs):
Males]]+Table6567686973[[#This Row],[Excess Presenteeism (Costs):
Females]]</f>
        <v>73884459.46800001</v>
      </c>
      <c r="L263" s="130">
        <v>-1.2E-2</v>
      </c>
      <c r="M263" s="136">
        <f>M262*(1+Table6567686973[[#This Row],[Relative Change in Smoking Prevalence:
Cigarette Package Warnings]])</f>
        <v>0.55640208000000002</v>
      </c>
      <c r="N263" s="136">
        <f>N262*(1+Table6567686973[[#This Row],[Relative Change in Smoking Prevalence:
Cigarette Package Warnings]])</f>
        <v>6.8330080000000001E-2</v>
      </c>
      <c r="O263" s="138">
        <f>Table6567686973[[#This Row],[Employed Persons:
Males]]*Table6567686973[[#This Row],[Smoking Prevalence Associated with Intervention: Males]]</f>
        <v>522405.91291200003</v>
      </c>
      <c r="P263" s="138">
        <f>Table6567686973[[#This Row],[Employed Persons:
Females]]*Table6567686973[[#This Row],[Smoking Prevalence Associated with Intervention: Females]]</f>
        <v>57465.597280000002</v>
      </c>
      <c r="Q263" s="141">
        <f t="shared" si="58"/>
        <v>67346480.668963403</v>
      </c>
      <c r="R263" s="141">
        <f t="shared" si="59"/>
        <v>4775391.1339680003</v>
      </c>
      <c r="S263" s="141">
        <f>Table6567686973[[#This Row],[Excess Presenteeism (Costs) - Intervention Scenario:
Males]]+Table6567686973[[#This Row],[Excess Presenteeism (Costs) - Intervention Scenario:
Females]]</f>
        <v>72121871.802931398</v>
      </c>
      <c r="T263" s="144">
        <f>Table6567686973[[#This Row],[Excess Presenteeism (Costs):
Males]]-Table6567686973[[#This Row],[Excess Presenteeism (Costs) - Intervention Scenario:
Males]]</f>
        <v>1645881.7990366071</v>
      </c>
      <c r="U263" s="144">
        <f>Table6567686973[[#This Row],[Excess Presenteeism (Costs):
Females]]-Table6567686973[[#This Row],[Excess Presenteeism (Costs) - Intervention Scenario:
Females]]</f>
        <v>116705.8660319997</v>
      </c>
      <c r="V263" s="144">
        <f>Table6567686973[[#This Row],[Excess Presenteeism (Costs):
Total]]-Table6567686973[[#This Row],[Excess Presenteeism (Costs) - Intervention Scenario:
Total]]</f>
        <v>1762587.6650686115</v>
      </c>
    </row>
    <row r="264" spans="2:22">
      <c r="B264" s="54">
        <v>3</v>
      </c>
      <c r="C264" s="125">
        <f t="shared" si="54"/>
        <v>938900</v>
      </c>
      <c r="D264" s="125">
        <f t="shared" si="55"/>
        <v>841000</v>
      </c>
      <c r="E264" s="121">
        <f t="shared" si="56"/>
        <v>0.56999999999999995</v>
      </c>
      <c r="F264" s="121">
        <f t="shared" si="57"/>
        <v>7.0000000000000007E-2</v>
      </c>
      <c r="G264" s="125">
        <f>Table6567686973[[#This Row],[Employed Persons:
Males]]*Table6567686973[[#This Row],[Smoking Prevalence:
Males]]</f>
        <v>535173</v>
      </c>
      <c r="H264" s="125">
        <f>Table6567686973[[#This Row],[Employed Persons:
Females]]*Table6567686973[[#This Row],[Smoking Prevalence:
Females]]</f>
        <v>58870.000000000007</v>
      </c>
      <c r="I264" s="50">
        <f>$C$10*Table6567686973[[#This Row],[Employed Smokers:
Males]]*D$27</f>
        <v>68992362.46800001</v>
      </c>
      <c r="J264" s="12">
        <f>$C$10*Table6567686973[[#This Row],[Employed Smokers:
Females]]*E$27</f>
        <v>4892097</v>
      </c>
      <c r="K264" s="12">
        <f>Table6567686973[[#This Row],[Excess Presenteeism (Costs):
Males]]+Table6567686973[[#This Row],[Excess Presenteeism (Costs):
Females]]</f>
        <v>73884459.46800001</v>
      </c>
      <c r="L264" s="130">
        <v>-1.2E-2</v>
      </c>
      <c r="M264" s="136">
        <f>M263*(1+Table6567686973[[#This Row],[Relative Change in Smoking Prevalence:
Cigarette Package Warnings]])</f>
        <v>0.54972525504000003</v>
      </c>
      <c r="N264" s="136">
        <f>N263*(1+Table6567686973[[#This Row],[Relative Change in Smoking Prevalence:
Cigarette Package Warnings]])</f>
        <v>6.7510119039999997E-2</v>
      </c>
      <c r="O264" s="138">
        <f>Table6567686973[[#This Row],[Employed Persons:
Males]]*Table6567686973[[#This Row],[Smoking Prevalence Associated with Intervention: Males]]</f>
        <v>516137.04195705603</v>
      </c>
      <c r="P264" s="138">
        <f>Table6567686973[[#This Row],[Employed Persons:
Females]]*Table6567686973[[#This Row],[Smoking Prevalence Associated with Intervention: Females]]</f>
        <v>56776.010112639997</v>
      </c>
      <c r="Q264" s="141">
        <f t="shared" si="58"/>
        <v>66538322.900935836</v>
      </c>
      <c r="R264" s="141">
        <f t="shared" si="59"/>
        <v>4718086.4403603831</v>
      </c>
      <c r="S264" s="141">
        <f>Table6567686973[[#This Row],[Excess Presenteeism (Costs) - Intervention Scenario:
Males]]+Table6567686973[[#This Row],[Excess Presenteeism (Costs) - Intervention Scenario:
Females]]</f>
        <v>71256409.341296226</v>
      </c>
      <c r="T264" s="144">
        <f>Table6567686973[[#This Row],[Excess Presenteeism (Costs):
Males]]-Table6567686973[[#This Row],[Excess Presenteeism (Costs) - Intervention Scenario:
Males]]</f>
        <v>2454039.5670641735</v>
      </c>
      <c r="U264" s="144">
        <f>Table6567686973[[#This Row],[Excess Presenteeism (Costs):
Females]]-Table6567686973[[#This Row],[Excess Presenteeism (Costs) - Intervention Scenario:
Females]]</f>
        <v>174010.55963961687</v>
      </c>
      <c r="V264" s="144">
        <f>Table6567686973[[#This Row],[Excess Presenteeism (Costs):
Total]]-Table6567686973[[#This Row],[Excess Presenteeism (Costs) - Intervention Scenario:
Total]]</f>
        <v>2628050.1267037839</v>
      </c>
    </row>
    <row r="265" spans="2:22">
      <c r="B265" s="55">
        <v>4</v>
      </c>
      <c r="C265" s="126">
        <f t="shared" si="54"/>
        <v>938900</v>
      </c>
      <c r="D265" s="126">
        <f t="shared" si="55"/>
        <v>841000</v>
      </c>
      <c r="E265" s="122">
        <f t="shared" si="56"/>
        <v>0.56999999999999995</v>
      </c>
      <c r="F265" s="122">
        <f t="shared" si="57"/>
        <v>7.0000000000000007E-2</v>
      </c>
      <c r="G265" s="126">
        <f>Table6567686973[[#This Row],[Employed Persons:
Males]]*Table6567686973[[#This Row],[Smoking Prevalence:
Males]]</f>
        <v>535173</v>
      </c>
      <c r="H265" s="126">
        <f>Table6567686973[[#This Row],[Employed Persons:
Females]]*Table6567686973[[#This Row],[Smoking Prevalence:
Females]]</f>
        <v>58870.000000000007</v>
      </c>
      <c r="I265" s="51">
        <f>$C$10*Table6567686973[[#This Row],[Employed Smokers:
Males]]*D$27</f>
        <v>68992362.46800001</v>
      </c>
      <c r="J265" s="12">
        <f>$C$10*Table6567686973[[#This Row],[Employed Smokers:
Females]]*E$27</f>
        <v>4892097</v>
      </c>
      <c r="K265" s="12">
        <f>Table6567686973[[#This Row],[Excess Presenteeism (Costs):
Males]]+Table6567686973[[#This Row],[Excess Presenteeism (Costs):
Females]]</f>
        <v>73884459.46800001</v>
      </c>
      <c r="L265" s="130">
        <v>-1.2E-2</v>
      </c>
      <c r="M265" s="136">
        <f>M264*(1+Table6567686973[[#This Row],[Relative Change in Smoking Prevalence:
Cigarette Package Warnings]])</f>
        <v>0.54312855197952004</v>
      </c>
      <c r="N265" s="136">
        <f>N264*(1+Table6567686973[[#This Row],[Relative Change in Smoking Prevalence:
Cigarette Package Warnings]])</f>
        <v>6.6699997611519998E-2</v>
      </c>
      <c r="O265" s="138">
        <f>Table6567686973[[#This Row],[Employed Persons:
Males]]*Table6567686973[[#This Row],[Smoking Prevalence Associated with Intervention: Males]]</f>
        <v>509943.39745357138</v>
      </c>
      <c r="P265" s="138">
        <f>Table6567686973[[#This Row],[Employed Persons:
Females]]*Table6567686973[[#This Row],[Smoking Prevalence Associated with Intervention: Females]]</f>
        <v>56094.697991288318</v>
      </c>
      <c r="Q265" s="141">
        <f t="shared" si="58"/>
        <v>65739863.026124611</v>
      </c>
      <c r="R265" s="141">
        <f t="shared" si="59"/>
        <v>4661469.4030760592</v>
      </c>
      <c r="S265" s="141">
        <f>Table6567686973[[#This Row],[Excess Presenteeism (Costs) - Intervention Scenario:
Males]]+Table6567686973[[#This Row],[Excess Presenteeism (Costs) - Intervention Scenario:
Females]]</f>
        <v>70401332.429200664</v>
      </c>
      <c r="T265" s="144">
        <f>Table6567686973[[#This Row],[Excess Presenteeism (Costs):
Males]]-Table6567686973[[#This Row],[Excess Presenteeism (Costs) - Intervention Scenario:
Males]]</f>
        <v>3252499.4418753982</v>
      </c>
      <c r="U265" s="144">
        <f>Table6567686973[[#This Row],[Excess Presenteeism (Costs):
Females]]-Table6567686973[[#This Row],[Excess Presenteeism (Costs) - Intervention Scenario:
Females]]</f>
        <v>230627.59692394082</v>
      </c>
      <c r="V265" s="144">
        <f>Table6567686973[[#This Row],[Excess Presenteeism (Costs):
Total]]-Table6567686973[[#This Row],[Excess Presenteeism (Costs) - Intervention Scenario:
Total]]</f>
        <v>3483127.0387993455</v>
      </c>
    </row>
    <row r="266" spans="2:22" customFormat="1">
      <c r="B266" s="54">
        <v>5</v>
      </c>
      <c r="C266" s="125">
        <f t="shared" si="54"/>
        <v>938900</v>
      </c>
      <c r="D266" s="125">
        <f t="shared" si="55"/>
        <v>841000</v>
      </c>
      <c r="E266" s="121">
        <f t="shared" si="56"/>
        <v>0.56999999999999995</v>
      </c>
      <c r="F266" s="121">
        <f t="shared" si="57"/>
        <v>7.0000000000000007E-2</v>
      </c>
      <c r="G266" s="125">
        <f>Table6567686973[[#This Row],[Employed Persons:
Males]]*Table6567686973[[#This Row],[Smoking Prevalence:
Males]]</f>
        <v>535173</v>
      </c>
      <c r="H266" s="125">
        <f>Table6567686973[[#This Row],[Employed Persons:
Females]]*Table6567686973[[#This Row],[Smoking Prevalence:
Females]]</f>
        <v>58870.000000000007</v>
      </c>
      <c r="I266" s="50">
        <f>$C$10*Table6567686973[[#This Row],[Employed Smokers:
Males]]*D$27</f>
        <v>68992362.46800001</v>
      </c>
      <c r="J266" s="15">
        <f>$C$10*Table6567686973[[#This Row],[Employed Smokers:
Females]]*E$27</f>
        <v>4892097</v>
      </c>
      <c r="K266" s="15">
        <f>Table6567686973[[#This Row],[Excess Presenteeism (Costs):
Males]]+Table6567686973[[#This Row],[Excess Presenteeism (Costs):
Females]]</f>
        <v>73884459.46800001</v>
      </c>
      <c r="L266" s="131">
        <v>-1.2E-2</v>
      </c>
      <c r="M266" s="136">
        <f>M265*(1+Table6567686973[[#This Row],[Relative Change in Smoking Prevalence:
Cigarette Package Warnings]])</f>
        <v>0.53661100935576578</v>
      </c>
      <c r="N266" s="136">
        <f>N265*(1+Table6567686973[[#This Row],[Relative Change in Smoking Prevalence:
Cigarette Package Warnings]])</f>
        <v>6.5899597640181759E-2</v>
      </c>
      <c r="O266" s="139">
        <f>Table6567686973[[#This Row],[Employed Persons:
Males]]*Table6567686973[[#This Row],[Smoking Prevalence Associated with Intervention: Males]]</f>
        <v>503824.07668412849</v>
      </c>
      <c r="P266" s="139">
        <f>Table6567686973[[#This Row],[Employed Persons:
Females]]*Table6567686973[[#This Row],[Smoking Prevalence Associated with Intervention: Females]]</f>
        <v>55421.561615392857</v>
      </c>
      <c r="Q266" s="142">
        <f t="shared" si="58"/>
        <v>64950984.669811115</v>
      </c>
      <c r="R266" s="142">
        <f t="shared" si="59"/>
        <v>4605531.7702391474</v>
      </c>
      <c r="S266" s="142">
        <f>Table6567686973[[#This Row],[Excess Presenteeism (Costs) - Intervention Scenario:
Males]]+Table6567686973[[#This Row],[Excess Presenteeism (Costs) - Intervention Scenario:
Females]]</f>
        <v>69556516.440050259</v>
      </c>
      <c r="T266" s="145">
        <f>Table6567686973[[#This Row],[Excess Presenteeism (Costs):
Males]]-Table6567686973[[#This Row],[Excess Presenteeism (Costs) - Intervention Scenario:
Males]]</f>
        <v>4041377.798188895</v>
      </c>
      <c r="U266" s="145">
        <f>Table6567686973[[#This Row],[Excess Presenteeism (Costs):
Females]]-Table6567686973[[#This Row],[Excess Presenteeism (Costs) - Intervention Scenario:
Females]]</f>
        <v>286565.22976085264</v>
      </c>
      <c r="V266" s="145">
        <f>Table6567686973[[#This Row],[Excess Presenteeism (Costs):
Total]]-Table6567686973[[#This Row],[Excess Presenteeism (Costs) - Intervention Scenario:
Total]]</f>
        <v>4327943.0279497504</v>
      </c>
    </row>
    <row r="267" spans="2:22" customFormat="1">
      <c r="B267" s="55">
        <v>6</v>
      </c>
      <c r="C267" s="126">
        <f t="shared" si="54"/>
        <v>938900</v>
      </c>
      <c r="D267" s="126">
        <f t="shared" si="55"/>
        <v>841000</v>
      </c>
      <c r="E267" s="122">
        <f t="shared" si="56"/>
        <v>0.56999999999999995</v>
      </c>
      <c r="F267" s="122">
        <f t="shared" si="57"/>
        <v>7.0000000000000007E-2</v>
      </c>
      <c r="G267" s="126">
        <f>Table6567686973[[#This Row],[Employed Persons:
Males]]*Table6567686973[[#This Row],[Smoking Prevalence:
Males]]</f>
        <v>535173</v>
      </c>
      <c r="H267" s="126">
        <f>Table6567686973[[#This Row],[Employed Persons:
Females]]*Table6567686973[[#This Row],[Smoking Prevalence:
Females]]</f>
        <v>58870.000000000007</v>
      </c>
      <c r="I267" s="51">
        <f>$C$10*Table6567686973[[#This Row],[Employed Smokers:
Males]]*D$27</f>
        <v>68992362.46800001</v>
      </c>
      <c r="J267" s="15">
        <f>$C$10*Table6567686973[[#This Row],[Employed Smokers:
Females]]*E$27</f>
        <v>4892097</v>
      </c>
      <c r="K267" s="15">
        <f>Table6567686973[[#This Row],[Excess Presenteeism (Costs):
Males]]+Table6567686973[[#This Row],[Excess Presenteeism (Costs):
Females]]</f>
        <v>73884459.46800001</v>
      </c>
      <c r="L267" s="132">
        <v>-3.0000000000000001E-3</v>
      </c>
      <c r="M267" s="136">
        <f>M266*(1+Table6567686973[[#This Row],[Relative Change in Smoking Prevalence:
Cigarette Package Warnings]])</f>
        <v>0.5350011763276985</v>
      </c>
      <c r="N267" s="136">
        <f>N266*(1+Table6567686973[[#This Row],[Relative Change in Smoking Prevalence:
Cigarette Package Warnings]])</f>
        <v>6.5701898847261214E-2</v>
      </c>
      <c r="O267" s="139">
        <f>Table6567686973[[#This Row],[Employed Persons:
Males]]*Table6567686973[[#This Row],[Smoking Prevalence Associated with Intervention: Males]]</f>
        <v>502312.60445407615</v>
      </c>
      <c r="P267" s="139">
        <f>Table6567686973[[#This Row],[Employed Persons:
Females]]*Table6567686973[[#This Row],[Smoking Prevalence Associated with Intervention: Females]]</f>
        <v>55255.296930546683</v>
      </c>
      <c r="Q267" s="142">
        <f t="shared" si="58"/>
        <v>64756131.715801686</v>
      </c>
      <c r="R267" s="142">
        <f t="shared" si="59"/>
        <v>4591715.1749284295</v>
      </c>
      <c r="S267" s="142">
        <f>Table6567686973[[#This Row],[Excess Presenteeism (Costs) - Intervention Scenario:
Males]]+Table6567686973[[#This Row],[Excess Presenteeism (Costs) - Intervention Scenario:
Females]]</f>
        <v>69347846.890730113</v>
      </c>
      <c r="T267" s="145">
        <f>Table6567686973[[#This Row],[Excess Presenteeism (Costs):
Males]]-Table6567686973[[#This Row],[Excess Presenteeism (Costs) - Intervention Scenario:
Males]]</f>
        <v>4236230.7521983236</v>
      </c>
      <c r="U267" s="145">
        <f>Table6567686973[[#This Row],[Excess Presenteeism (Costs):
Females]]-Table6567686973[[#This Row],[Excess Presenteeism (Costs) - Intervention Scenario:
Females]]</f>
        <v>300381.82507157046</v>
      </c>
      <c r="V267" s="145">
        <f>Table6567686973[[#This Row],[Excess Presenteeism (Costs):
Total]]-Table6567686973[[#This Row],[Excess Presenteeism (Costs) - Intervention Scenario:
Total]]</f>
        <v>4536612.5772698969</v>
      </c>
    </row>
    <row r="268" spans="2:22" customFormat="1">
      <c r="B268" s="54">
        <v>7</v>
      </c>
      <c r="C268" s="125">
        <f t="shared" si="54"/>
        <v>938900</v>
      </c>
      <c r="D268" s="125">
        <f t="shared" si="55"/>
        <v>841000</v>
      </c>
      <c r="E268" s="121">
        <f t="shared" si="56"/>
        <v>0.56999999999999995</v>
      </c>
      <c r="F268" s="121">
        <f t="shared" si="57"/>
        <v>7.0000000000000007E-2</v>
      </c>
      <c r="G268" s="125">
        <f>Table6567686973[[#This Row],[Employed Persons:
Males]]*Table6567686973[[#This Row],[Smoking Prevalence:
Males]]</f>
        <v>535173</v>
      </c>
      <c r="H268" s="125">
        <f>Table6567686973[[#This Row],[Employed Persons:
Females]]*Table6567686973[[#This Row],[Smoking Prevalence:
Females]]</f>
        <v>58870.000000000007</v>
      </c>
      <c r="I268" s="50">
        <f>$C$10*Table6567686973[[#This Row],[Employed Smokers:
Males]]*D$27</f>
        <v>68992362.46800001</v>
      </c>
      <c r="J268" s="15">
        <f>$C$10*Table6567686973[[#This Row],[Employed Smokers:
Females]]*E$27</f>
        <v>4892097</v>
      </c>
      <c r="K268" s="15">
        <f>Table6567686973[[#This Row],[Excess Presenteeism (Costs):
Males]]+Table6567686973[[#This Row],[Excess Presenteeism (Costs):
Females]]</f>
        <v>73884459.46800001</v>
      </c>
      <c r="L268" s="132">
        <v>-3.0000000000000001E-3</v>
      </c>
      <c r="M268" s="136">
        <f>M267*(1+Table6567686973[[#This Row],[Relative Change in Smoking Prevalence:
Cigarette Package Warnings]])</f>
        <v>0.53339617279871543</v>
      </c>
      <c r="N268" s="136">
        <f>N267*(1+Table6567686973[[#This Row],[Relative Change in Smoking Prevalence:
Cigarette Package Warnings]])</f>
        <v>6.5504793150719429E-2</v>
      </c>
      <c r="O268" s="139">
        <f>Table6567686973[[#This Row],[Employed Persons:
Males]]*Table6567686973[[#This Row],[Smoking Prevalence Associated with Intervention: Males]]</f>
        <v>500805.66664071393</v>
      </c>
      <c r="P268" s="139">
        <f>Table6567686973[[#This Row],[Employed Persons:
Females]]*Table6567686973[[#This Row],[Smoking Prevalence Associated with Intervention: Females]]</f>
        <v>55089.531039755042</v>
      </c>
      <c r="Q268" s="142">
        <f t="shared" si="58"/>
        <v>64561863.32065428</v>
      </c>
      <c r="R268" s="142">
        <f t="shared" si="59"/>
        <v>4577940.0294036446</v>
      </c>
      <c r="S268" s="142">
        <f>Table6567686973[[#This Row],[Excess Presenteeism (Costs) - Intervention Scenario:
Males]]+Table6567686973[[#This Row],[Excess Presenteeism (Costs) - Intervention Scenario:
Females]]</f>
        <v>69139803.35005793</v>
      </c>
      <c r="T268" s="145">
        <f>Table6567686973[[#This Row],[Excess Presenteeism (Costs):
Males]]-Table6567686973[[#This Row],[Excess Presenteeism (Costs) - Intervention Scenario:
Males]]</f>
        <v>4430499.1473457292</v>
      </c>
      <c r="U268" s="145">
        <f>Table6567686973[[#This Row],[Excess Presenteeism (Costs):
Females]]-Table6567686973[[#This Row],[Excess Presenteeism (Costs) - Intervention Scenario:
Females]]</f>
        <v>314156.97059635539</v>
      </c>
      <c r="V268" s="145">
        <f>Table6567686973[[#This Row],[Excess Presenteeism (Costs):
Total]]-Table6567686973[[#This Row],[Excess Presenteeism (Costs) - Intervention Scenario:
Total]]</f>
        <v>4744656.1179420799</v>
      </c>
    </row>
    <row r="269" spans="2:22" customFormat="1">
      <c r="B269" s="55">
        <v>8</v>
      </c>
      <c r="C269" s="126">
        <f t="shared" si="54"/>
        <v>938900</v>
      </c>
      <c r="D269" s="126">
        <f t="shared" si="55"/>
        <v>841000</v>
      </c>
      <c r="E269" s="122">
        <f t="shared" si="56"/>
        <v>0.56999999999999995</v>
      </c>
      <c r="F269" s="122">
        <f t="shared" si="57"/>
        <v>7.0000000000000007E-2</v>
      </c>
      <c r="G269" s="126">
        <f>Table6567686973[[#This Row],[Employed Persons:
Males]]*Table6567686973[[#This Row],[Smoking Prevalence:
Males]]</f>
        <v>535173</v>
      </c>
      <c r="H269" s="126">
        <f>Table6567686973[[#This Row],[Employed Persons:
Females]]*Table6567686973[[#This Row],[Smoking Prevalence:
Females]]</f>
        <v>58870.000000000007</v>
      </c>
      <c r="I269" s="51">
        <f>$C$10*Table6567686973[[#This Row],[Employed Smokers:
Males]]*D$27</f>
        <v>68992362.46800001</v>
      </c>
      <c r="J269" s="15">
        <f>$C$10*Table6567686973[[#This Row],[Employed Smokers:
Females]]*E$27</f>
        <v>4892097</v>
      </c>
      <c r="K269" s="15">
        <f>Table6567686973[[#This Row],[Excess Presenteeism (Costs):
Males]]+Table6567686973[[#This Row],[Excess Presenteeism (Costs):
Females]]</f>
        <v>73884459.46800001</v>
      </c>
      <c r="L269" s="132">
        <v>-3.0000000000000001E-3</v>
      </c>
      <c r="M269" s="136">
        <f>M268*(1+Table6567686973[[#This Row],[Relative Change in Smoking Prevalence:
Cigarette Package Warnings]])</f>
        <v>0.53179598428031927</v>
      </c>
      <c r="N269" s="136">
        <f>N268*(1+Table6567686973[[#This Row],[Relative Change in Smoking Prevalence:
Cigarette Package Warnings]])</f>
        <v>6.530827877126727E-2</v>
      </c>
      <c r="O269" s="139">
        <f>Table6567686973[[#This Row],[Employed Persons:
Males]]*Table6567686973[[#This Row],[Smoking Prevalence Associated with Intervention: Males]]</f>
        <v>499303.24964079174</v>
      </c>
      <c r="P269" s="139">
        <f>Table6567686973[[#This Row],[Employed Persons:
Females]]*Table6567686973[[#This Row],[Smoking Prevalence Associated with Intervention: Females]]</f>
        <v>54924.262446635774</v>
      </c>
      <c r="Q269" s="142">
        <f t="shared" si="58"/>
        <v>64368177.730692305</v>
      </c>
      <c r="R269" s="142">
        <f t="shared" si="59"/>
        <v>4564206.2093154322</v>
      </c>
      <c r="S269" s="142">
        <f>Table6567686973[[#This Row],[Excess Presenteeism (Costs) - Intervention Scenario:
Males]]+Table6567686973[[#This Row],[Excess Presenteeism (Costs) - Intervention Scenario:
Females]]</f>
        <v>68932383.940007731</v>
      </c>
      <c r="T269" s="145">
        <f>Table6567686973[[#This Row],[Excess Presenteeism (Costs):
Males]]-Table6567686973[[#This Row],[Excess Presenteeism (Costs) - Intervention Scenario:
Males]]</f>
        <v>4624184.737307705</v>
      </c>
      <c r="U269" s="145">
        <f>Table6567686973[[#This Row],[Excess Presenteeism (Costs):
Females]]-Table6567686973[[#This Row],[Excess Presenteeism (Costs) - Intervention Scenario:
Females]]</f>
        <v>327890.79068456776</v>
      </c>
      <c r="V269" s="145">
        <f>Table6567686973[[#This Row],[Excess Presenteeism (Costs):
Total]]-Table6567686973[[#This Row],[Excess Presenteeism (Costs) - Intervention Scenario:
Total]]</f>
        <v>4952075.5279922783</v>
      </c>
    </row>
    <row r="270" spans="2:22" customFormat="1">
      <c r="B270" s="54">
        <v>9</v>
      </c>
      <c r="C270" s="125">
        <f t="shared" si="54"/>
        <v>938900</v>
      </c>
      <c r="D270" s="125">
        <f t="shared" si="55"/>
        <v>841000</v>
      </c>
      <c r="E270" s="121">
        <f t="shared" si="56"/>
        <v>0.56999999999999995</v>
      </c>
      <c r="F270" s="121">
        <f t="shared" si="57"/>
        <v>7.0000000000000007E-2</v>
      </c>
      <c r="G270" s="125">
        <f>Table6567686973[[#This Row],[Employed Persons:
Males]]*Table6567686973[[#This Row],[Smoking Prevalence:
Males]]</f>
        <v>535173</v>
      </c>
      <c r="H270" s="125">
        <f>Table6567686973[[#This Row],[Employed Persons:
Females]]*Table6567686973[[#This Row],[Smoking Prevalence:
Females]]</f>
        <v>58870.000000000007</v>
      </c>
      <c r="I270" s="50">
        <f>$C$10*Table6567686973[[#This Row],[Employed Smokers:
Males]]*D$27</f>
        <v>68992362.46800001</v>
      </c>
      <c r="J270" s="15">
        <f>$C$10*Table6567686973[[#This Row],[Employed Smokers:
Females]]*E$27</f>
        <v>4892097</v>
      </c>
      <c r="K270" s="15">
        <f>Table6567686973[[#This Row],[Excess Presenteeism (Costs):
Males]]+Table6567686973[[#This Row],[Excess Presenteeism (Costs):
Females]]</f>
        <v>73884459.46800001</v>
      </c>
      <c r="L270" s="132">
        <v>-3.0000000000000001E-3</v>
      </c>
      <c r="M270" s="136">
        <f>M269*(1+Table6567686973[[#This Row],[Relative Change in Smoking Prevalence:
Cigarette Package Warnings]])</f>
        <v>0.53020059632747829</v>
      </c>
      <c r="N270" s="136">
        <f>N269*(1+Table6567686973[[#This Row],[Relative Change in Smoking Prevalence:
Cigarette Package Warnings]])</f>
        <v>6.5112353934953474E-2</v>
      </c>
      <c r="O270" s="139">
        <f>Table6567686973[[#This Row],[Employed Persons:
Males]]*Table6567686973[[#This Row],[Smoking Prevalence Associated with Intervention: Males]]</f>
        <v>497805.33989186934</v>
      </c>
      <c r="P270" s="139">
        <f>Table6567686973[[#This Row],[Employed Persons:
Females]]*Table6567686973[[#This Row],[Smoking Prevalence Associated with Intervention: Females]]</f>
        <v>54759.489659295868</v>
      </c>
      <c r="Q270" s="142">
        <f t="shared" si="58"/>
        <v>64175073.197500229</v>
      </c>
      <c r="R270" s="142">
        <f t="shared" si="59"/>
        <v>4550513.5906874863</v>
      </c>
      <c r="S270" s="142">
        <f>Table6567686973[[#This Row],[Excess Presenteeism (Costs) - Intervention Scenario:
Males]]+Table6567686973[[#This Row],[Excess Presenteeism (Costs) - Intervention Scenario:
Females]]</f>
        <v>68725586.788187712</v>
      </c>
      <c r="T270" s="145">
        <f>Table6567686973[[#This Row],[Excess Presenteeism (Costs):
Males]]-Table6567686973[[#This Row],[Excess Presenteeism (Costs) - Intervention Scenario:
Males]]</f>
        <v>4817289.2704997808</v>
      </c>
      <c r="U270" s="145">
        <f>Table6567686973[[#This Row],[Excess Presenteeism (Costs):
Females]]-Table6567686973[[#This Row],[Excess Presenteeism (Costs) - Intervention Scenario:
Females]]</f>
        <v>341583.40931251366</v>
      </c>
      <c r="V270" s="145">
        <f>Table6567686973[[#This Row],[Excess Presenteeism (Costs):
Total]]-Table6567686973[[#This Row],[Excess Presenteeism (Costs) - Intervention Scenario:
Total]]</f>
        <v>5158872.6798122972</v>
      </c>
    </row>
    <row r="271" spans="2:22" customFormat="1">
      <c r="B271" s="55">
        <v>10</v>
      </c>
      <c r="C271" s="126">
        <f t="shared" si="54"/>
        <v>938900</v>
      </c>
      <c r="D271" s="126">
        <f t="shared" si="55"/>
        <v>841000</v>
      </c>
      <c r="E271" s="122">
        <f t="shared" si="56"/>
        <v>0.56999999999999995</v>
      </c>
      <c r="F271" s="122">
        <f t="shared" si="57"/>
        <v>7.0000000000000007E-2</v>
      </c>
      <c r="G271" s="126">
        <f>Table6567686973[[#This Row],[Employed Persons:
Males]]*Table6567686973[[#This Row],[Smoking Prevalence:
Males]]</f>
        <v>535173</v>
      </c>
      <c r="H271" s="126">
        <f>Table6567686973[[#This Row],[Employed Persons:
Females]]*Table6567686973[[#This Row],[Smoking Prevalence:
Females]]</f>
        <v>58870.000000000007</v>
      </c>
      <c r="I271" s="51">
        <f>$C$10*Table6567686973[[#This Row],[Employed Smokers:
Males]]*D$27</f>
        <v>68992362.46800001</v>
      </c>
      <c r="J271" s="15">
        <f>$C$10*Table6567686973[[#This Row],[Employed Smokers:
Females]]*E$27</f>
        <v>4892097</v>
      </c>
      <c r="K271" s="15">
        <f>Table6567686973[[#This Row],[Excess Presenteeism (Costs):
Males]]+Table6567686973[[#This Row],[Excess Presenteeism (Costs):
Females]]</f>
        <v>73884459.46800001</v>
      </c>
      <c r="L271" s="132">
        <v>-3.0000000000000001E-3</v>
      </c>
      <c r="M271" s="136">
        <f>M270*(1+Table6567686973[[#This Row],[Relative Change in Smoking Prevalence:
Cigarette Package Warnings]])</f>
        <v>0.52860999453849589</v>
      </c>
      <c r="N271" s="136">
        <f>N270*(1+Table6567686973[[#This Row],[Relative Change in Smoking Prevalence:
Cigarette Package Warnings]])</f>
        <v>6.4917016873148617E-2</v>
      </c>
      <c r="O271" s="139">
        <f>Table6567686973[[#This Row],[Employed Persons:
Males]]*Table6567686973[[#This Row],[Smoking Prevalence Associated with Intervention: Males]]</f>
        <v>496311.92387219379</v>
      </c>
      <c r="P271" s="139">
        <f>Table6567686973[[#This Row],[Employed Persons:
Females]]*Table6567686973[[#This Row],[Smoking Prevalence Associated with Intervention: Females]]</f>
        <v>54595.21119031799</v>
      </c>
      <c r="Q271" s="142">
        <f t="shared" si="58"/>
        <v>63982547.97790774</v>
      </c>
      <c r="R271" s="142">
        <f t="shared" si="59"/>
        <v>4536862.0499154255</v>
      </c>
      <c r="S271" s="142">
        <f>Table6567686973[[#This Row],[Excess Presenteeism (Costs) - Intervention Scenario:
Males]]+Table6567686973[[#This Row],[Excess Presenteeism (Costs) - Intervention Scenario:
Females]]</f>
        <v>68519410.027823165</v>
      </c>
      <c r="T271" s="145">
        <f>Table6567686973[[#This Row],[Excess Presenteeism (Costs):
Males]]-Table6567686973[[#This Row],[Excess Presenteeism (Costs) - Intervention Scenario:
Males]]</f>
        <v>5009814.4900922701</v>
      </c>
      <c r="U271" s="145">
        <f>Table6567686973[[#This Row],[Excess Presenteeism (Costs):
Females]]-Table6567686973[[#This Row],[Excess Presenteeism (Costs) - Intervention Scenario:
Females]]</f>
        <v>355234.95008457452</v>
      </c>
      <c r="V271" s="145">
        <f>Table6567686973[[#This Row],[Excess Presenteeism (Costs):
Total]]-Table6567686973[[#This Row],[Excess Presenteeism (Costs) - Intervention Scenario:
Total]]</f>
        <v>5365049.4401768446</v>
      </c>
    </row>
    <row r="272" spans="2:22" customFormat="1">
      <c r="B272" s="54">
        <v>11</v>
      </c>
      <c r="C272" s="125">
        <f t="shared" si="54"/>
        <v>938900</v>
      </c>
      <c r="D272" s="125">
        <f t="shared" si="55"/>
        <v>841000</v>
      </c>
      <c r="E272" s="121">
        <f t="shared" si="56"/>
        <v>0.56999999999999995</v>
      </c>
      <c r="F272" s="121">
        <f t="shared" si="57"/>
        <v>7.0000000000000007E-2</v>
      </c>
      <c r="G272" s="125">
        <f>Table6567686973[[#This Row],[Employed Persons:
Males]]*Table6567686973[[#This Row],[Smoking Prevalence:
Males]]</f>
        <v>535173</v>
      </c>
      <c r="H272" s="125">
        <f>Table6567686973[[#This Row],[Employed Persons:
Females]]*Table6567686973[[#This Row],[Smoking Prevalence:
Females]]</f>
        <v>58870.000000000007</v>
      </c>
      <c r="I272" s="50">
        <f>$C$10*Table6567686973[[#This Row],[Employed Smokers:
Males]]*D$27</f>
        <v>68992362.46800001</v>
      </c>
      <c r="J272" s="15">
        <f>$C$10*Table6567686973[[#This Row],[Employed Smokers:
Females]]*E$27</f>
        <v>4892097</v>
      </c>
      <c r="K272" s="15">
        <f>Table6567686973[[#This Row],[Excess Presenteeism (Costs):
Males]]+Table6567686973[[#This Row],[Excess Presenteeism (Costs):
Females]]</f>
        <v>73884459.46800001</v>
      </c>
      <c r="L272" s="132">
        <v>-3.0000000000000001E-3</v>
      </c>
      <c r="M272" s="136">
        <f>M271*(1+Table6567686973[[#This Row],[Relative Change in Smoking Prevalence:
Cigarette Package Warnings]])</f>
        <v>0.52702416455488044</v>
      </c>
      <c r="N272" s="136">
        <f>N271*(1+Table6567686973[[#This Row],[Relative Change in Smoking Prevalence:
Cigarette Package Warnings]])</f>
        <v>6.4722265822529171E-2</v>
      </c>
      <c r="O272" s="139">
        <f>Table6567686973[[#This Row],[Employed Persons:
Males]]*Table6567686973[[#This Row],[Smoking Prevalence Associated with Intervention: Males]]</f>
        <v>494822.98810057726</v>
      </c>
      <c r="P272" s="139">
        <f>Table6567686973[[#This Row],[Employed Persons:
Females]]*Table6567686973[[#This Row],[Smoking Prevalence Associated with Intervention: Females]]</f>
        <v>54431.425556747032</v>
      </c>
      <c r="Q272" s="142">
        <f t="shared" si="58"/>
        <v>63790600.333974019</v>
      </c>
      <c r="R272" s="142">
        <f t="shared" si="59"/>
        <v>4523251.4637656789</v>
      </c>
      <c r="S272" s="142">
        <f>Table6567686973[[#This Row],[Excess Presenteeism (Costs) - Intervention Scenario:
Males]]+Table6567686973[[#This Row],[Excess Presenteeism (Costs) - Intervention Scenario:
Females]]</f>
        <v>68313851.797739699</v>
      </c>
      <c r="T272" s="145">
        <f>Table6567686973[[#This Row],[Excess Presenteeism (Costs):
Males]]-Table6567686973[[#This Row],[Excess Presenteeism (Costs) - Intervention Scenario:
Males]]</f>
        <v>5201762.134025991</v>
      </c>
      <c r="U272" s="145">
        <f>Table6567686973[[#This Row],[Excess Presenteeism (Costs):
Females]]-Table6567686973[[#This Row],[Excess Presenteeism (Costs) - Intervention Scenario:
Females]]</f>
        <v>368845.53623432107</v>
      </c>
      <c r="V272" s="145">
        <f>Table6567686973[[#This Row],[Excess Presenteeism (Costs):
Total]]-Table6567686973[[#This Row],[Excess Presenteeism (Costs) - Intervention Scenario:
Total]]</f>
        <v>5570607.6702603102</v>
      </c>
    </row>
    <row r="273" spans="2:22" customFormat="1">
      <c r="B273" s="55">
        <v>12</v>
      </c>
      <c r="C273" s="126">
        <f t="shared" si="54"/>
        <v>938900</v>
      </c>
      <c r="D273" s="126">
        <f t="shared" si="55"/>
        <v>841000</v>
      </c>
      <c r="E273" s="122">
        <f t="shared" si="56"/>
        <v>0.56999999999999995</v>
      </c>
      <c r="F273" s="122">
        <f t="shared" si="57"/>
        <v>7.0000000000000007E-2</v>
      </c>
      <c r="G273" s="126">
        <f>Table6567686973[[#This Row],[Employed Persons:
Males]]*Table6567686973[[#This Row],[Smoking Prevalence:
Males]]</f>
        <v>535173</v>
      </c>
      <c r="H273" s="126">
        <f>Table6567686973[[#This Row],[Employed Persons:
Females]]*Table6567686973[[#This Row],[Smoking Prevalence:
Females]]</f>
        <v>58870.000000000007</v>
      </c>
      <c r="I273" s="51">
        <f>$C$10*Table6567686973[[#This Row],[Employed Smokers:
Males]]*D$27</f>
        <v>68992362.46800001</v>
      </c>
      <c r="J273" s="15">
        <f>$C$10*Table6567686973[[#This Row],[Employed Smokers:
Females]]*E$27</f>
        <v>4892097</v>
      </c>
      <c r="K273" s="15">
        <f>Table6567686973[[#This Row],[Excess Presenteeism (Costs):
Males]]+Table6567686973[[#This Row],[Excess Presenteeism (Costs):
Females]]</f>
        <v>73884459.46800001</v>
      </c>
      <c r="L273" s="132">
        <v>-3.0000000000000001E-3</v>
      </c>
      <c r="M273" s="136">
        <f>M272*(1+Table6567686973[[#This Row],[Relative Change in Smoking Prevalence:
Cigarette Package Warnings]])</f>
        <v>0.52544309206121576</v>
      </c>
      <c r="N273" s="136">
        <f>N272*(1+Table6567686973[[#This Row],[Relative Change in Smoking Prevalence:
Cigarette Package Warnings]])</f>
        <v>6.4528099025061583E-2</v>
      </c>
      <c r="O273" s="139">
        <f>Table6567686973[[#This Row],[Employed Persons:
Males]]*Table6567686973[[#This Row],[Smoking Prevalence Associated with Intervention: Males]]</f>
        <v>493338.51913627546</v>
      </c>
      <c r="P273" s="139">
        <f>Table6567686973[[#This Row],[Employed Persons:
Females]]*Table6567686973[[#This Row],[Smoking Prevalence Associated with Intervention: Females]]</f>
        <v>54268.131280076792</v>
      </c>
      <c r="Q273" s="142">
        <f t="shared" si="58"/>
        <v>63599228.532972097</v>
      </c>
      <c r="R273" s="142">
        <f t="shared" si="59"/>
        <v>4509681.7093743822</v>
      </c>
      <c r="S273" s="142">
        <f>Table6567686973[[#This Row],[Excess Presenteeism (Costs) - Intervention Scenario:
Males]]+Table6567686973[[#This Row],[Excess Presenteeism (Costs) - Intervention Scenario:
Females]]</f>
        <v>68108910.24234648</v>
      </c>
      <c r="T273" s="145">
        <f>Table6567686973[[#This Row],[Excess Presenteeism (Costs):
Males]]-Table6567686973[[#This Row],[Excess Presenteeism (Costs) - Intervention Scenario:
Males]]</f>
        <v>5393133.9350279123</v>
      </c>
      <c r="U273" s="145">
        <f>Table6567686973[[#This Row],[Excess Presenteeism (Costs):
Females]]-Table6567686973[[#This Row],[Excess Presenteeism (Costs) - Intervention Scenario:
Females]]</f>
        <v>382415.29062561784</v>
      </c>
      <c r="V273" s="145">
        <f>Table6567686973[[#This Row],[Excess Presenteeism (Costs):
Total]]-Table6567686973[[#This Row],[Excess Presenteeism (Costs) - Intervention Scenario:
Total]]</f>
        <v>5775549.2256535292</v>
      </c>
    </row>
    <row r="274" spans="2:22" customFormat="1">
      <c r="B274" s="54">
        <v>13</v>
      </c>
      <c r="C274" s="125">
        <f t="shared" si="54"/>
        <v>938900</v>
      </c>
      <c r="D274" s="125">
        <f t="shared" si="55"/>
        <v>841000</v>
      </c>
      <c r="E274" s="121">
        <f t="shared" si="56"/>
        <v>0.56999999999999995</v>
      </c>
      <c r="F274" s="121">
        <f t="shared" si="57"/>
        <v>7.0000000000000007E-2</v>
      </c>
      <c r="G274" s="125">
        <f>Table6567686973[[#This Row],[Employed Persons:
Males]]*Table6567686973[[#This Row],[Smoking Prevalence:
Males]]</f>
        <v>535173</v>
      </c>
      <c r="H274" s="125">
        <f>Table6567686973[[#This Row],[Employed Persons:
Females]]*Table6567686973[[#This Row],[Smoking Prevalence:
Females]]</f>
        <v>58870.000000000007</v>
      </c>
      <c r="I274" s="50">
        <f>$C$10*Table6567686973[[#This Row],[Employed Smokers:
Males]]*D$27</f>
        <v>68992362.46800001</v>
      </c>
      <c r="J274" s="15">
        <f>$C$10*Table6567686973[[#This Row],[Employed Smokers:
Females]]*E$27</f>
        <v>4892097</v>
      </c>
      <c r="K274" s="15">
        <f>Table6567686973[[#This Row],[Excess Presenteeism (Costs):
Males]]+Table6567686973[[#This Row],[Excess Presenteeism (Costs):
Females]]</f>
        <v>73884459.46800001</v>
      </c>
      <c r="L274" s="132">
        <v>-3.0000000000000001E-3</v>
      </c>
      <c r="M274" s="136">
        <f>M273*(1+Table6567686973[[#This Row],[Relative Change in Smoking Prevalence:
Cigarette Package Warnings]])</f>
        <v>0.52386676278503208</v>
      </c>
      <c r="N274" s="136">
        <f>N273*(1+Table6567686973[[#This Row],[Relative Change in Smoking Prevalence:
Cigarette Package Warnings]])</f>
        <v>6.4334514727986403E-2</v>
      </c>
      <c r="O274" s="139">
        <f>Table6567686973[[#This Row],[Employed Persons:
Males]]*Table6567686973[[#This Row],[Smoking Prevalence Associated with Intervention: Males]]</f>
        <v>491858.5035788666</v>
      </c>
      <c r="P274" s="139">
        <f>Table6567686973[[#This Row],[Employed Persons:
Females]]*Table6567686973[[#This Row],[Smoking Prevalence Associated with Intervention: Females]]</f>
        <v>54105.326886236566</v>
      </c>
      <c r="Q274" s="142">
        <f t="shared" si="58"/>
        <v>63408430.847373165</v>
      </c>
      <c r="R274" s="142">
        <f t="shared" si="59"/>
        <v>4496152.6642462593</v>
      </c>
      <c r="S274" s="142">
        <f>Table6567686973[[#This Row],[Excess Presenteeism (Costs) - Intervention Scenario:
Males]]+Table6567686973[[#This Row],[Excess Presenteeism (Costs) - Intervention Scenario:
Females]]</f>
        <v>67904583.511619419</v>
      </c>
      <c r="T274" s="145">
        <f>Table6567686973[[#This Row],[Excess Presenteeism (Costs):
Males]]-Table6567686973[[#This Row],[Excess Presenteeism (Costs) - Intervention Scenario:
Males]]</f>
        <v>5583931.6206268445</v>
      </c>
      <c r="U274" s="145">
        <f>Table6567686973[[#This Row],[Excess Presenteeism (Costs):
Females]]-Table6567686973[[#This Row],[Excess Presenteeism (Costs) - Intervention Scenario:
Females]]</f>
        <v>395944.33575374074</v>
      </c>
      <c r="V274" s="145">
        <f>Table6567686973[[#This Row],[Excess Presenteeism (Costs):
Total]]-Table6567686973[[#This Row],[Excess Presenteeism (Costs) - Intervention Scenario:
Total]]</f>
        <v>5979875.9563805908</v>
      </c>
    </row>
    <row r="275" spans="2:22" customFormat="1">
      <c r="B275" s="55">
        <v>14</v>
      </c>
      <c r="C275" s="126">
        <f t="shared" si="54"/>
        <v>938900</v>
      </c>
      <c r="D275" s="126">
        <f t="shared" si="55"/>
        <v>841000</v>
      </c>
      <c r="E275" s="122">
        <f t="shared" si="56"/>
        <v>0.56999999999999995</v>
      </c>
      <c r="F275" s="122">
        <f t="shared" si="57"/>
        <v>7.0000000000000007E-2</v>
      </c>
      <c r="G275" s="126">
        <f>Table6567686973[[#This Row],[Employed Persons:
Males]]*Table6567686973[[#This Row],[Smoking Prevalence:
Males]]</f>
        <v>535173</v>
      </c>
      <c r="H275" s="126">
        <f>Table6567686973[[#This Row],[Employed Persons:
Females]]*Table6567686973[[#This Row],[Smoking Prevalence:
Females]]</f>
        <v>58870.000000000007</v>
      </c>
      <c r="I275" s="51">
        <f>$C$10*Table6567686973[[#This Row],[Employed Smokers:
Males]]*D$27</f>
        <v>68992362.46800001</v>
      </c>
      <c r="J275" s="15">
        <f>$C$10*Table6567686973[[#This Row],[Employed Smokers:
Females]]*E$27</f>
        <v>4892097</v>
      </c>
      <c r="K275" s="15">
        <f>Table6567686973[[#This Row],[Excess Presenteeism (Costs):
Males]]+Table6567686973[[#This Row],[Excess Presenteeism (Costs):
Females]]</f>
        <v>73884459.46800001</v>
      </c>
      <c r="L275" s="132">
        <v>-3.0000000000000001E-3</v>
      </c>
      <c r="M275" s="136">
        <f>M274*(1+Table6567686973[[#This Row],[Relative Change in Smoking Prevalence:
Cigarette Package Warnings]])</f>
        <v>0.52229516249667696</v>
      </c>
      <c r="N275" s="136">
        <f>N274*(1+Table6567686973[[#This Row],[Relative Change in Smoking Prevalence:
Cigarette Package Warnings]])</f>
        <v>6.4141511183802444E-2</v>
      </c>
      <c r="O275" s="139">
        <f>Table6567686973[[#This Row],[Employed Persons:
Males]]*Table6567686973[[#This Row],[Smoking Prevalence Associated with Intervention: Males]]</f>
        <v>490382.92806812999</v>
      </c>
      <c r="P275" s="139">
        <f>Table6567686973[[#This Row],[Employed Persons:
Females]]*Table6567686973[[#This Row],[Smoking Prevalence Associated with Intervention: Females]]</f>
        <v>53943.010905577852</v>
      </c>
      <c r="Q275" s="142">
        <f t="shared" si="58"/>
        <v>63218205.554831043</v>
      </c>
      <c r="R275" s="142">
        <f t="shared" si="59"/>
        <v>4482664.2062535193</v>
      </c>
      <c r="S275" s="142">
        <f>Table6567686973[[#This Row],[Excess Presenteeism (Costs) - Intervention Scenario:
Males]]+Table6567686973[[#This Row],[Excess Presenteeism (Costs) - Intervention Scenario:
Females]]</f>
        <v>67700869.761084557</v>
      </c>
      <c r="T275" s="145">
        <f>Table6567686973[[#This Row],[Excess Presenteeism (Costs):
Males]]-Table6567686973[[#This Row],[Excess Presenteeism (Costs) - Intervention Scenario:
Males]]</f>
        <v>5774156.9131689668</v>
      </c>
      <c r="U275" s="145">
        <f>Table6567686973[[#This Row],[Excess Presenteeism (Costs):
Females]]-Table6567686973[[#This Row],[Excess Presenteeism (Costs) - Intervention Scenario:
Females]]</f>
        <v>409432.79374648072</v>
      </c>
      <c r="V275" s="145">
        <f>Table6567686973[[#This Row],[Excess Presenteeism (Costs):
Total]]-Table6567686973[[#This Row],[Excess Presenteeism (Costs) - Intervention Scenario:
Total]]</f>
        <v>6183589.7069154531</v>
      </c>
    </row>
    <row r="276" spans="2:22" customFormat="1">
      <c r="B276" s="56">
        <v>15</v>
      </c>
      <c r="C276" s="127">
        <f t="shared" si="54"/>
        <v>938900</v>
      </c>
      <c r="D276" s="127">
        <f t="shared" si="55"/>
        <v>841000</v>
      </c>
      <c r="E276" s="123">
        <f t="shared" si="56"/>
        <v>0.56999999999999995</v>
      </c>
      <c r="F276" s="123">
        <f t="shared" si="57"/>
        <v>7.0000000000000007E-2</v>
      </c>
      <c r="G276" s="127">
        <f>Table6567686973[[#This Row],[Employed Persons:
Males]]*Table6567686973[[#This Row],[Smoking Prevalence:
Males]]</f>
        <v>535173</v>
      </c>
      <c r="H276" s="127">
        <f>Table6567686973[[#This Row],[Employed Persons:
Females]]*Table6567686973[[#This Row],[Smoking Prevalence:
Females]]</f>
        <v>58870.000000000007</v>
      </c>
      <c r="I276" s="52">
        <f>$C$10*Table6567686973[[#This Row],[Employed Smokers:
Males]]*D$27</f>
        <v>68992362.46800001</v>
      </c>
      <c r="J276" s="15">
        <f>$C$10*Table6567686973[[#This Row],[Employed Smokers:
Females]]*E$27</f>
        <v>4892097</v>
      </c>
      <c r="K276" s="15">
        <f>Table6567686973[[#This Row],[Excess Presenteeism (Costs):
Males]]+Table6567686973[[#This Row],[Excess Presenteeism (Costs):
Females]]</f>
        <v>73884459.46800001</v>
      </c>
      <c r="L276" s="132">
        <v>-3.0000000000000001E-3</v>
      </c>
      <c r="M276" s="136">
        <f>M275*(1+Table6567686973[[#This Row],[Relative Change in Smoking Prevalence:
Cigarette Package Warnings]])</f>
        <v>0.52072827700918689</v>
      </c>
      <c r="N276" s="136">
        <f>N275*(1+Table6567686973[[#This Row],[Relative Change in Smoking Prevalence:
Cigarette Package Warnings]])</f>
        <v>6.3949086650251036E-2</v>
      </c>
      <c r="O276" s="139">
        <f>Table6567686973[[#This Row],[Employed Persons:
Males]]*Table6567686973[[#This Row],[Smoking Prevalence Associated with Intervention: Males]]</f>
        <v>488911.7792839256</v>
      </c>
      <c r="P276" s="139">
        <f>Table6567686973[[#This Row],[Employed Persons:
Females]]*Table6567686973[[#This Row],[Smoking Prevalence Associated with Intervention: Females]]</f>
        <v>53781.181872861118</v>
      </c>
      <c r="Q276" s="142">
        <f t="shared" si="58"/>
        <v>63028550.938166559</v>
      </c>
      <c r="R276" s="142">
        <f t="shared" si="59"/>
        <v>4469216.2136347592</v>
      </c>
      <c r="S276" s="142">
        <f>Table6567686973[[#This Row],[Excess Presenteeism (Costs) - Intervention Scenario:
Males]]+Table6567686973[[#This Row],[Excess Presenteeism (Costs) - Intervention Scenario:
Females]]</f>
        <v>67497767.151801318</v>
      </c>
      <c r="T276" s="145">
        <f>Table6567686973[[#This Row],[Excess Presenteeism (Costs):
Males]]-Table6567686973[[#This Row],[Excess Presenteeism (Costs) - Intervention Scenario:
Males]]</f>
        <v>5963811.5298334509</v>
      </c>
      <c r="U276" s="145">
        <f>Table6567686973[[#This Row],[Excess Presenteeism (Costs):
Females]]-Table6567686973[[#This Row],[Excess Presenteeism (Costs) - Intervention Scenario:
Females]]</f>
        <v>422880.78636524081</v>
      </c>
      <c r="V276" s="145">
        <f>Table6567686973[[#This Row],[Excess Presenteeism (Costs):
Total]]-Table6567686973[[#This Row],[Excess Presenteeism (Costs) - Intervention Scenario:
Total]]</f>
        <v>6386692.3161986917</v>
      </c>
    </row>
    <row r="280" spans="2:22" ht="23.25">
      <c r="B280" s="80" t="s">
        <v>187</v>
      </c>
    </row>
    <row r="281" spans="2:22" ht="17.100000000000001" customHeight="1">
      <c r="B281" s="81"/>
    </row>
    <row r="282" spans="2:22" ht="17.100000000000001" customHeight="1">
      <c r="B282" s="81"/>
    </row>
    <row r="283" spans="2:22" ht="21">
      <c r="B283" s="81" t="s">
        <v>93</v>
      </c>
    </row>
    <row r="284" spans="2:22" ht="21">
      <c r="B284" s="81"/>
    </row>
    <row r="285" spans="2:22" ht="135">
      <c r="B285" s="71" t="s">
        <v>111</v>
      </c>
      <c r="C285" s="129" t="s">
        <v>175</v>
      </c>
      <c r="D285" s="128"/>
      <c r="E285" s="128"/>
      <c r="F285" s="128"/>
      <c r="G285" s="133" t="s">
        <v>176</v>
      </c>
      <c r="H285" s="134"/>
      <c r="I285" s="134"/>
      <c r="J285" s="134"/>
      <c r="K285" s="134"/>
      <c r="L285" s="68" t="s">
        <v>110</v>
      </c>
      <c r="M285" s="74" t="s">
        <v>177</v>
      </c>
      <c r="N285" s="70"/>
      <c r="O285" s="73" t="s">
        <v>178</v>
      </c>
      <c r="P285" s="72"/>
      <c r="Q285" s="72"/>
      <c r="R285" s="72"/>
      <c r="S285" s="72"/>
      <c r="T285" s="78" t="s">
        <v>179</v>
      </c>
      <c r="U285" s="75"/>
      <c r="V285" s="75"/>
    </row>
    <row r="287" spans="2:22" ht="69" customHeight="1" thickBot="1">
      <c r="B287" s="35" t="s">
        <v>81</v>
      </c>
      <c r="C287" s="35" t="s">
        <v>157</v>
      </c>
      <c r="D287" s="35" t="s">
        <v>158</v>
      </c>
      <c r="E287" s="35" t="s">
        <v>155</v>
      </c>
      <c r="F287" s="35" t="s">
        <v>156</v>
      </c>
      <c r="G287" s="35" t="s">
        <v>159</v>
      </c>
      <c r="H287" s="35" t="s">
        <v>160</v>
      </c>
      <c r="I287" s="34" t="s">
        <v>188</v>
      </c>
      <c r="J287" s="34" t="s">
        <v>189</v>
      </c>
      <c r="K287" s="34" t="s">
        <v>190</v>
      </c>
      <c r="L287" s="63" t="s">
        <v>84</v>
      </c>
      <c r="M287" s="135" t="s">
        <v>162</v>
      </c>
      <c r="N287" s="135" t="s">
        <v>163</v>
      </c>
      <c r="O287" s="137" t="s">
        <v>164</v>
      </c>
      <c r="P287" s="137" t="s">
        <v>165</v>
      </c>
      <c r="Q287" s="137" t="s">
        <v>191</v>
      </c>
      <c r="R287" s="137" t="s">
        <v>497</v>
      </c>
      <c r="S287" s="137" t="s">
        <v>498</v>
      </c>
      <c r="T287" s="143" t="s">
        <v>173</v>
      </c>
      <c r="U287" s="143" t="s">
        <v>172</v>
      </c>
      <c r="V287" s="143" t="s">
        <v>174</v>
      </c>
    </row>
    <row r="288" spans="2:22" ht="15.75" thickTop="1">
      <c r="B288" s="53">
        <v>0</v>
      </c>
      <c r="C288" s="124">
        <f t="shared" ref="C288:C303" si="60">$D$24</f>
        <v>938900</v>
      </c>
      <c r="D288" s="124">
        <f t="shared" ref="D288:D303" si="61">$E$24</f>
        <v>841000</v>
      </c>
      <c r="E288" s="120">
        <f t="shared" ref="E288:E303" si="62">$D$25</f>
        <v>0.56999999999999995</v>
      </c>
      <c r="F288" s="120">
        <f t="shared" ref="F288:F303" si="63">$E$25</f>
        <v>7.0000000000000007E-2</v>
      </c>
      <c r="G288" s="124">
        <f>Table6570748[[#This Row],[Employed Persons:
Males]]*Table6570748[[#This Row],[Smoking Prevalence:
Males]]</f>
        <v>535173</v>
      </c>
      <c r="H288" s="124">
        <f>Table6570748[[#This Row],[Employed Persons:
Females]]*Table6570748[[#This Row],[Smoking Prevalence:
Females]]</f>
        <v>58870.000000000007</v>
      </c>
      <c r="I288" s="49">
        <f>$C$16*Table6570748[[#This Row],[Employed Smokers:
Males]]*D$29</f>
        <v>227236749.39857146</v>
      </c>
      <c r="J288" s="49">
        <f>$C$16*Table6570748[[#This Row],[Employed Smokers:
Females]]*E$29</f>
        <v>16112859.16666667</v>
      </c>
      <c r="K288" s="12">
        <f>Table6570748[[#This Row],[Smoking Breaks (Costs):
Males]]+Table6570748[[#This Row],[Smoking Breaks (Costs):
Females]]</f>
        <v>243349608.56523812</v>
      </c>
      <c r="L288" s="67"/>
      <c r="M288" s="136">
        <f>Table6570748[[#This Row],[Smoking Prevalence:
Males]]</f>
        <v>0.56999999999999995</v>
      </c>
      <c r="N288" s="136">
        <f>Table6570748[[#This Row],[Smoking Prevalence:
Females]]</f>
        <v>7.0000000000000007E-2</v>
      </c>
      <c r="O288" s="138">
        <f>Table6570748[[#This Row],[Employed Persons:
Males]]*Table6570748[[#This Row],[Smoking Prevalence Associated with Intervention: Males]]</f>
        <v>535173</v>
      </c>
      <c r="P288" s="138">
        <f>Table6570748[[#This Row],[Employed Persons:
Females]]*Table6570748[[#This Row],[Smoking Prevalence Associated with Intervention: Females]]</f>
        <v>58870.000000000007</v>
      </c>
      <c r="Q288" s="140">
        <f t="shared" ref="Q288:Q303" si="64">$C$16*O288*D$29</f>
        <v>227236749.39857146</v>
      </c>
      <c r="R288" s="140">
        <f t="shared" ref="R288:R303" si="65">$C$16*P288*E$29</f>
        <v>16112859.16666667</v>
      </c>
      <c r="S288" s="141">
        <f>Table6570748[[#This Row],[Smoking Breaks (Costs) - Intervention Scenario:
Males]]+Table6570748[[#This Row],[Smoking Breaks (Costs) - Intervention Scenario:
Females]]</f>
        <v>243349608.56523812</v>
      </c>
      <c r="T288" s="144">
        <f>Table6570748[[#This Row],[Smoking Breaks (Costs):
Males]]-Table6570748[[#This Row],[Smoking Breaks (Costs) - Intervention Scenario:
Males]]</f>
        <v>0</v>
      </c>
      <c r="U288" s="144">
        <f>Table6570748[[#This Row],[Smoking Breaks (Costs):
Females]]-Table6570748[[#This Row],[Smoking Breaks (Costs) - Intervention Scenario:
Females]]</f>
        <v>0</v>
      </c>
      <c r="V288" s="144">
        <f>Table6570748[[#This Row],[Smoking Breaks (Costs):
Total]]-Table6570748[[#This Row],[Smoking Breaks (Costs) - Intervention Scenario:
Total]]</f>
        <v>0</v>
      </c>
    </row>
    <row r="289" spans="2:22">
      <c r="B289" s="54">
        <v>1</v>
      </c>
      <c r="C289" s="125">
        <f t="shared" si="60"/>
        <v>938900</v>
      </c>
      <c r="D289" s="125">
        <f t="shared" si="61"/>
        <v>841000</v>
      </c>
      <c r="E289" s="121">
        <f t="shared" si="62"/>
        <v>0.56999999999999995</v>
      </c>
      <c r="F289" s="121">
        <f t="shared" si="63"/>
        <v>7.0000000000000007E-2</v>
      </c>
      <c r="G289" s="125">
        <f>Table6570748[[#This Row],[Employed Persons:
Males]]*Table6570748[[#This Row],[Smoking Prevalence:
Males]]</f>
        <v>535173</v>
      </c>
      <c r="H289" s="125">
        <f>Table6570748[[#This Row],[Employed Persons:
Females]]*Table6570748[[#This Row],[Smoking Prevalence:
Females]]</f>
        <v>58870.000000000007</v>
      </c>
      <c r="I289" s="50">
        <f>$C$16*Table6570748[[#This Row],[Employed Smokers:
Males]]*D$29</f>
        <v>227236749.39857146</v>
      </c>
      <c r="J289" s="12">
        <f>$C$16*Table6570748[[#This Row],[Employed Smokers:
Females]]*E$29</f>
        <v>16112859.16666667</v>
      </c>
      <c r="K289" s="12">
        <f>Table6570748[[#This Row],[Smoking Breaks (Costs):
Males]]+Table6570748[[#This Row],[Smoking Breaks (Costs):
Females]]</f>
        <v>243349608.56523812</v>
      </c>
      <c r="L289" s="130">
        <v>-6.5972442588726504E-2</v>
      </c>
      <c r="M289" s="136">
        <f>M288*(1+Table6570748[[#This Row],[Relative Change in Smoking Prevalence:
All Interventions Combined]])</f>
        <v>0.5323957077244259</v>
      </c>
      <c r="N289" s="136">
        <f>N288*(1+Table6570748[[#This Row],[Relative Change in Smoking Prevalence:
All Interventions Combined]])</f>
        <v>6.5381929018789156E-2</v>
      </c>
      <c r="O289" s="138">
        <f>Table6570748[[#This Row],[Employed Persons:
Males]]*Table6570748[[#This Row],[Smoking Prevalence Associated with Intervention: Males]]</f>
        <v>499866.3299824635</v>
      </c>
      <c r="P289" s="138">
        <f>Table6570748[[#This Row],[Employed Persons:
Females]]*Table6570748[[#This Row],[Smoking Prevalence Associated with Intervention: Females]]</f>
        <v>54986.202304801678</v>
      </c>
      <c r="Q289" s="141">
        <f t="shared" si="64"/>
        <v>212245385.99482539</v>
      </c>
      <c r="R289" s="141">
        <f t="shared" si="65"/>
        <v>15049854.490353517</v>
      </c>
      <c r="S289" s="141">
        <f>Table6570748[[#This Row],[Smoking Breaks (Costs) - Intervention Scenario:
Males]]+Table6570748[[#This Row],[Smoking Breaks (Costs) - Intervention Scenario:
Females]]</f>
        <v>227295240.48517892</v>
      </c>
      <c r="T289" s="144">
        <f>Table6570748[[#This Row],[Smoking Breaks (Costs):
Males]]-Table6570748[[#This Row],[Smoking Breaks (Costs) - Intervention Scenario:
Males]]</f>
        <v>14991363.403746068</v>
      </c>
      <c r="U289" s="144">
        <f>Table6570748[[#This Row],[Smoking Breaks (Costs):
Females]]-Table6570748[[#This Row],[Smoking Breaks (Costs) - Intervention Scenario:
Females]]</f>
        <v>1063004.6763131525</v>
      </c>
      <c r="V289" s="144">
        <f>Table6570748[[#This Row],[Smoking Breaks (Costs):
Total]]-Table6570748[[#This Row],[Smoking Breaks (Costs) - Intervention Scenario:
Total]]</f>
        <v>16054368.080059201</v>
      </c>
    </row>
    <row r="290" spans="2:22">
      <c r="B290" s="55">
        <v>2</v>
      </c>
      <c r="C290" s="126">
        <f t="shared" si="60"/>
        <v>938900</v>
      </c>
      <c r="D290" s="126">
        <f t="shared" si="61"/>
        <v>841000</v>
      </c>
      <c r="E290" s="122">
        <f t="shared" si="62"/>
        <v>0.56999999999999995</v>
      </c>
      <c r="F290" s="122">
        <f t="shared" si="63"/>
        <v>7.0000000000000007E-2</v>
      </c>
      <c r="G290" s="126">
        <f>Table6570748[[#This Row],[Employed Persons:
Males]]*Table6570748[[#This Row],[Smoking Prevalence:
Males]]</f>
        <v>535173</v>
      </c>
      <c r="H290" s="126">
        <f>Table6570748[[#This Row],[Employed Persons:
Females]]*Table6570748[[#This Row],[Smoking Prevalence:
Females]]</f>
        <v>58870.000000000007</v>
      </c>
      <c r="I290" s="51">
        <f>$C$16*Table6570748[[#This Row],[Employed Smokers:
Males]]*D$29</f>
        <v>227236749.39857146</v>
      </c>
      <c r="J290" s="12">
        <f>$C$16*Table6570748[[#This Row],[Employed Smokers:
Females]]*E$29</f>
        <v>16112859.16666667</v>
      </c>
      <c r="K290" s="12">
        <f>Table6570748[[#This Row],[Smoking Breaks (Costs):
Males]]+Table6570748[[#This Row],[Smoking Breaks (Costs):
Females]]</f>
        <v>243349608.56523812</v>
      </c>
      <c r="L290" s="130">
        <v>-6.5972442588726504E-2</v>
      </c>
      <c r="M290" s="136">
        <f>M289*(1+Table6570748[[#This Row],[Relative Change in Smoking Prevalence:
All Interventions Combined]])</f>
        <v>0.49727226246209183</v>
      </c>
      <c r="N290" s="136">
        <f>N289*(1+Table6570748[[#This Row],[Relative Change in Smoking Prevalence:
All Interventions Combined]])</f>
        <v>6.1068523460256902E-2</v>
      </c>
      <c r="O290" s="138">
        <f>Table6570748[[#This Row],[Employed Persons:
Males]]*Table6570748[[#This Row],[Smoking Prevalence Associated with Intervention: Males]]</f>
        <v>466888.92722565803</v>
      </c>
      <c r="P290" s="138">
        <f>Table6570748[[#This Row],[Employed Persons:
Females]]*Table6570748[[#This Row],[Smoking Prevalence Associated with Intervention: Females]]</f>
        <v>51358.628230076058</v>
      </c>
      <c r="Q290" s="141">
        <f t="shared" si="64"/>
        <v>198243039.45255965</v>
      </c>
      <c r="R290" s="141">
        <f t="shared" si="65"/>
        <v>14056978.829019984</v>
      </c>
      <c r="S290" s="141">
        <f>Table6570748[[#This Row],[Smoking Breaks (Costs) - Intervention Scenario:
Males]]+Table6570748[[#This Row],[Smoking Breaks (Costs) - Intervention Scenario:
Females]]</f>
        <v>212300018.28157964</v>
      </c>
      <c r="T290" s="144">
        <f>Table6570748[[#This Row],[Smoking Breaks (Costs):
Males]]-Table6570748[[#This Row],[Smoking Breaks (Costs) - Intervention Scenario:
Males]]</f>
        <v>28993709.946011811</v>
      </c>
      <c r="U290" s="144">
        <f>Table6570748[[#This Row],[Smoking Breaks (Costs):
Females]]-Table6570748[[#This Row],[Smoking Breaks (Costs) - Intervention Scenario:
Females]]</f>
        <v>2055880.3376466855</v>
      </c>
      <c r="V290" s="144">
        <f>Table6570748[[#This Row],[Smoking Breaks (Costs):
Total]]-Table6570748[[#This Row],[Smoking Breaks (Costs) - Intervention Scenario:
Total]]</f>
        <v>31049590.283658475</v>
      </c>
    </row>
    <row r="291" spans="2:22">
      <c r="B291" s="54">
        <v>3</v>
      </c>
      <c r="C291" s="125">
        <f t="shared" si="60"/>
        <v>938900</v>
      </c>
      <c r="D291" s="125">
        <f t="shared" si="61"/>
        <v>841000</v>
      </c>
      <c r="E291" s="121">
        <f t="shared" si="62"/>
        <v>0.56999999999999995</v>
      </c>
      <c r="F291" s="121">
        <f t="shared" si="63"/>
        <v>7.0000000000000007E-2</v>
      </c>
      <c r="G291" s="125">
        <f>Table6570748[[#This Row],[Employed Persons:
Males]]*Table6570748[[#This Row],[Smoking Prevalence:
Males]]</f>
        <v>535173</v>
      </c>
      <c r="H291" s="125">
        <f>Table6570748[[#This Row],[Employed Persons:
Females]]*Table6570748[[#This Row],[Smoking Prevalence:
Females]]</f>
        <v>58870.000000000007</v>
      </c>
      <c r="I291" s="50">
        <f>$C$16*Table6570748[[#This Row],[Employed Smokers:
Males]]*D$29</f>
        <v>227236749.39857146</v>
      </c>
      <c r="J291" s="12">
        <f>$C$16*Table6570748[[#This Row],[Employed Smokers:
Females]]*E$29</f>
        <v>16112859.16666667</v>
      </c>
      <c r="K291" s="12">
        <f>Table6570748[[#This Row],[Smoking Breaks (Costs):
Males]]+Table6570748[[#This Row],[Smoking Breaks (Costs):
Females]]</f>
        <v>243349608.56523812</v>
      </c>
      <c r="L291" s="130">
        <v>-6.5972442588726504E-2</v>
      </c>
      <c r="M291" s="136">
        <f>M290*(1+Table6570748[[#This Row],[Relative Change in Smoking Prevalence:
All Interventions Combined]])</f>
        <v>0.46446599667584537</v>
      </c>
      <c r="N291" s="136">
        <f>N290*(1+Table6570748[[#This Row],[Relative Change in Smoking Prevalence:
All Interventions Combined]])</f>
        <v>5.7039683802296806E-2</v>
      </c>
      <c r="O291" s="138">
        <f>Table6570748[[#This Row],[Employed Persons:
Males]]*Table6570748[[#This Row],[Smoking Prevalence Associated with Intervention: Males]]</f>
        <v>436087.1242789512</v>
      </c>
      <c r="P291" s="138">
        <f>Table6570748[[#This Row],[Employed Persons:
Females]]*Table6570748[[#This Row],[Smoking Prevalence Associated with Intervention: Females]]</f>
        <v>47970.374077731612</v>
      </c>
      <c r="Q291" s="141">
        <f t="shared" si="64"/>
        <v>185164461.91366103</v>
      </c>
      <c r="R291" s="141">
        <f t="shared" si="65"/>
        <v>13129605.600251518</v>
      </c>
      <c r="S291" s="141">
        <f>Table6570748[[#This Row],[Smoking Breaks (Costs) - Intervention Scenario:
Males]]+Table6570748[[#This Row],[Smoking Breaks (Costs) - Intervention Scenario:
Females]]</f>
        <v>198294067.51391256</v>
      </c>
      <c r="T291" s="144">
        <f>Table6570748[[#This Row],[Smoking Breaks (Costs):
Males]]-Table6570748[[#This Row],[Smoking Breaks (Costs) - Intervention Scenario:
Males]]</f>
        <v>42072287.484910429</v>
      </c>
      <c r="U291" s="144">
        <f>Table6570748[[#This Row],[Smoking Breaks (Costs):
Females]]-Table6570748[[#This Row],[Smoking Breaks (Costs) - Intervention Scenario:
Females]]</f>
        <v>2983253.5664151516</v>
      </c>
      <c r="V291" s="144">
        <f>Table6570748[[#This Row],[Smoking Breaks (Costs):
Total]]-Table6570748[[#This Row],[Smoking Breaks (Costs) - Intervention Scenario:
Total]]</f>
        <v>45055541.05132556</v>
      </c>
    </row>
    <row r="292" spans="2:22">
      <c r="B292" s="55">
        <v>4</v>
      </c>
      <c r="C292" s="126">
        <f t="shared" si="60"/>
        <v>938900</v>
      </c>
      <c r="D292" s="126">
        <f t="shared" si="61"/>
        <v>841000</v>
      </c>
      <c r="E292" s="122">
        <f t="shared" si="62"/>
        <v>0.56999999999999995</v>
      </c>
      <c r="F292" s="122">
        <f t="shared" si="63"/>
        <v>7.0000000000000007E-2</v>
      </c>
      <c r="G292" s="126">
        <f>Table6570748[[#This Row],[Employed Persons:
Males]]*Table6570748[[#This Row],[Smoking Prevalence:
Males]]</f>
        <v>535173</v>
      </c>
      <c r="H292" s="126">
        <f>Table6570748[[#This Row],[Employed Persons:
Females]]*Table6570748[[#This Row],[Smoking Prevalence:
Females]]</f>
        <v>58870.000000000007</v>
      </c>
      <c r="I292" s="51">
        <f>$C$16*Table6570748[[#This Row],[Employed Smokers:
Males]]*D$29</f>
        <v>227236749.39857146</v>
      </c>
      <c r="J292" s="12">
        <f>$C$16*Table6570748[[#This Row],[Employed Smokers:
Females]]*E$29</f>
        <v>16112859.16666667</v>
      </c>
      <c r="K292" s="12">
        <f>Table6570748[[#This Row],[Smoking Breaks (Costs):
Males]]+Table6570748[[#This Row],[Smoking Breaks (Costs):
Females]]</f>
        <v>243349608.56523812</v>
      </c>
      <c r="L292" s="130">
        <v>-6.5972442588726504E-2</v>
      </c>
      <c r="M292" s="136">
        <f>M291*(1+Table6570748[[#This Row],[Relative Change in Smoking Prevalence:
All Interventions Combined]])</f>
        <v>0.43382404037573252</v>
      </c>
      <c r="N292" s="136">
        <f>N291*(1+Table6570748[[#This Row],[Relative Change in Smoking Prevalence:
All Interventions Combined]])</f>
        <v>5.3276636537370671E-2</v>
      </c>
      <c r="O292" s="138">
        <f>Table6570748[[#This Row],[Employed Persons:
Males]]*Table6570748[[#This Row],[Smoking Prevalence Associated with Intervention: Males]]</f>
        <v>407317.39150877524</v>
      </c>
      <c r="P292" s="138">
        <f>Table6570748[[#This Row],[Employed Persons:
Females]]*Table6570748[[#This Row],[Smoking Prevalence Associated with Intervention: Females]]</f>
        <v>44805.651327928732</v>
      </c>
      <c r="Q292" s="141">
        <f t="shared" si="64"/>
        <v>172948710.08058959</v>
      </c>
      <c r="R292" s="141">
        <f t="shared" si="65"/>
        <v>12263413.448576303</v>
      </c>
      <c r="S292" s="141">
        <f>Table6570748[[#This Row],[Smoking Breaks (Costs) - Intervention Scenario:
Males]]+Table6570748[[#This Row],[Smoking Breaks (Costs) - Intervention Scenario:
Females]]</f>
        <v>185212123.52916589</v>
      </c>
      <c r="T292" s="144">
        <f>Table6570748[[#This Row],[Smoking Breaks (Costs):
Males]]-Table6570748[[#This Row],[Smoking Breaks (Costs) - Intervention Scenario:
Males]]</f>
        <v>54288039.317981869</v>
      </c>
      <c r="U292" s="144">
        <f>Table6570748[[#This Row],[Smoking Breaks (Costs):
Females]]-Table6570748[[#This Row],[Smoking Breaks (Costs) - Intervention Scenario:
Females]]</f>
        <v>3849445.7180903666</v>
      </c>
      <c r="V292" s="144">
        <f>Table6570748[[#This Row],[Smoking Breaks (Costs):
Total]]-Table6570748[[#This Row],[Smoking Breaks (Costs) - Intervention Scenario:
Total]]</f>
        <v>58137485.036072224</v>
      </c>
    </row>
    <row r="293" spans="2:22" customFormat="1">
      <c r="B293" s="54">
        <v>5</v>
      </c>
      <c r="C293" s="125">
        <f t="shared" si="60"/>
        <v>938900</v>
      </c>
      <c r="D293" s="125">
        <f t="shared" si="61"/>
        <v>841000</v>
      </c>
      <c r="E293" s="121">
        <f t="shared" si="62"/>
        <v>0.56999999999999995</v>
      </c>
      <c r="F293" s="121">
        <f t="shared" si="63"/>
        <v>7.0000000000000007E-2</v>
      </c>
      <c r="G293" s="125">
        <f>Table6570748[[#This Row],[Employed Persons:
Males]]*Table6570748[[#This Row],[Smoking Prevalence:
Males]]</f>
        <v>535173</v>
      </c>
      <c r="H293" s="125">
        <f>Table6570748[[#This Row],[Employed Persons:
Females]]*Table6570748[[#This Row],[Smoking Prevalence:
Females]]</f>
        <v>58870.000000000007</v>
      </c>
      <c r="I293" s="50">
        <f>$C$16*Table6570748[[#This Row],[Employed Smokers:
Males]]*D$29</f>
        <v>227236749.39857146</v>
      </c>
      <c r="J293" s="15">
        <f>$C$16*Table6570748[[#This Row],[Employed Smokers:
Females]]*E$29</f>
        <v>16112859.16666667</v>
      </c>
      <c r="K293" s="15">
        <f>Table6570748[[#This Row],[Smoking Breaks (Costs):
Males]]+Table6570748[[#This Row],[Smoking Breaks (Costs):
Females]]</f>
        <v>243349608.56523812</v>
      </c>
      <c r="L293" s="131">
        <v>-6.5972442588726504E-2</v>
      </c>
      <c r="M293" s="136">
        <f>M292*(1+Table6570748[[#This Row],[Relative Change in Smoking Prevalence:
All Interventions Combined]])</f>
        <v>0.40520360877843514</v>
      </c>
      <c r="N293" s="136">
        <f>N292*(1+Table6570748[[#This Row],[Relative Change in Smoking Prevalence:
All Interventions Combined]])</f>
        <v>4.9761846692088538E-2</v>
      </c>
      <c r="O293" s="139">
        <f>Table6570748[[#This Row],[Employed Persons:
Males]]*Table6570748[[#This Row],[Smoking Prevalence Associated with Intervention: Males]]</f>
        <v>380445.66828207276</v>
      </c>
      <c r="P293" s="139">
        <f>Table6570748[[#This Row],[Employed Persons:
Females]]*Table6570748[[#This Row],[Smoking Prevalence Associated with Intervention: Females]]</f>
        <v>41849.713068046462</v>
      </c>
      <c r="Q293" s="142">
        <f t="shared" si="64"/>
        <v>161538861.2340036</v>
      </c>
      <c r="R293" s="142">
        <f t="shared" si="65"/>
        <v>11454366.10889829</v>
      </c>
      <c r="S293" s="142">
        <f>Table6570748[[#This Row],[Smoking Breaks (Costs) - Intervention Scenario:
Males]]+Table6570748[[#This Row],[Smoking Breaks (Costs) - Intervention Scenario:
Females]]</f>
        <v>172993227.34290189</v>
      </c>
      <c r="T293" s="145">
        <f>Table6570748[[#This Row],[Smoking Breaks (Costs):
Males]]-Table6570748[[#This Row],[Smoking Breaks (Costs) - Intervention Scenario:
Males]]</f>
        <v>65697888.164567858</v>
      </c>
      <c r="U293" s="145">
        <f>Table6570748[[#This Row],[Smoking Breaks (Costs):
Females]]-Table6570748[[#This Row],[Smoking Breaks (Costs) - Intervention Scenario:
Females]]</f>
        <v>4658493.0577683803</v>
      </c>
      <c r="V293" s="145">
        <f>Table6570748[[#This Row],[Smoking Breaks (Costs):
Total]]-Table6570748[[#This Row],[Smoking Breaks (Costs) - Intervention Scenario:
Total]]</f>
        <v>70356381.222336233</v>
      </c>
    </row>
    <row r="294" spans="2:22" customFormat="1">
      <c r="B294" s="55">
        <v>6</v>
      </c>
      <c r="C294" s="126">
        <f t="shared" si="60"/>
        <v>938900</v>
      </c>
      <c r="D294" s="126">
        <f t="shared" si="61"/>
        <v>841000</v>
      </c>
      <c r="E294" s="122">
        <f t="shared" si="62"/>
        <v>0.56999999999999995</v>
      </c>
      <c r="F294" s="122">
        <f t="shared" si="63"/>
        <v>7.0000000000000007E-2</v>
      </c>
      <c r="G294" s="126">
        <f>Table6570748[[#This Row],[Employed Persons:
Males]]*Table6570748[[#This Row],[Smoking Prevalence:
Males]]</f>
        <v>535173</v>
      </c>
      <c r="H294" s="126">
        <f>Table6570748[[#This Row],[Employed Persons:
Females]]*Table6570748[[#This Row],[Smoking Prevalence:
Females]]</f>
        <v>58870.000000000007</v>
      </c>
      <c r="I294" s="51">
        <f>$C$16*Table6570748[[#This Row],[Employed Smokers:
Males]]*D$29</f>
        <v>227236749.39857146</v>
      </c>
      <c r="J294" s="15">
        <f>$C$16*Table6570748[[#This Row],[Employed Smokers:
Females]]*E$29</f>
        <v>16112859.16666667</v>
      </c>
      <c r="K294" s="15">
        <f>Table6570748[[#This Row],[Smoking Breaks (Costs):
Males]]+Table6570748[[#This Row],[Smoking Breaks (Costs):
Females]]</f>
        <v>243349608.56523812</v>
      </c>
      <c r="L294" s="132">
        <v>-1.2411482254697298E-2</v>
      </c>
      <c r="M294" s="136">
        <f>M293*(1+Table6570748[[#This Row],[Relative Change in Smoking Prevalence:
All Interventions Combined]])</f>
        <v>0.40017443137854225</v>
      </c>
      <c r="N294" s="136">
        <f>N293*(1+Table6570748[[#This Row],[Relative Change in Smoking Prevalence:
All Interventions Combined]])</f>
        <v>4.914422841490871E-2</v>
      </c>
      <c r="O294" s="139">
        <f>Table6570748[[#This Row],[Employed Persons:
Males]]*Table6570748[[#This Row],[Smoking Prevalence Associated with Intervention: Males]]</f>
        <v>375723.77362131333</v>
      </c>
      <c r="P294" s="139">
        <f>Table6570748[[#This Row],[Employed Persons:
Females]]*Table6570748[[#This Row],[Smoking Prevalence Associated with Intervention: Females]]</f>
        <v>41330.296096938226</v>
      </c>
      <c r="Q294" s="142">
        <f t="shared" si="64"/>
        <v>159533924.52435374</v>
      </c>
      <c r="R294" s="142">
        <f t="shared" si="65"/>
        <v>11312200.44719889</v>
      </c>
      <c r="S294" s="142">
        <f>Table6570748[[#This Row],[Smoking Breaks (Costs) - Intervention Scenario:
Males]]+Table6570748[[#This Row],[Smoking Breaks (Costs) - Intervention Scenario:
Females]]</f>
        <v>170846124.97155264</v>
      </c>
      <c r="T294" s="145">
        <f>Table6570748[[#This Row],[Smoking Breaks (Costs):
Males]]-Table6570748[[#This Row],[Smoking Breaks (Costs) - Intervention Scenario:
Males]]</f>
        <v>67702824.874217719</v>
      </c>
      <c r="U294" s="145">
        <f>Table6570748[[#This Row],[Smoking Breaks (Costs):
Females]]-Table6570748[[#This Row],[Smoking Breaks (Costs) - Intervention Scenario:
Females]]</f>
        <v>4800658.7194677796</v>
      </c>
      <c r="V294" s="145">
        <f>Table6570748[[#This Row],[Smoking Breaks (Costs):
Total]]-Table6570748[[#This Row],[Smoking Breaks (Costs) - Intervention Scenario:
Total]]</f>
        <v>72503483.593685478</v>
      </c>
    </row>
    <row r="295" spans="2:22" customFormat="1">
      <c r="B295" s="54">
        <v>7</v>
      </c>
      <c r="C295" s="125">
        <f t="shared" si="60"/>
        <v>938900</v>
      </c>
      <c r="D295" s="125">
        <f t="shared" si="61"/>
        <v>841000</v>
      </c>
      <c r="E295" s="121">
        <f t="shared" si="62"/>
        <v>0.56999999999999995</v>
      </c>
      <c r="F295" s="121">
        <f t="shared" si="63"/>
        <v>7.0000000000000007E-2</v>
      </c>
      <c r="G295" s="125">
        <f>Table6570748[[#This Row],[Employed Persons:
Males]]*Table6570748[[#This Row],[Smoking Prevalence:
Males]]</f>
        <v>535173</v>
      </c>
      <c r="H295" s="125">
        <f>Table6570748[[#This Row],[Employed Persons:
Females]]*Table6570748[[#This Row],[Smoking Prevalence:
Females]]</f>
        <v>58870.000000000007</v>
      </c>
      <c r="I295" s="50">
        <f>$C$16*Table6570748[[#This Row],[Employed Smokers:
Males]]*D$29</f>
        <v>227236749.39857146</v>
      </c>
      <c r="J295" s="15">
        <f>$C$16*Table6570748[[#This Row],[Employed Smokers:
Females]]*E$29</f>
        <v>16112859.16666667</v>
      </c>
      <c r="K295" s="15">
        <f>Table6570748[[#This Row],[Smoking Breaks (Costs):
Males]]+Table6570748[[#This Row],[Smoking Breaks (Costs):
Females]]</f>
        <v>243349608.56523812</v>
      </c>
      <c r="L295" s="132">
        <v>-1.2411482254697298E-2</v>
      </c>
      <c r="M295" s="136">
        <f>M294*(1+Table6570748[[#This Row],[Relative Change in Smoking Prevalence:
All Interventions Combined]])</f>
        <v>0.39520767352470387</v>
      </c>
      <c r="N295" s="136">
        <f>N294*(1+Table6570748[[#This Row],[Relative Change in Smoking Prevalence:
All Interventions Combined]])</f>
        <v>4.8534275696016274E-2</v>
      </c>
      <c r="O295" s="139">
        <f>Table6570748[[#This Row],[Employed Persons:
Males]]*Table6570748[[#This Row],[Smoking Prevalence Associated with Intervention: Males]]</f>
        <v>371060.48467234446</v>
      </c>
      <c r="P295" s="139">
        <f>Table6570748[[#This Row],[Employed Persons:
Females]]*Table6570748[[#This Row],[Smoking Prevalence Associated with Intervention: Females]]</f>
        <v>40817.325860349687</v>
      </c>
      <c r="Q295" s="142">
        <f t="shared" si="64"/>
        <v>157553872.05109751</v>
      </c>
      <c r="R295" s="142">
        <f t="shared" si="65"/>
        <v>11171799.272086902</v>
      </c>
      <c r="S295" s="142">
        <f>Table6570748[[#This Row],[Smoking Breaks (Costs) - Intervention Scenario:
Males]]+Table6570748[[#This Row],[Smoking Breaks (Costs) - Intervention Scenario:
Females]]</f>
        <v>168725671.3231844</v>
      </c>
      <c r="T295" s="145">
        <f>Table6570748[[#This Row],[Smoking Breaks (Costs):
Males]]-Table6570748[[#This Row],[Smoking Breaks (Costs) - Intervention Scenario:
Males]]</f>
        <v>69682877.347473949</v>
      </c>
      <c r="U295" s="145">
        <f>Table6570748[[#This Row],[Smoking Breaks (Costs):
Females]]-Table6570748[[#This Row],[Smoking Breaks (Costs) - Intervention Scenario:
Females]]</f>
        <v>4941059.8945797682</v>
      </c>
      <c r="V295" s="145">
        <f>Table6570748[[#This Row],[Smoking Breaks (Costs):
Total]]-Table6570748[[#This Row],[Smoking Breaks (Costs) - Intervention Scenario:
Total]]</f>
        <v>74623937.242053717</v>
      </c>
    </row>
    <row r="296" spans="2:22" customFormat="1">
      <c r="B296" s="55">
        <v>8</v>
      </c>
      <c r="C296" s="126">
        <f t="shared" si="60"/>
        <v>938900</v>
      </c>
      <c r="D296" s="126">
        <f t="shared" si="61"/>
        <v>841000</v>
      </c>
      <c r="E296" s="122">
        <f t="shared" si="62"/>
        <v>0.56999999999999995</v>
      </c>
      <c r="F296" s="122">
        <f t="shared" si="63"/>
        <v>7.0000000000000007E-2</v>
      </c>
      <c r="G296" s="126">
        <f>Table6570748[[#This Row],[Employed Persons:
Males]]*Table6570748[[#This Row],[Smoking Prevalence:
Males]]</f>
        <v>535173</v>
      </c>
      <c r="H296" s="126">
        <f>Table6570748[[#This Row],[Employed Persons:
Females]]*Table6570748[[#This Row],[Smoking Prevalence:
Females]]</f>
        <v>58870.000000000007</v>
      </c>
      <c r="I296" s="51">
        <f>$C$16*Table6570748[[#This Row],[Employed Smokers:
Males]]*D$29</f>
        <v>227236749.39857146</v>
      </c>
      <c r="J296" s="15">
        <f>$C$16*Table6570748[[#This Row],[Employed Smokers:
Females]]*E$29</f>
        <v>16112859.16666667</v>
      </c>
      <c r="K296" s="15">
        <f>Table6570748[[#This Row],[Smoking Breaks (Costs):
Males]]+Table6570748[[#This Row],[Smoking Breaks (Costs):
Females]]</f>
        <v>243349608.56523812</v>
      </c>
      <c r="L296" s="132">
        <v>-1.2411482254697298E-2</v>
      </c>
      <c r="M296" s="136">
        <f>M295*(1+Table6570748[[#This Row],[Relative Change in Smoking Prevalence:
All Interventions Combined]])</f>
        <v>0.3903025604978318</v>
      </c>
      <c r="N296" s="136">
        <f>N295*(1+Table6570748[[#This Row],[Relative Change in Smoking Prevalence:
All Interventions Combined]])</f>
        <v>4.7931893394470577E-2</v>
      </c>
      <c r="O296" s="139">
        <f>Table6570748[[#This Row],[Employed Persons:
Males]]*Table6570748[[#This Row],[Smoking Prevalence Associated with Intervention: Males]]</f>
        <v>366455.07405141427</v>
      </c>
      <c r="P296" s="139">
        <f>Table6570748[[#This Row],[Employed Persons:
Females]]*Table6570748[[#This Row],[Smoking Prevalence Associated with Intervention: Females]]</f>
        <v>40310.722344749753</v>
      </c>
      <c r="Q296" s="142">
        <f t="shared" si="64"/>
        <v>155598394.96397644</v>
      </c>
      <c r="R296" s="142">
        <f t="shared" si="65"/>
        <v>11033140.683668351</v>
      </c>
      <c r="S296" s="142">
        <f>Table6570748[[#This Row],[Smoking Breaks (Costs) - Intervention Scenario:
Males]]+Table6570748[[#This Row],[Smoking Breaks (Costs) - Intervention Scenario:
Females]]</f>
        <v>166631535.64764479</v>
      </c>
      <c r="T296" s="145">
        <f>Table6570748[[#This Row],[Smoking Breaks (Costs):
Males]]-Table6570748[[#This Row],[Smoking Breaks (Costs) - Intervention Scenario:
Males]]</f>
        <v>71638354.434595019</v>
      </c>
      <c r="U296" s="145">
        <f>Table6570748[[#This Row],[Smoking Breaks (Costs):
Females]]-Table6570748[[#This Row],[Smoking Breaks (Costs) - Intervention Scenario:
Females]]</f>
        <v>5079718.482998319</v>
      </c>
      <c r="V296" s="145">
        <f>Table6570748[[#This Row],[Smoking Breaks (Costs):
Total]]-Table6570748[[#This Row],[Smoking Breaks (Costs) - Intervention Scenario:
Total]]</f>
        <v>76718072.91759333</v>
      </c>
    </row>
    <row r="297" spans="2:22" customFormat="1">
      <c r="B297" s="54">
        <v>9</v>
      </c>
      <c r="C297" s="125">
        <f t="shared" si="60"/>
        <v>938900</v>
      </c>
      <c r="D297" s="125">
        <f t="shared" si="61"/>
        <v>841000</v>
      </c>
      <c r="E297" s="121">
        <f t="shared" si="62"/>
        <v>0.56999999999999995</v>
      </c>
      <c r="F297" s="121">
        <f t="shared" si="63"/>
        <v>7.0000000000000007E-2</v>
      </c>
      <c r="G297" s="125">
        <f>Table6570748[[#This Row],[Employed Persons:
Males]]*Table6570748[[#This Row],[Smoking Prevalence:
Males]]</f>
        <v>535173</v>
      </c>
      <c r="H297" s="125">
        <f>Table6570748[[#This Row],[Employed Persons:
Females]]*Table6570748[[#This Row],[Smoking Prevalence:
Females]]</f>
        <v>58870.000000000007</v>
      </c>
      <c r="I297" s="50">
        <f>$C$16*Table6570748[[#This Row],[Employed Smokers:
Males]]*D$29</f>
        <v>227236749.39857146</v>
      </c>
      <c r="J297" s="15">
        <f>$C$16*Table6570748[[#This Row],[Employed Smokers:
Females]]*E$29</f>
        <v>16112859.16666667</v>
      </c>
      <c r="K297" s="15">
        <f>Table6570748[[#This Row],[Smoking Breaks (Costs):
Males]]+Table6570748[[#This Row],[Smoking Breaks (Costs):
Females]]</f>
        <v>243349608.56523812</v>
      </c>
      <c r="L297" s="132">
        <v>-1.2411482254697298E-2</v>
      </c>
      <c r="M297" s="136">
        <f>M296*(1+Table6570748[[#This Row],[Relative Change in Smoking Prevalence:
All Interventions Combined]])</f>
        <v>0.38545832719424999</v>
      </c>
      <c r="N297" s="136">
        <f>N296*(1+Table6570748[[#This Row],[Relative Change in Smoking Prevalence:
All Interventions Combined]])</f>
        <v>4.7336987550171059E-2</v>
      </c>
      <c r="O297" s="139">
        <f>Table6570748[[#This Row],[Employed Persons:
Males]]*Table6570748[[#This Row],[Smoking Prevalence Associated with Intervention: Males]]</f>
        <v>361906.82340268133</v>
      </c>
      <c r="P297" s="139">
        <f>Table6570748[[#This Row],[Employed Persons:
Females]]*Table6570748[[#This Row],[Smoking Prevalence Associated with Intervention: Females]]</f>
        <v>39810.406529693857</v>
      </c>
      <c r="Q297" s="142">
        <f t="shared" si="64"/>
        <v>153667188.24602166</v>
      </c>
      <c r="R297" s="142">
        <f t="shared" si="65"/>
        <v>10896203.053859422</v>
      </c>
      <c r="S297" s="142">
        <f>Table6570748[[#This Row],[Smoking Breaks (Costs) - Intervention Scenario:
Males]]+Table6570748[[#This Row],[Smoking Breaks (Costs) - Intervention Scenario:
Females]]</f>
        <v>164563391.29988107</v>
      </c>
      <c r="T297" s="145">
        <f>Table6570748[[#This Row],[Smoking Breaks (Costs):
Males]]-Table6570748[[#This Row],[Smoking Breaks (Costs) - Intervention Scenario:
Males]]</f>
        <v>73569561.152549803</v>
      </c>
      <c r="U297" s="145">
        <f>Table6570748[[#This Row],[Smoking Breaks (Costs):
Females]]-Table6570748[[#This Row],[Smoking Breaks (Costs) - Intervention Scenario:
Females]]</f>
        <v>5216656.1128072478</v>
      </c>
      <c r="V297" s="145">
        <f>Table6570748[[#This Row],[Smoking Breaks (Costs):
Total]]-Table6570748[[#This Row],[Smoking Breaks (Costs) - Intervention Scenario:
Total]]</f>
        <v>78786217.265357047</v>
      </c>
    </row>
    <row r="298" spans="2:22" customFormat="1">
      <c r="B298" s="55">
        <v>10</v>
      </c>
      <c r="C298" s="126">
        <f t="shared" si="60"/>
        <v>938900</v>
      </c>
      <c r="D298" s="126">
        <f t="shared" si="61"/>
        <v>841000</v>
      </c>
      <c r="E298" s="122">
        <f t="shared" si="62"/>
        <v>0.56999999999999995</v>
      </c>
      <c r="F298" s="122">
        <f t="shared" si="63"/>
        <v>7.0000000000000007E-2</v>
      </c>
      <c r="G298" s="126">
        <f>Table6570748[[#This Row],[Employed Persons:
Males]]*Table6570748[[#This Row],[Smoking Prevalence:
Males]]</f>
        <v>535173</v>
      </c>
      <c r="H298" s="126">
        <f>Table6570748[[#This Row],[Employed Persons:
Females]]*Table6570748[[#This Row],[Smoking Prevalence:
Females]]</f>
        <v>58870.000000000007</v>
      </c>
      <c r="I298" s="51">
        <f>$C$16*Table6570748[[#This Row],[Employed Smokers:
Males]]*D$29</f>
        <v>227236749.39857146</v>
      </c>
      <c r="J298" s="15">
        <f>$C$16*Table6570748[[#This Row],[Employed Smokers:
Females]]*E$29</f>
        <v>16112859.16666667</v>
      </c>
      <c r="K298" s="15">
        <f>Table6570748[[#This Row],[Smoking Breaks (Costs):
Males]]+Table6570748[[#This Row],[Smoking Breaks (Costs):
Females]]</f>
        <v>243349608.56523812</v>
      </c>
      <c r="L298" s="132">
        <v>-1.2411482254697298E-2</v>
      </c>
      <c r="M298" s="136">
        <f>M297*(1+Table6570748[[#This Row],[Relative Change in Smoking Prevalence:
All Interventions Combined]])</f>
        <v>0.38067421800635326</v>
      </c>
      <c r="N298" s="136">
        <f>N297*(1+Table6570748[[#This Row],[Relative Change in Smoking Prevalence:
All Interventions Combined]])</f>
        <v>4.6749465369201285E-2</v>
      </c>
      <c r="O298" s="139">
        <f>Table6570748[[#This Row],[Employed Persons:
Males]]*Table6570748[[#This Row],[Smoking Prevalence Associated with Intervention: Males]]</f>
        <v>357415.02328616509</v>
      </c>
      <c r="P298" s="139">
        <f>Table6570748[[#This Row],[Employed Persons:
Females]]*Table6570748[[#This Row],[Smoking Prevalence Associated with Intervention: Females]]</f>
        <v>39316.300375498278</v>
      </c>
      <c r="Q298" s="142">
        <f t="shared" si="64"/>
        <v>151759950.66597694</v>
      </c>
      <c r="R298" s="142">
        <f t="shared" si="65"/>
        <v>10760965.023012869</v>
      </c>
      <c r="S298" s="142">
        <f>Table6570748[[#This Row],[Smoking Breaks (Costs) - Intervention Scenario:
Males]]+Table6570748[[#This Row],[Smoking Breaks (Costs) - Intervention Scenario:
Females]]</f>
        <v>162520915.68898982</v>
      </c>
      <c r="T298" s="145">
        <f>Table6570748[[#This Row],[Smoking Breaks (Costs):
Males]]-Table6570748[[#This Row],[Smoking Breaks (Costs) - Intervention Scenario:
Males]]</f>
        <v>75476798.73259452</v>
      </c>
      <c r="U298" s="145">
        <f>Table6570748[[#This Row],[Smoking Breaks (Costs):
Females]]-Table6570748[[#This Row],[Smoking Breaks (Costs) - Intervention Scenario:
Females]]</f>
        <v>5351894.1436538007</v>
      </c>
      <c r="V298" s="145">
        <f>Table6570748[[#This Row],[Smoking Breaks (Costs):
Total]]-Table6570748[[#This Row],[Smoking Breaks (Costs) - Intervention Scenario:
Total]]</f>
        <v>80828692.8762483</v>
      </c>
    </row>
    <row r="299" spans="2:22" customFormat="1">
      <c r="B299" s="54">
        <v>11</v>
      </c>
      <c r="C299" s="125">
        <f t="shared" si="60"/>
        <v>938900</v>
      </c>
      <c r="D299" s="125">
        <f t="shared" si="61"/>
        <v>841000</v>
      </c>
      <c r="E299" s="121">
        <f t="shared" si="62"/>
        <v>0.56999999999999995</v>
      </c>
      <c r="F299" s="121">
        <f t="shared" si="63"/>
        <v>7.0000000000000007E-2</v>
      </c>
      <c r="G299" s="125">
        <f>Table6570748[[#This Row],[Employed Persons:
Males]]*Table6570748[[#This Row],[Smoking Prevalence:
Males]]</f>
        <v>535173</v>
      </c>
      <c r="H299" s="125">
        <f>Table6570748[[#This Row],[Employed Persons:
Females]]*Table6570748[[#This Row],[Smoking Prevalence:
Females]]</f>
        <v>58870.000000000007</v>
      </c>
      <c r="I299" s="50">
        <f>$C$16*Table6570748[[#This Row],[Employed Smokers:
Males]]*D$29</f>
        <v>227236749.39857146</v>
      </c>
      <c r="J299" s="15">
        <f>$C$16*Table6570748[[#This Row],[Employed Smokers:
Females]]*E$29</f>
        <v>16112859.16666667</v>
      </c>
      <c r="K299" s="15">
        <f>Table6570748[[#This Row],[Smoking Breaks (Costs):
Males]]+Table6570748[[#This Row],[Smoking Breaks (Costs):
Females]]</f>
        <v>243349608.56523812</v>
      </c>
      <c r="L299" s="132">
        <v>-1.2411482254697298E-2</v>
      </c>
      <c r="M299" s="136">
        <f>M298*(1+Table6570748[[#This Row],[Relative Change in Smoking Prevalence:
All Interventions Combined]])</f>
        <v>0.37594948670474659</v>
      </c>
      <c r="N299" s="136">
        <f>N298*(1+Table6570748[[#This Row],[Relative Change in Smoking Prevalence:
All Interventions Combined]])</f>
        <v>4.6169235209354856E-2</v>
      </c>
      <c r="O299" s="139">
        <f>Table6570748[[#This Row],[Employed Persons:
Males]]*Table6570748[[#This Row],[Smoking Prevalence Associated with Intervention: Males]]</f>
        <v>352978.9730670866</v>
      </c>
      <c r="P299" s="139">
        <f>Table6570748[[#This Row],[Employed Persons:
Females]]*Table6570748[[#This Row],[Smoking Prevalence Associated with Intervention: Females]]</f>
        <v>38828.326811067433</v>
      </c>
      <c r="Q299" s="142">
        <f t="shared" si="64"/>
        <v>149876384.73131242</v>
      </c>
      <c r="R299" s="142">
        <f t="shared" si="65"/>
        <v>10627405.496586327</v>
      </c>
      <c r="S299" s="142">
        <f>Table6570748[[#This Row],[Smoking Breaks (Costs) - Intervention Scenario:
Males]]+Table6570748[[#This Row],[Smoking Breaks (Costs) - Intervention Scenario:
Females]]</f>
        <v>160503790.22789875</v>
      </c>
      <c r="T299" s="145">
        <f>Table6570748[[#This Row],[Smoking Breaks (Costs):
Males]]-Table6570748[[#This Row],[Smoking Breaks (Costs) - Intervention Scenario:
Males]]</f>
        <v>77360364.667259037</v>
      </c>
      <c r="U299" s="145">
        <f>Table6570748[[#This Row],[Smoking Breaks (Costs):
Females]]-Table6570748[[#This Row],[Smoking Breaks (Costs) - Intervention Scenario:
Females]]</f>
        <v>5485453.6700803433</v>
      </c>
      <c r="V299" s="145">
        <f>Table6570748[[#This Row],[Smoking Breaks (Costs):
Total]]-Table6570748[[#This Row],[Smoking Breaks (Costs) - Intervention Scenario:
Total]]</f>
        <v>82845818.337339371</v>
      </c>
    </row>
    <row r="300" spans="2:22" customFormat="1">
      <c r="B300" s="55">
        <v>12</v>
      </c>
      <c r="C300" s="126">
        <f t="shared" si="60"/>
        <v>938900</v>
      </c>
      <c r="D300" s="126">
        <f t="shared" si="61"/>
        <v>841000</v>
      </c>
      <c r="E300" s="122">
        <f t="shared" si="62"/>
        <v>0.56999999999999995</v>
      </c>
      <c r="F300" s="122">
        <f t="shared" si="63"/>
        <v>7.0000000000000007E-2</v>
      </c>
      <c r="G300" s="126">
        <f>Table6570748[[#This Row],[Employed Persons:
Males]]*Table6570748[[#This Row],[Smoking Prevalence:
Males]]</f>
        <v>535173</v>
      </c>
      <c r="H300" s="126">
        <f>Table6570748[[#This Row],[Employed Persons:
Females]]*Table6570748[[#This Row],[Smoking Prevalence:
Females]]</f>
        <v>58870.000000000007</v>
      </c>
      <c r="I300" s="51">
        <f>$C$16*Table6570748[[#This Row],[Employed Smokers:
Males]]*D$29</f>
        <v>227236749.39857146</v>
      </c>
      <c r="J300" s="15">
        <f>$C$16*Table6570748[[#This Row],[Employed Smokers:
Females]]*E$29</f>
        <v>16112859.16666667</v>
      </c>
      <c r="K300" s="15">
        <f>Table6570748[[#This Row],[Smoking Breaks (Costs):
Males]]+Table6570748[[#This Row],[Smoking Breaks (Costs):
Females]]</f>
        <v>243349608.56523812</v>
      </c>
      <c r="L300" s="132">
        <v>-1.2411482254697298E-2</v>
      </c>
      <c r="M300" s="136">
        <f>M299*(1+Table6570748[[#This Row],[Relative Change in Smoking Prevalence:
All Interventions Combined]])</f>
        <v>0.37128339632184804</v>
      </c>
      <c r="N300" s="136">
        <f>N299*(1+Table6570748[[#This Row],[Relative Change in Smoking Prevalence:
All Interventions Combined]])</f>
        <v>4.5596206565840999E-2</v>
      </c>
      <c r="O300" s="139">
        <f>Table6570748[[#This Row],[Employed Persons:
Males]]*Table6570748[[#This Row],[Smoking Prevalence Associated with Intervention: Males]]</f>
        <v>348597.98080658313</v>
      </c>
      <c r="P300" s="139">
        <f>Table6570748[[#This Row],[Employed Persons:
Females]]*Table6570748[[#This Row],[Smoking Prevalence Associated with Intervention: Females]]</f>
        <v>38346.409721872282</v>
      </c>
      <c r="Q300" s="142">
        <f t="shared" si="64"/>
        <v>148016196.64182153</v>
      </c>
      <c r="R300" s="142">
        <f t="shared" si="65"/>
        <v>10495503.641851973</v>
      </c>
      <c r="S300" s="142">
        <f>Table6570748[[#This Row],[Smoking Breaks (Costs) - Intervention Scenario:
Males]]+Table6570748[[#This Row],[Smoking Breaks (Costs) - Intervention Scenario:
Females]]</f>
        <v>158511700.2836735</v>
      </c>
      <c r="T300" s="145">
        <f>Table6570748[[#This Row],[Smoking Breaks (Costs):
Males]]-Table6570748[[#This Row],[Smoking Breaks (Costs) - Intervention Scenario:
Males]]</f>
        <v>79220552.756749928</v>
      </c>
      <c r="U300" s="145">
        <f>Table6570748[[#This Row],[Smoking Breaks (Costs):
Females]]-Table6570748[[#This Row],[Smoking Breaks (Costs) - Intervention Scenario:
Females]]</f>
        <v>5617355.524814697</v>
      </c>
      <c r="V300" s="145">
        <f>Table6570748[[#This Row],[Smoking Breaks (Costs):
Total]]-Table6570748[[#This Row],[Smoking Breaks (Costs) - Intervention Scenario:
Total]]</f>
        <v>84837908.281564623</v>
      </c>
    </row>
    <row r="301" spans="2:22" customFormat="1">
      <c r="B301" s="54">
        <v>13</v>
      </c>
      <c r="C301" s="125">
        <f t="shared" si="60"/>
        <v>938900</v>
      </c>
      <c r="D301" s="125">
        <f t="shared" si="61"/>
        <v>841000</v>
      </c>
      <c r="E301" s="121">
        <f t="shared" si="62"/>
        <v>0.56999999999999995</v>
      </c>
      <c r="F301" s="121">
        <f t="shared" si="63"/>
        <v>7.0000000000000007E-2</v>
      </c>
      <c r="G301" s="125">
        <f>Table6570748[[#This Row],[Employed Persons:
Males]]*Table6570748[[#This Row],[Smoking Prevalence:
Males]]</f>
        <v>535173</v>
      </c>
      <c r="H301" s="125">
        <f>Table6570748[[#This Row],[Employed Persons:
Females]]*Table6570748[[#This Row],[Smoking Prevalence:
Females]]</f>
        <v>58870.000000000007</v>
      </c>
      <c r="I301" s="50">
        <f>$C$16*Table6570748[[#This Row],[Employed Smokers:
Males]]*D$29</f>
        <v>227236749.39857146</v>
      </c>
      <c r="J301" s="15">
        <f>$C$16*Table6570748[[#This Row],[Employed Smokers:
Females]]*E$29</f>
        <v>16112859.16666667</v>
      </c>
      <c r="K301" s="15">
        <f>Table6570748[[#This Row],[Smoking Breaks (Costs):
Males]]+Table6570748[[#This Row],[Smoking Breaks (Costs):
Females]]</f>
        <v>243349608.56523812</v>
      </c>
      <c r="L301" s="132">
        <v>-1.2411482254697298E-2</v>
      </c>
      <c r="M301" s="136">
        <f>M300*(1+Table6570748[[#This Row],[Relative Change in Smoking Prevalence:
All Interventions Combined]])</f>
        <v>0.36667521903693567</v>
      </c>
      <c r="N301" s="136">
        <f>N300*(1+Table6570748[[#This Row],[Relative Change in Smoking Prevalence:
All Interventions Combined]])</f>
        <v>4.5030290057167549E-2</v>
      </c>
      <c r="O301" s="139">
        <f>Table6570748[[#This Row],[Employed Persons:
Males]]*Table6570748[[#This Row],[Smoking Prevalence Associated with Intervention: Males]]</f>
        <v>344271.36315377889</v>
      </c>
      <c r="P301" s="139">
        <f>Table6570748[[#This Row],[Employed Persons:
Females]]*Table6570748[[#This Row],[Smoking Prevalence Associated with Intervention: Females]]</f>
        <v>37870.473938077906</v>
      </c>
      <c r="Q301" s="142">
        <f t="shared" si="64"/>
        <v>146179096.24379376</v>
      </c>
      <c r="R301" s="142">
        <f t="shared" si="65"/>
        <v>10365238.884647014</v>
      </c>
      <c r="S301" s="142">
        <f>Table6570748[[#This Row],[Smoking Breaks (Costs) - Intervention Scenario:
Males]]+Table6570748[[#This Row],[Smoking Breaks (Costs) - Intervention Scenario:
Females]]</f>
        <v>156544335.12844077</v>
      </c>
      <c r="T301" s="145">
        <f>Table6570748[[#This Row],[Smoking Breaks (Costs):
Males]]-Table6570748[[#This Row],[Smoking Breaks (Costs) - Intervention Scenario:
Males]]</f>
        <v>81057653.154777706</v>
      </c>
      <c r="U301" s="145">
        <f>Table6570748[[#This Row],[Smoking Breaks (Costs):
Females]]-Table6570748[[#This Row],[Smoking Breaks (Costs) - Intervention Scenario:
Females]]</f>
        <v>5747620.2820196562</v>
      </c>
      <c r="V301" s="145">
        <f>Table6570748[[#This Row],[Smoking Breaks (Costs):
Total]]-Table6570748[[#This Row],[Smoking Breaks (Costs) - Intervention Scenario:
Total]]</f>
        <v>86805273.436797351</v>
      </c>
    </row>
    <row r="302" spans="2:22" customFormat="1">
      <c r="B302" s="55">
        <v>14</v>
      </c>
      <c r="C302" s="126">
        <f t="shared" si="60"/>
        <v>938900</v>
      </c>
      <c r="D302" s="126">
        <f t="shared" si="61"/>
        <v>841000</v>
      </c>
      <c r="E302" s="122">
        <f t="shared" si="62"/>
        <v>0.56999999999999995</v>
      </c>
      <c r="F302" s="122">
        <f t="shared" si="63"/>
        <v>7.0000000000000007E-2</v>
      </c>
      <c r="G302" s="126">
        <f>Table6570748[[#This Row],[Employed Persons:
Males]]*Table6570748[[#This Row],[Smoking Prevalence:
Males]]</f>
        <v>535173</v>
      </c>
      <c r="H302" s="126">
        <f>Table6570748[[#This Row],[Employed Persons:
Females]]*Table6570748[[#This Row],[Smoking Prevalence:
Females]]</f>
        <v>58870.000000000007</v>
      </c>
      <c r="I302" s="51">
        <f>$C$16*Table6570748[[#This Row],[Employed Smokers:
Males]]*D$29</f>
        <v>227236749.39857146</v>
      </c>
      <c r="J302" s="15">
        <f>$C$16*Table6570748[[#This Row],[Employed Smokers:
Females]]*E$29</f>
        <v>16112859.16666667</v>
      </c>
      <c r="K302" s="15">
        <f>Table6570748[[#This Row],[Smoking Breaks (Costs):
Males]]+Table6570748[[#This Row],[Smoking Breaks (Costs):
Females]]</f>
        <v>243349608.56523812</v>
      </c>
      <c r="L302" s="132">
        <v>-1.2411482254697298E-2</v>
      </c>
      <c r="M302" s="136">
        <f>M301*(1+Table6570748[[#This Row],[Relative Change in Smoking Prevalence:
All Interventions Combined]])</f>
        <v>0.36212423606262151</v>
      </c>
      <c r="N302" s="136">
        <f>N301*(1+Table6570748[[#This Row],[Relative Change in Smoking Prevalence:
All Interventions Combined]])</f>
        <v>4.447139741119914E-2</v>
      </c>
      <c r="O302" s="139">
        <f>Table6570748[[#This Row],[Employed Persons:
Males]]*Table6570748[[#This Row],[Smoking Prevalence Associated with Intervention: Males]]</f>
        <v>339998.44523919531</v>
      </c>
      <c r="P302" s="139">
        <f>Table6570748[[#This Row],[Employed Persons:
Females]]*Table6570748[[#This Row],[Smoking Prevalence Associated with Intervention: Females]]</f>
        <v>37400.445222818475</v>
      </c>
      <c r="Q302" s="142">
        <f t="shared" si="64"/>
        <v>144364796.98475623</v>
      </c>
      <c r="R302" s="142">
        <f t="shared" si="65"/>
        <v>10236590.906164518</v>
      </c>
      <c r="S302" s="142">
        <f>Table6570748[[#This Row],[Smoking Breaks (Costs) - Intervention Scenario:
Males]]+Table6570748[[#This Row],[Smoking Breaks (Costs) - Intervention Scenario:
Females]]</f>
        <v>154601387.89092076</v>
      </c>
      <c r="T302" s="145">
        <f>Table6570748[[#This Row],[Smoking Breaks (Costs):
Males]]-Table6570748[[#This Row],[Smoking Breaks (Costs) - Intervention Scenario:
Males]]</f>
        <v>82871952.41381523</v>
      </c>
      <c r="U302" s="145">
        <f>Table6570748[[#This Row],[Smoking Breaks (Costs):
Females]]-Table6570748[[#This Row],[Smoking Breaks (Costs) - Intervention Scenario:
Females]]</f>
        <v>5876268.2605021521</v>
      </c>
      <c r="V302" s="145">
        <f>Table6570748[[#This Row],[Smoking Breaks (Costs):
Total]]-Table6570748[[#This Row],[Smoking Breaks (Costs) - Intervention Scenario:
Total]]</f>
        <v>88748220.67431736</v>
      </c>
    </row>
    <row r="303" spans="2:22" customFormat="1">
      <c r="B303" s="56">
        <v>15</v>
      </c>
      <c r="C303" s="127">
        <f t="shared" si="60"/>
        <v>938900</v>
      </c>
      <c r="D303" s="127">
        <f t="shared" si="61"/>
        <v>841000</v>
      </c>
      <c r="E303" s="123">
        <f t="shared" si="62"/>
        <v>0.56999999999999995</v>
      </c>
      <c r="F303" s="123">
        <f t="shared" si="63"/>
        <v>7.0000000000000007E-2</v>
      </c>
      <c r="G303" s="127">
        <f>Table6570748[[#This Row],[Employed Persons:
Males]]*Table6570748[[#This Row],[Smoking Prevalence:
Males]]</f>
        <v>535173</v>
      </c>
      <c r="H303" s="127">
        <f>Table6570748[[#This Row],[Employed Persons:
Females]]*Table6570748[[#This Row],[Smoking Prevalence:
Females]]</f>
        <v>58870.000000000007</v>
      </c>
      <c r="I303" s="52">
        <f>$C$16*Table6570748[[#This Row],[Employed Smokers:
Males]]*D$29</f>
        <v>227236749.39857146</v>
      </c>
      <c r="J303" s="15">
        <f>$C$16*Table6570748[[#This Row],[Employed Smokers:
Females]]*E$29</f>
        <v>16112859.16666667</v>
      </c>
      <c r="K303" s="15">
        <f>Table6570748[[#This Row],[Smoking Breaks (Costs):
Males]]+Table6570748[[#This Row],[Smoking Breaks (Costs):
Females]]</f>
        <v>243349608.56523812</v>
      </c>
      <c r="L303" s="132">
        <v>-1.2411482254697298E-2</v>
      </c>
      <c r="M303" s="136">
        <f>M302*(1+Table6570748[[#This Row],[Relative Change in Smoking Prevalence:
All Interventions Combined]])</f>
        <v>0.35762973753273447</v>
      </c>
      <c r="N303" s="136">
        <f>N302*(1+Table6570748[[#This Row],[Relative Change in Smoking Prevalence:
All Interventions Combined]])</f>
        <v>4.3919441451388451E-2</v>
      </c>
      <c r="O303" s="139">
        <f>Table6570748[[#This Row],[Employed Persons:
Males]]*Table6570748[[#This Row],[Smoking Prevalence Associated with Intervention: Males]]</f>
        <v>335778.56056948437</v>
      </c>
      <c r="P303" s="139">
        <f>Table6570748[[#This Row],[Employed Persons:
Females]]*Table6570748[[#This Row],[Smoking Prevalence Associated with Intervention: Females]]</f>
        <v>36936.250260617686</v>
      </c>
      <c r="Q303" s="142">
        <f t="shared" si="64"/>
        <v>142573015.86877695</v>
      </c>
      <c r="R303" s="142">
        <f t="shared" si="65"/>
        <v>10109539.639784062</v>
      </c>
      <c r="S303" s="142">
        <f>Table6570748[[#This Row],[Smoking Breaks (Costs) - Intervention Scenario:
Males]]+Table6570748[[#This Row],[Smoking Breaks (Costs) - Intervention Scenario:
Females]]</f>
        <v>152682555.50856102</v>
      </c>
      <c r="T303" s="145">
        <f>Table6570748[[#This Row],[Smoking Breaks (Costs):
Males]]-Table6570748[[#This Row],[Smoking Breaks (Costs) - Intervention Scenario:
Males]]</f>
        <v>84663733.529794514</v>
      </c>
      <c r="U303" s="145">
        <f>Table6570748[[#This Row],[Smoking Breaks (Costs):
Females]]-Table6570748[[#This Row],[Smoking Breaks (Costs) - Intervention Scenario:
Females]]</f>
        <v>6003319.5268826075</v>
      </c>
      <c r="V303" s="145">
        <f>Table6570748[[#This Row],[Smoking Breaks (Costs):
Total]]-Table6570748[[#This Row],[Smoking Breaks (Costs) - Intervention Scenario:
Total]]</f>
        <v>90667053.056677103</v>
      </c>
    </row>
    <row r="304" spans="2:22" ht="17.100000000000001" customHeight="1">
      <c r="B304" s="81"/>
    </row>
    <row r="305" spans="2:22" ht="17.100000000000001" customHeight="1">
      <c r="B305" s="81"/>
    </row>
    <row r="306" spans="2:22" ht="21">
      <c r="B306" s="81" t="s">
        <v>323</v>
      </c>
    </row>
    <row r="307" spans="2:22" ht="21">
      <c r="B307" s="81"/>
    </row>
    <row r="308" spans="2:22" ht="135">
      <c r="B308" s="71" t="s">
        <v>111</v>
      </c>
      <c r="C308" s="129" t="s">
        <v>175</v>
      </c>
      <c r="D308" s="128"/>
      <c r="E308" s="128"/>
      <c r="F308" s="128"/>
      <c r="G308" s="133" t="s">
        <v>176</v>
      </c>
      <c r="H308" s="134"/>
      <c r="I308" s="134"/>
      <c r="J308" s="134"/>
      <c r="K308" s="134"/>
      <c r="L308" s="68" t="s">
        <v>110</v>
      </c>
      <c r="M308" s="74" t="s">
        <v>177</v>
      </c>
      <c r="N308" s="70"/>
      <c r="O308" s="73" t="s">
        <v>178</v>
      </c>
      <c r="P308" s="72"/>
      <c r="Q308" s="72"/>
      <c r="R308" s="72"/>
      <c r="S308" s="72"/>
      <c r="T308" s="78" t="s">
        <v>179</v>
      </c>
      <c r="U308" s="75"/>
      <c r="V308" s="75"/>
    </row>
    <row r="310" spans="2:22" ht="69" customHeight="1" thickBot="1">
      <c r="B310" s="35" t="s">
        <v>81</v>
      </c>
      <c r="C310" s="35" t="s">
        <v>157</v>
      </c>
      <c r="D310" s="35" t="s">
        <v>158</v>
      </c>
      <c r="E310" s="35" t="s">
        <v>155</v>
      </c>
      <c r="F310" s="35" t="s">
        <v>156</v>
      </c>
      <c r="G310" s="35" t="s">
        <v>159</v>
      </c>
      <c r="H310" s="35" t="s">
        <v>160</v>
      </c>
      <c r="I310" s="34" t="s">
        <v>188</v>
      </c>
      <c r="J310" s="34" t="s">
        <v>189</v>
      </c>
      <c r="K310" s="34" t="s">
        <v>190</v>
      </c>
      <c r="L310" s="63" t="s">
        <v>246</v>
      </c>
      <c r="M310" s="135" t="s">
        <v>162</v>
      </c>
      <c r="N310" s="135" t="s">
        <v>163</v>
      </c>
      <c r="O310" s="137" t="s">
        <v>164</v>
      </c>
      <c r="P310" s="137" t="s">
        <v>165</v>
      </c>
      <c r="Q310" s="137" t="s">
        <v>191</v>
      </c>
      <c r="R310" s="137" t="s">
        <v>497</v>
      </c>
      <c r="S310" s="137" t="s">
        <v>498</v>
      </c>
      <c r="T310" s="143" t="s">
        <v>173</v>
      </c>
      <c r="U310" s="143" t="s">
        <v>172</v>
      </c>
      <c r="V310" s="143" t="s">
        <v>174</v>
      </c>
    </row>
    <row r="311" spans="2:22" ht="15.75" thickTop="1">
      <c r="B311" s="53">
        <v>0</v>
      </c>
      <c r="C311" s="124">
        <f t="shared" ref="C311:C326" si="66">$D$24</f>
        <v>938900</v>
      </c>
      <c r="D311" s="124">
        <f t="shared" ref="D311:D326" si="67">$E$24</f>
        <v>841000</v>
      </c>
      <c r="E311" s="120">
        <f t="shared" ref="E311:E326" si="68">$D$25</f>
        <v>0.56999999999999995</v>
      </c>
      <c r="F311" s="120">
        <f t="shared" ref="F311:F326" si="69">$E$25</f>
        <v>7.0000000000000007E-2</v>
      </c>
      <c r="G311" s="124">
        <f>Table657074[[#This Row],[Employed Persons:
Males]]*Table657074[[#This Row],[Smoking Prevalence:
Males]]</f>
        <v>535173</v>
      </c>
      <c r="H311" s="124">
        <f>Table657074[[#This Row],[Employed Persons:
Females]]*Table657074[[#This Row],[Smoking Prevalence:
Females]]</f>
        <v>58870.000000000007</v>
      </c>
      <c r="I311" s="49">
        <f>$C$16*Table657074[[#This Row],[Employed Smokers:
Males]]*D$29</f>
        <v>227236749.39857146</v>
      </c>
      <c r="J311" s="49">
        <f>$C$16*Table657074[[#This Row],[Employed Smokers:
Females]]*E$29</f>
        <v>16112859.16666667</v>
      </c>
      <c r="K311" s="12">
        <f>Table657074[[#This Row],[Smoking Breaks (Costs):
Males]]+Table657074[[#This Row],[Smoking Breaks (Costs):
Females]]</f>
        <v>243349608.56523812</v>
      </c>
      <c r="L311" s="67"/>
      <c r="M311" s="136">
        <f>Table657074[[#This Row],[Smoking Prevalence:
Males]]</f>
        <v>0.56999999999999995</v>
      </c>
      <c r="N311" s="136">
        <f>Table657074[[#This Row],[Smoking Prevalence:
Females]]</f>
        <v>7.0000000000000007E-2</v>
      </c>
      <c r="O311" s="138">
        <f>Table657074[[#This Row],[Employed Persons:
Males]]*Table657074[[#This Row],[Smoking Prevalence Associated with Intervention: Males]]</f>
        <v>535173</v>
      </c>
      <c r="P311" s="138">
        <f>Table657074[[#This Row],[Employed Persons:
Females]]*Table657074[[#This Row],[Smoking Prevalence Associated with Intervention: Females]]</f>
        <v>58870.000000000007</v>
      </c>
      <c r="Q311" s="140">
        <f t="shared" ref="Q311:Q326" si="70">$C$16*O311*D$29</f>
        <v>227236749.39857146</v>
      </c>
      <c r="R311" s="140">
        <f t="shared" ref="R311:R326" si="71">$C$16*P311*E$29</f>
        <v>16112859.16666667</v>
      </c>
      <c r="S311" s="141">
        <f>Table657074[[#This Row],[Smoking Breaks (Costs) - Intervention Scenario:
Males]]+Table657074[[#This Row],[Smoking Breaks (Costs) - Intervention Scenario:
Females]]</f>
        <v>243349608.56523812</v>
      </c>
      <c r="T311" s="144">
        <f>Table657074[[#This Row],[Smoking Breaks (Costs):
Males]]-Table657074[[#This Row],[Smoking Breaks (Costs) - Intervention Scenario:
Males]]</f>
        <v>0</v>
      </c>
      <c r="U311" s="144">
        <f>Table657074[[#This Row],[Smoking Breaks (Costs):
Females]]-Table657074[[#This Row],[Smoking Breaks (Costs) - Intervention Scenario:
Females]]</f>
        <v>0</v>
      </c>
      <c r="V311" s="144">
        <f>Table657074[[#This Row],[Smoking Breaks (Costs):
Total]]-Table657074[[#This Row],[Smoking Breaks (Costs) - Intervention Scenario:
Total]]</f>
        <v>0</v>
      </c>
    </row>
    <row r="312" spans="2:22">
      <c r="B312" s="54">
        <v>1</v>
      </c>
      <c r="C312" s="125">
        <f t="shared" si="66"/>
        <v>938900</v>
      </c>
      <c r="D312" s="125">
        <f t="shared" si="67"/>
        <v>841000</v>
      </c>
      <c r="E312" s="121">
        <f t="shared" si="68"/>
        <v>0.56999999999999995</v>
      </c>
      <c r="F312" s="121">
        <f t="shared" si="69"/>
        <v>7.0000000000000007E-2</v>
      </c>
      <c r="G312" s="125">
        <f>Table657074[[#This Row],[Employed Persons:
Males]]*Table657074[[#This Row],[Smoking Prevalence:
Males]]</f>
        <v>535173</v>
      </c>
      <c r="H312" s="125">
        <f>Table657074[[#This Row],[Employed Persons:
Females]]*Table657074[[#This Row],[Smoking Prevalence:
Females]]</f>
        <v>58870.000000000007</v>
      </c>
      <c r="I312" s="50">
        <f>$C$16*Table657074[[#This Row],[Employed Smokers:
Males]]*D$29</f>
        <v>227236749.39857146</v>
      </c>
      <c r="J312" s="12">
        <f>$C$16*Table657074[[#This Row],[Employed Smokers:
Females]]*E$29</f>
        <v>16112859.16666667</v>
      </c>
      <c r="K312" s="12">
        <f>Table657074[[#This Row],[Smoking Breaks (Costs):
Males]]+Table657074[[#This Row],[Smoking Breaks (Costs):
Females]]</f>
        <v>243349608.56523812</v>
      </c>
      <c r="L312" s="130">
        <v>-3.6400000000000002E-2</v>
      </c>
      <c r="M312" s="136">
        <f>M311*(1+Table657074[[#This Row],[Relative Change in Smoking Prevalence:
Increase Cigarette Taxes]])</f>
        <v>0.54925199999999996</v>
      </c>
      <c r="N312" s="136">
        <f>N311*(1+Table657074[[#This Row],[Relative Change in Smoking Prevalence:
Increase Cigarette Taxes]])</f>
        <v>6.7452000000000012E-2</v>
      </c>
      <c r="O312" s="138">
        <f>Table657074[[#This Row],[Employed Persons:
Males]]*Table657074[[#This Row],[Smoking Prevalence Associated with Intervention: Males]]</f>
        <v>515692.70279999997</v>
      </c>
      <c r="P312" s="138">
        <f>Table657074[[#This Row],[Employed Persons:
Females]]*Table657074[[#This Row],[Smoking Prevalence Associated with Intervention: Females]]</f>
        <v>56727.132000000012</v>
      </c>
      <c r="Q312" s="141">
        <f t="shared" si="70"/>
        <v>218965331.72046345</v>
      </c>
      <c r="R312" s="141">
        <f t="shared" si="71"/>
        <v>15526351.093000004</v>
      </c>
      <c r="S312" s="141">
        <f>Table657074[[#This Row],[Smoking Breaks (Costs) - Intervention Scenario:
Males]]+Table657074[[#This Row],[Smoking Breaks (Costs) - Intervention Scenario:
Females]]</f>
        <v>234491682.81346345</v>
      </c>
      <c r="T312" s="144">
        <f>Table657074[[#This Row],[Smoking Breaks (Costs):
Males]]-Table657074[[#This Row],[Smoking Breaks (Costs) - Intervention Scenario:
Males]]</f>
        <v>8271417.6781080067</v>
      </c>
      <c r="U312" s="144">
        <f>Table657074[[#This Row],[Smoking Breaks (Costs):
Females]]-Table657074[[#This Row],[Smoking Breaks (Costs) - Intervention Scenario:
Females]]</f>
        <v>586508.0736666657</v>
      </c>
      <c r="V312" s="144">
        <f>Table657074[[#This Row],[Smoking Breaks (Costs):
Total]]-Table657074[[#This Row],[Smoking Breaks (Costs) - Intervention Scenario:
Total]]</f>
        <v>8857925.7517746687</v>
      </c>
    </row>
    <row r="313" spans="2:22">
      <c r="B313" s="55">
        <v>2</v>
      </c>
      <c r="C313" s="126">
        <f t="shared" si="66"/>
        <v>938900</v>
      </c>
      <c r="D313" s="126">
        <f t="shared" si="67"/>
        <v>841000</v>
      </c>
      <c r="E313" s="122">
        <f t="shared" si="68"/>
        <v>0.56999999999999995</v>
      </c>
      <c r="F313" s="122">
        <f t="shared" si="69"/>
        <v>7.0000000000000007E-2</v>
      </c>
      <c r="G313" s="126">
        <f>Table657074[[#This Row],[Employed Persons:
Males]]*Table657074[[#This Row],[Smoking Prevalence:
Males]]</f>
        <v>535173</v>
      </c>
      <c r="H313" s="126">
        <f>Table657074[[#This Row],[Employed Persons:
Females]]*Table657074[[#This Row],[Smoking Prevalence:
Females]]</f>
        <v>58870.000000000007</v>
      </c>
      <c r="I313" s="51">
        <f>$C$16*Table657074[[#This Row],[Employed Smokers:
Males]]*D$29</f>
        <v>227236749.39857146</v>
      </c>
      <c r="J313" s="12">
        <f>$C$16*Table657074[[#This Row],[Employed Smokers:
Females]]*E$29</f>
        <v>16112859.16666667</v>
      </c>
      <c r="K313" s="12">
        <f>Table657074[[#This Row],[Smoking Breaks (Costs):
Males]]+Table657074[[#This Row],[Smoking Breaks (Costs):
Females]]</f>
        <v>243349608.56523812</v>
      </c>
      <c r="L313" s="130">
        <v>-3.6400000000000002E-2</v>
      </c>
      <c r="M313" s="136">
        <f>M312*(1+Table657074[[#This Row],[Relative Change in Smoking Prevalence:
Increase Cigarette Taxes]])</f>
        <v>0.52925922719999996</v>
      </c>
      <c r="N313" s="136">
        <f>N312*(1+Table657074[[#This Row],[Relative Change in Smoking Prevalence:
Increase Cigarette Taxes]])</f>
        <v>6.499674720000001E-2</v>
      </c>
      <c r="O313" s="138">
        <f>Table657074[[#This Row],[Employed Persons:
Males]]*Table657074[[#This Row],[Smoking Prevalence Associated with Intervention: Males]]</f>
        <v>496921.48841807997</v>
      </c>
      <c r="P313" s="138">
        <f>Table657074[[#This Row],[Employed Persons:
Females]]*Table657074[[#This Row],[Smoking Prevalence Associated with Intervention: Females]]</f>
        <v>54662.264395200007</v>
      </c>
      <c r="Q313" s="141">
        <f t="shared" si="70"/>
        <v>210994993.64583856</v>
      </c>
      <c r="R313" s="141">
        <f t="shared" si="71"/>
        <v>14961191.913214803</v>
      </c>
      <c r="S313" s="141">
        <f>Table657074[[#This Row],[Smoking Breaks (Costs) - Intervention Scenario:
Males]]+Table657074[[#This Row],[Smoking Breaks (Costs) - Intervention Scenario:
Females]]</f>
        <v>225956185.55905336</v>
      </c>
      <c r="T313" s="144">
        <f>Table657074[[#This Row],[Smoking Breaks (Costs):
Males]]-Table657074[[#This Row],[Smoking Breaks (Costs) - Intervention Scenario:
Males]]</f>
        <v>16241755.752732903</v>
      </c>
      <c r="U313" s="144">
        <f>Table657074[[#This Row],[Smoking Breaks (Costs):
Females]]-Table657074[[#This Row],[Smoking Breaks (Costs) - Intervention Scenario:
Females]]</f>
        <v>1151667.253451867</v>
      </c>
      <c r="V313" s="144">
        <f>Table657074[[#This Row],[Smoking Breaks (Costs):
Total]]-Table657074[[#This Row],[Smoking Breaks (Costs) - Intervention Scenario:
Total]]</f>
        <v>17393423.006184757</v>
      </c>
    </row>
    <row r="314" spans="2:22">
      <c r="B314" s="54">
        <v>3</v>
      </c>
      <c r="C314" s="125">
        <f t="shared" si="66"/>
        <v>938900</v>
      </c>
      <c r="D314" s="125">
        <f t="shared" si="67"/>
        <v>841000</v>
      </c>
      <c r="E314" s="121">
        <f t="shared" si="68"/>
        <v>0.56999999999999995</v>
      </c>
      <c r="F314" s="121">
        <f t="shared" si="69"/>
        <v>7.0000000000000007E-2</v>
      </c>
      <c r="G314" s="125">
        <f>Table657074[[#This Row],[Employed Persons:
Males]]*Table657074[[#This Row],[Smoking Prevalence:
Males]]</f>
        <v>535173</v>
      </c>
      <c r="H314" s="125">
        <f>Table657074[[#This Row],[Employed Persons:
Females]]*Table657074[[#This Row],[Smoking Prevalence:
Females]]</f>
        <v>58870.000000000007</v>
      </c>
      <c r="I314" s="50">
        <f>$C$16*Table657074[[#This Row],[Employed Smokers:
Males]]*D$29</f>
        <v>227236749.39857146</v>
      </c>
      <c r="J314" s="12">
        <f>$C$16*Table657074[[#This Row],[Employed Smokers:
Females]]*E$29</f>
        <v>16112859.16666667</v>
      </c>
      <c r="K314" s="12">
        <f>Table657074[[#This Row],[Smoking Breaks (Costs):
Males]]+Table657074[[#This Row],[Smoking Breaks (Costs):
Females]]</f>
        <v>243349608.56523812</v>
      </c>
      <c r="L314" s="130">
        <v>-3.6400000000000002E-2</v>
      </c>
      <c r="M314" s="136">
        <f>M313*(1+Table657074[[#This Row],[Relative Change in Smoking Prevalence:
Increase Cigarette Taxes]])</f>
        <v>0.50999419132991997</v>
      </c>
      <c r="N314" s="136">
        <f>N313*(1+Table657074[[#This Row],[Relative Change in Smoking Prevalence:
Increase Cigarette Taxes]])</f>
        <v>6.2630865601920008E-2</v>
      </c>
      <c r="O314" s="138">
        <f>Table657074[[#This Row],[Employed Persons:
Males]]*Table657074[[#This Row],[Smoking Prevalence Associated with Intervention: Males]]</f>
        <v>478833.54623966187</v>
      </c>
      <c r="P314" s="138">
        <f>Table657074[[#This Row],[Employed Persons:
Females]]*Table657074[[#This Row],[Smoking Prevalence Associated with Intervention: Females]]</f>
        <v>52672.55797121473</v>
      </c>
      <c r="Q314" s="141">
        <f t="shared" si="70"/>
        <v>203314775.87713003</v>
      </c>
      <c r="R314" s="141">
        <f t="shared" si="71"/>
        <v>14416604.527573785</v>
      </c>
      <c r="S314" s="141">
        <f>Table657074[[#This Row],[Smoking Breaks (Costs) - Intervention Scenario:
Males]]+Table657074[[#This Row],[Smoking Breaks (Costs) - Intervention Scenario:
Females]]</f>
        <v>217731380.40470383</v>
      </c>
      <c r="T314" s="144">
        <f>Table657074[[#This Row],[Smoking Breaks (Costs):
Males]]-Table657074[[#This Row],[Smoking Breaks (Costs) - Intervention Scenario:
Males]]</f>
        <v>23921973.52144143</v>
      </c>
      <c r="U314" s="144">
        <f>Table657074[[#This Row],[Smoking Breaks (Costs):
Females]]-Table657074[[#This Row],[Smoking Breaks (Costs) - Intervention Scenario:
Females]]</f>
        <v>1696254.639092885</v>
      </c>
      <c r="V314" s="144">
        <f>Table657074[[#This Row],[Smoking Breaks (Costs):
Total]]-Table657074[[#This Row],[Smoking Breaks (Costs) - Intervention Scenario:
Total]]</f>
        <v>25618228.160534292</v>
      </c>
    </row>
    <row r="315" spans="2:22">
      <c r="B315" s="55">
        <v>4</v>
      </c>
      <c r="C315" s="126">
        <f t="shared" si="66"/>
        <v>938900</v>
      </c>
      <c r="D315" s="126">
        <f t="shared" si="67"/>
        <v>841000</v>
      </c>
      <c r="E315" s="122">
        <f t="shared" si="68"/>
        <v>0.56999999999999995</v>
      </c>
      <c r="F315" s="122">
        <f t="shared" si="69"/>
        <v>7.0000000000000007E-2</v>
      </c>
      <c r="G315" s="126">
        <f>Table657074[[#This Row],[Employed Persons:
Males]]*Table657074[[#This Row],[Smoking Prevalence:
Males]]</f>
        <v>535173</v>
      </c>
      <c r="H315" s="126">
        <f>Table657074[[#This Row],[Employed Persons:
Females]]*Table657074[[#This Row],[Smoking Prevalence:
Females]]</f>
        <v>58870.000000000007</v>
      </c>
      <c r="I315" s="51">
        <f>$C$16*Table657074[[#This Row],[Employed Smokers:
Males]]*D$29</f>
        <v>227236749.39857146</v>
      </c>
      <c r="J315" s="12">
        <f>$C$16*Table657074[[#This Row],[Employed Smokers:
Females]]*E$29</f>
        <v>16112859.16666667</v>
      </c>
      <c r="K315" s="12">
        <f>Table657074[[#This Row],[Smoking Breaks (Costs):
Males]]+Table657074[[#This Row],[Smoking Breaks (Costs):
Females]]</f>
        <v>243349608.56523812</v>
      </c>
      <c r="L315" s="130">
        <v>-3.6400000000000002E-2</v>
      </c>
      <c r="M315" s="136">
        <f>M314*(1+Table657074[[#This Row],[Relative Change in Smoking Prevalence:
Increase Cigarette Taxes]])</f>
        <v>0.49143040276551087</v>
      </c>
      <c r="N315" s="136">
        <f>N314*(1+Table657074[[#This Row],[Relative Change in Smoking Prevalence:
Increase Cigarette Taxes]])</f>
        <v>6.0351102094010123E-2</v>
      </c>
      <c r="O315" s="138">
        <f>Table657074[[#This Row],[Employed Persons:
Males]]*Table657074[[#This Row],[Smoking Prevalence Associated with Intervention: Males]]</f>
        <v>461404.00515653816</v>
      </c>
      <c r="P315" s="138">
        <f>Table657074[[#This Row],[Employed Persons:
Females]]*Table657074[[#This Row],[Smoking Prevalence Associated with Intervention: Females]]</f>
        <v>50755.276861062513</v>
      </c>
      <c r="Q315" s="141">
        <f t="shared" si="70"/>
        <v>195914118.0352025</v>
      </c>
      <c r="R315" s="141">
        <f t="shared" si="71"/>
        <v>13891840.122770097</v>
      </c>
      <c r="S315" s="141">
        <f>Table657074[[#This Row],[Smoking Breaks (Costs) - Intervention Scenario:
Males]]+Table657074[[#This Row],[Smoking Breaks (Costs) - Intervention Scenario:
Females]]</f>
        <v>209805958.1579726</v>
      </c>
      <c r="T315" s="144">
        <f>Table657074[[#This Row],[Smoking Breaks (Costs):
Males]]-Table657074[[#This Row],[Smoking Breaks (Costs) - Intervention Scenario:
Males]]</f>
        <v>31322631.363368958</v>
      </c>
      <c r="U315" s="144">
        <f>Table657074[[#This Row],[Smoking Breaks (Costs):
Females]]-Table657074[[#This Row],[Smoking Breaks (Costs) - Intervention Scenario:
Females]]</f>
        <v>2221019.0438965727</v>
      </c>
      <c r="V315" s="144">
        <f>Table657074[[#This Row],[Smoking Breaks (Costs):
Total]]-Table657074[[#This Row],[Smoking Breaks (Costs) - Intervention Scenario:
Total]]</f>
        <v>33543650.407265514</v>
      </c>
    </row>
    <row r="316" spans="2:22" customFormat="1">
      <c r="B316" s="54">
        <v>5</v>
      </c>
      <c r="C316" s="125">
        <f t="shared" si="66"/>
        <v>938900</v>
      </c>
      <c r="D316" s="125">
        <f t="shared" si="67"/>
        <v>841000</v>
      </c>
      <c r="E316" s="121">
        <f t="shared" si="68"/>
        <v>0.56999999999999995</v>
      </c>
      <c r="F316" s="121">
        <f t="shared" si="69"/>
        <v>7.0000000000000007E-2</v>
      </c>
      <c r="G316" s="125">
        <f>Table657074[[#This Row],[Employed Persons:
Males]]*Table657074[[#This Row],[Smoking Prevalence:
Males]]</f>
        <v>535173</v>
      </c>
      <c r="H316" s="125">
        <f>Table657074[[#This Row],[Employed Persons:
Females]]*Table657074[[#This Row],[Smoking Prevalence:
Females]]</f>
        <v>58870.000000000007</v>
      </c>
      <c r="I316" s="50">
        <f>$C$16*Table657074[[#This Row],[Employed Smokers:
Males]]*D$29</f>
        <v>227236749.39857146</v>
      </c>
      <c r="J316" s="15">
        <f>$C$16*Table657074[[#This Row],[Employed Smokers:
Females]]*E$29</f>
        <v>16112859.16666667</v>
      </c>
      <c r="K316" s="15">
        <f>Table657074[[#This Row],[Smoking Breaks (Costs):
Males]]+Table657074[[#This Row],[Smoking Breaks (Costs):
Females]]</f>
        <v>243349608.56523812</v>
      </c>
      <c r="L316" s="131">
        <v>-3.6400000000000002E-2</v>
      </c>
      <c r="M316" s="136">
        <f>M315*(1+Table657074[[#This Row],[Relative Change in Smoking Prevalence:
Increase Cigarette Taxes]])</f>
        <v>0.47354233610484625</v>
      </c>
      <c r="N316" s="136">
        <f>N315*(1+Table657074[[#This Row],[Relative Change in Smoking Prevalence:
Increase Cigarette Taxes]])</f>
        <v>5.8154321977788158E-2</v>
      </c>
      <c r="O316" s="139">
        <f>Table657074[[#This Row],[Employed Persons:
Males]]*Table657074[[#This Row],[Smoking Prevalence Associated with Intervention: Males]]</f>
        <v>444608.89936884015</v>
      </c>
      <c r="P316" s="139">
        <f>Table657074[[#This Row],[Employed Persons:
Females]]*Table657074[[#This Row],[Smoking Prevalence Associated with Intervention: Females]]</f>
        <v>48907.784783319839</v>
      </c>
      <c r="Q316" s="142">
        <f t="shared" si="70"/>
        <v>188782844.13872114</v>
      </c>
      <c r="R316" s="142">
        <f t="shared" si="71"/>
        <v>13386177.142301267</v>
      </c>
      <c r="S316" s="142">
        <f>Table657074[[#This Row],[Smoking Breaks (Costs) - Intervention Scenario:
Males]]+Table657074[[#This Row],[Smoking Breaks (Costs) - Intervention Scenario:
Females]]</f>
        <v>202169021.2810224</v>
      </c>
      <c r="T316" s="145">
        <f>Table657074[[#This Row],[Smoking Breaks (Costs):
Males]]-Table657074[[#This Row],[Smoking Breaks (Costs) - Intervention Scenario:
Males]]</f>
        <v>38453905.259850323</v>
      </c>
      <c r="U316" s="145">
        <f>Table657074[[#This Row],[Smoking Breaks (Costs):
Females]]-Table657074[[#This Row],[Smoking Breaks (Costs) - Intervention Scenario:
Females]]</f>
        <v>2726682.0243654028</v>
      </c>
      <c r="V316" s="145">
        <f>Table657074[[#This Row],[Smoking Breaks (Costs):
Total]]-Table657074[[#This Row],[Smoking Breaks (Costs) - Intervention Scenario:
Total]]</f>
        <v>41180587.284215719</v>
      </c>
    </row>
    <row r="317" spans="2:22" customFormat="1">
      <c r="B317" s="55">
        <v>6</v>
      </c>
      <c r="C317" s="126">
        <f t="shared" si="66"/>
        <v>938900</v>
      </c>
      <c r="D317" s="126">
        <f t="shared" si="67"/>
        <v>841000</v>
      </c>
      <c r="E317" s="122">
        <f t="shared" si="68"/>
        <v>0.56999999999999995</v>
      </c>
      <c r="F317" s="122">
        <f t="shared" si="69"/>
        <v>7.0000000000000007E-2</v>
      </c>
      <c r="G317" s="126">
        <f>Table657074[[#This Row],[Employed Persons:
Males]]*Table657074[[#This Row],[Smoking Prevalence:
Males]]</f>
        <v>535173</v>
      </c>
      <c r="H317" s="126">
        <f>Table657074[[#This Row],[Employed Persons:
Females]]*Table657074[[#This Row],[Smoking Prevalence:
Females]]</f>
        <v>58870.000000000007</v>
      </c>
      <c r="I317" s="51">
        <f>$C$16*Table657074[[#This Row],[Employed Smokers:
Males]]*D$29</f>
        <v>227236749.39857146</v>
      </c>
      <c r="J317" s="15">
        <f>$C$16*Table657074[[#This Row],[Employed Smokers:
Females]]*E$29</f>
        <v>16112859.16666667</v>
      </c>
      <c r="K317" s="15">
        <f>Table657074[[#This Row],[Smoking Breaks (Costs):
Males]]+Table657074[[#This Row],[Smoking Breaks (Costs):
Females]]</f>
        <v>243349608.56523812</v>
      </c>
      <c r="L317" s="132">
        <v>-9.1000000000000022E-3</v>
      </c>
      <c r="M317" s="136">
        <f>M316*(1+Table657074[[#This Row],[Relative Change in Smoking Prevalence:
Increase Cigarette Taxes]])</f>
        <v>0.46923310084629216</v>
      </c>
      <c r="N317" s="136">
        <f>N316*(1+Table657074[[#This Row],[Relative Change in Smoking Prevalence:
Increase Cigarette Taxes]])</f>
        <v>5.7625117647790283E-2</v>
      </c>
      <c r="O317" s="139">
        <f>Table657074[[#This Row],[Employed Persons:
Males]]*Table657074[[#This Row],[Smoking Prevalence Associated with Intervention: Males]]</f>
        <v>440562.9583845837</v>
      </c>
      <c r="P317" s="139">
        <f>Table657074[[#This Row],[Employed Persons:
Females]]*Table657074[[#This Row],[Smoking Prevalence Associated with Intervention: Females]]</f>
        <v>48462.723941791628</v>
      </c>
      <c r="Q317" s="142">
        <f t="shared" si="70"/>
        <v>187064920.25705877</v>
      </c>
      <c r="R317" s="142">
        <f t="shared" si="71"/>
        <v>13264362.930306325</v>
      </c>
      <c r="S317" s="142">
        <f>Table657074[[#This Row],[Smoking Breaks (Costs) - Intervention Scenario:
Males]]+Table657074[[#This Row],[Smoking Breaks (Costs) - Intervention Scenario:
Females]]</f>
        <v>200329283.18736508</v>
      </c>
      <c r="T317" s="145">
        <f>Table657074[[#This Row],[Smoking Breaks (Costs):
Males]]-Table657074[[#This Row],[Smoking Breaks (Costs) - Intervention Scenario:
Males]]</f>
        <v>40171829.141512692</v>
      </c>
      <c r="U317" s="145">
        <f>Table657074[[#This Row],[Smoking Breaks (Costs):
Females]]-Table657074[[#This Row],[Smoking Breaks (Costs) - Intervention Scenario:
Females]]</f>
        <v>2848496.236360345</v>
      </c>
      <c r="V317" s="145">
        <f>Table657074[[#This Row],[Smoking Breaks (Costs):
Total]]-Table657074[[#This Row],[Smoking Breaks (Costs) - Intervention Scenario:
Total]]</f>
        <v>43020325.377873033</v>
      </c>
    </row>
    <row r="318" spans="2:22" customFormat="1">
      <c r="B318" s="54">
        <v>7</v>
      </c>
      <c r="C318" s="125">
        <f t="shared" si="66"/>
        <v>938900</v>
      </c>
      <c r="D318" s="125">
        <f t="shared" si="67"/>
        <v>841000</v>
      </c>
      <c r="E318" s="121">
        <f t="shared" si="68"/>
        <v>0.56999999999999995</v>
      </c>
      <c r="F318" s="121">
        <f t="shared" si="69"/>
        <v>7.0000000000000007E-2</v>
      </c>
      <c r="G318" s="125">
        <f>Table657074[[#This Row],[Employed Persons:
Males]]*Table657074[[#This Row],[Smoking Prevalence:
Males]]</f>
        <v>535173</v>
      </c>
      <c r="H318" s="125">
        <f>Table657074[[#This Row],[Employed Persons:
Females]]*Table657074[[#This Row],[Smoking Prevalence:
Females]]</f>
        <v>58870.000000000007</v>
      </c>
      <c r="I318" s="50">
        <f>$C$16*Table657074[[#This Row],[Employed Smokers:
Males]]*D$29</f>
        <v>227236749.39857146</v>
      </c>
      <c r="J318" s="15">
        <f>$C$16*Table657074[[#This Row],[Employed Smokers:
Females]]*E$29</f>
        <v>16112859.16666667</v>
      </c>
      <c r="K318" s="15">
        <f>Table657074[[#This Row],[Smoking Breaks (Costs):
Males]]+Table657074[[#This Row],[Smoking Breaks (Costs):
Females]]</f>
        <v>243349608.56523812</v>
      </c>
      <c r="L318" s="132">
        <v>-9.1000000000000022E-3</v>
      </c>
      <c r="M318" s="136">
        <f>M317*(1+Table657074[[#This Row],[Relative Change in Smoking Prevalence:
Increase Cigarette Taxes]])</f>
        <v>0.4649630796285909</v>
      </c>
      <c r="N318" s="136">
        <f>N317*(1+Table657074[[#This Row],[Relative Change in Smoking Prevalence:
Increase Cigarette Taxes]])</f>
        <v>5.7100729077195392E-2</v>
      </c>
      <c r="O318" s="139">
        <f>Table657074[[#This Row],[Employed Persons:
Males]]*Table657074[[#This Row],[Smoking Prevalence Associated with Intervention: Males]]</f>
        <v>436553.83546328399</v>
      </c>
      <c r="P318" s="139">
        <f>Table657074[[#This Row],[Employed Persons:
Females]]*Table657074[[#This Row],[Smoking Prevalence Associated with Intervention: Females]]</f>
        <v>48021.713153921322</v>
      </c>
      <c r="Q318" s="142">
        <f t="shared" si="70"/>
        <v>185362629.48271954</v>
      </c>
      <c r="R318" s="142">
        <f t="shared" si="71"/>
        <v>13143657.227640538</v>
      </c>
      <c r="S318" s="142">
        <f>Table657074[[#This Row],[Smoking Breaks (Costs) - Intervention Scenario:
Males]]+Table657074[[#This Row],[Smoking Breaks (Costs) - Intervention Scenario:
Females]]</f>
        <v>198506286.71036008</v>
      </c>
      <c r="T318" s="145">
        <f>Table657074[[#This Row],[Smoking Breaks (Costs):
Males]]-Table657074[[#This Row],[Smoking Breaks (Costs) - Intervention Scenario:
Males]]</f>
        <v>41874119.915851921</v>
      </c>
      <c r="U318" s="145">
        <f>Table657074[[#This Row],[Smoking Breaks (Costs):
Females]]-Table657074[[#This Row],[Smoking Breaks (Costs) - Intervention Scenario:
Females]]</f>
        <v>2969201.9390261322</v>
      </c>
      <c r="V318" s="145">
        <f>Table657074[[#This Row],[Smoking Breaks (Costs):
Total]]-Table657074[[#This Row],[Smoking Breaks (Costs) - Intervention Scenario:
Total]]</f>
        <v>44843321.854878038</v>
      </c>
    </row>
    <row r="319" spans="2:22" customFormat="1">
      <c r="B319" s="55">
        <v>8</v>
      </c>
      <c r="C319" s="126">
        <f t="shared" si="66"/>
        <v>938900</v>
      </c>
      <c r="D319" s="126">
        <f t="shared" si="67"/>
        <v>841000</v>
      </c>
      <c r="E319" s="122">
        <f t="shared" si="68"/>
        <v>0.56999999999999995</v>
      </c>
      <c r="F319" s="122">
        <f t="shared" si="69"/>
        <v>7.0000000000000007E-2</v>
      </c>
      <c r="G319" s="126">
        <f>Table657074[[#This Row],[Employed Persons:
Males]]*Table657074[[#This Row],[Smoking Prevalence:
Males]]</f>
        <v>535173</v>
      </c>
      <c r="H319" s="126">
        <f>Table657074[[#This Row],[Employed Persons:
Females]]*Table657074[[#This Row],[Smoking Prevalence:
Females]]</f>
        <v>58870.000000000007</v>
      </c>
      <c r="I319" s="51">
        <f>$C$16*Table657074[[#This Row],[Employed Smokers:
Males]]*D$29</f>
        <v>227236749.39857146</v>
      </c>
      <c r="J319" s="15">
        <f>$C$16*Table657074[[#This Row],[Employed Smokers:
Females]]*E$29</f>
        <v>16112859.16666667</v>
      </c>
      <c r="K319" s="15">
        <f>Table657074[[#This Row],[Smoking Breaks (Costs):
Males]]+Table657074[[#This Row],[Smoking Breaks (Costs):
Females]]</f>
        <v>243349608.56523812</v>
      </c>
      <c r="L319" s="132">
        <v>-9.1000000000000022E-3</v>
      </c>
      <c r="M319" s="136">
        <f>M318*(1+Table657074[[#This Row],[Relative Change in Smoking Prevalence:
Increase Cigarette Taxes]])</f>
        <v>0.46073191560397075</v>
      </c>
      <c r="N319" s="136">
        <f>N318*(1+Table657074[[#This Row],[Relative Change in Smoking Prevalence:
Increase Cigarette Taxes]])</f>
        <v>5.6581112442592917E-2</v>
      </c>
      <c r="O319" s="139">
        <f>Table657074[[#This Row],[Employed Persons:
Males]]*Table657074[[#This Row],[Smoking Prevalence Associated with Intervention: Males]]</f>
        <v>432581.19556056813</v>
      </c>
      <c r="P319" s="139">
        <f>Table657074[[#This Row],[Employed Persons:
Females]]*Table657074[[#This Row],[Smoking Prevalence Associated with Intervention: Females]]</f>
        <v>47584.715564220642</v>
      </c>
      <c r="Q319" s="142">
        <f t="shared" si="70"/>
        <v>183675829.55442679</v>
      </c>
      <c r="R319" s="142">
        <f t="shared" si="71"/>
        <v>13024049.946869008</v>
      </c>
      <c r="S319" s="142">
        <f>Table657074[[#This Row],[Smoking Breaks (Costs) - Intervention Scenario:
Males]]+Table657074[[#This Row],[Smoking Breaks (Costs) - Intervention Scenario:
Females]]</f>
        <v>196699879.5012958</v>
      </c>
      <c r="T319" s="145">
        <f>Table657074[[#This Row],[Smoking Breaks (Costs):
Males]]-Table657074[[#This Row],[Smoking Breaks (Costs) - Intervention Scenario:
Males]]</f>
        <v>43560919.844144672</v>
      </c>
      <c r="U319" s="145">
        <f>Table657074[[#This Row],[Smoking Breaks (Costs):
Females]]-Table657074[[#This Row],[Smoking Breaks (Costs) - Intervention Scenario:
Females]]</f>
        <v>3088809.2197976615</v>
      </c>
      <c r="V319" s="145">
        <f>Table657074[[#This Row],[Smoking Breaks (Costs):
Total]]-Table657074[[#This Row],[Smoking Breaks (Costs) - Intervention Scenario:
Total]]</f>
        <v>46649729.063942313</v>
      </c>
    </row>
    <row r="320" spans="2:22" customFormat="1">
      <c r="B320" s="54">
        <v>9</v>
      </c>
      <c r="C320" s="125">
        <f t="shared" si="66"/>
        <v>938900</v>
      </c>
      <c r="D320" s="125">
        <f t="shared" si="67"/>
        <v>841000</v>
      </c>
      <c r="E320" s="121">
        <f t="shared" si="68"/>
        <v>0.56999999999999995</v>
      </c>
      <c r="F320" s="121">
        <f t="shared" si="69"/>
        <v>7.0000000000000007E-2</v>
      </c>
      <c r="G320" s="125">
        <f>Table657074[[#This Row],[Employed Persons:
Males]]*Table657074[[#This Row],[Smoking Prevalence:
Males]]</f>
        <v>535173</v>
      </c>
      <c r="H320" s="125">
        <f>Table657074[[#This Row],[Employed Persons:
Females]]*Table657074[[#This Row],[Smoking Prevalence:
Females]]</f>
        <v>58870.000000000007</v>
      </c>
      <c r="I320" s="50">
        <f>$C$16*Table657074[[#This Row],[Employed Smokers:
Males]]*D$29</f>
        <v>227236749.39857146</v>
      </c>
      <c r="J320" s="15">
        <f>$C$16*Table657074[[#This Row],[Employed Smokers:
Females]]*E$29</f>
        <v>16112859.16666667</v>
      </c>
      <c r="K320" s="15">
        <f>Table657074[[#This Row],[Smoking Breaks (Costs):
Males]]+Table657074[[#This Row],[Smoking Breaks (Costs):
Females]]</f>
        <v>243349608.56523812</v>
      </c>
      <c r="L320" s="132">
        <v>-9.1000000000000022E-3</v>
      </c>
      <c r="M320" s="136">
        <f>M319*(1+Table657074[[#This Row],[Relative Change in Smoking Prevalence:
Increase Cigarette Taxes]])</f>
        <v>0.45653925517197463</v>
      </c>
      <c r="N320" s="136">
        <f>N319*(1+Table657074[[#This Row],[Relative Change in Smoking Prevalence:
Increase Cigarette Taxes]])</f>
        <v>5.6066224319365324E-2</v>
      </c>
      <c r="O320" s="139">
        <f>Table657074[[#This Row],[Employed Persons:
Males]]*Table657074[[#This Row],[Smoking Prevalence Associated with Intervention: Males]]</f>
        <v>428644.70668096701</v>
      </c>
      <c r="P320" s="139">
        <f>Table657074[[#This Row],[Employed Persons:
Females]]*Table657074[[#This Row],[Smoking Prevalence Associated with Intervention: Females]]</f>
        <v>47151.694652586237</v>
      </c>
      <c r="Q320" s="142">
        <f t="shared" si="70"/>
        <v>182004379.50548154</v>
      </c>
      <c r="R320" s="142">
        <f t="shared" si="71"/>
        <v>12905531.092352502</v>
      </c>
      <c r="S320" s="142">
        <f>Table657074[[#This Row],[Smoking Breaks (Costs) - Intervention Scenario:
Males]]+Table657074[[#This Row],[Smoking Breaks (Costs) - Intervention Scenario:
Females]]</f>
        <v>194909910.59783405</v>
      </c>
      <c r="T320" s="145">
        <f>Table657074[[#This Row],[Smoking Breaks (Costs):
Males]]-Table657074[[#This Row],[Smoking Breaks (Costs) - Intervention Scenario:
Males]]</f>
        <v>45232369.89308992</v>
      </c>
      <c r="U320" s="145">
        <f>Table657074[[#This Row],[Smoking Breaks (Costs):
Females]]-Table657074[[#This Row],[Smoking Breaks (Costs) - Intervention Scenario:
Females]]</f>
        <v>3207328.0743141677</v>
      </c>
      <c r="V320" s="145">
        <f>Table657074[[#This Row],[Smoking Breaks (Costs):
Total]]-Table657074[[#This Row],[Smoking Breaks (Costs) - Intervention Scenario:
Total]]</f>
        <v>48439697.967404068</v>
      </c>
    </row>
    <row r="321" spans="2:22" customFormat="1">
      <c r="B321" s="55">
        <v>10</v>
      </c>
      <c r="C321" s="126">
        <f t="shared" si="66"/>
        <v>938900</v>
      </c>
      <c r="D321" s="126">
        <f t="shared" si="67"/>
        <v>841000</v>
      </c>
      <c r="E321" s="122">
        <f t="shared" si="68"/>
        <v>0.56999999999999995</v>
      </c>
      <c r="F321" s="122">
        <f t="shared" si="69"/>
        <v>7.0000000000000007E-2</v>
      </c>
      <c r="G321" s="126">
        <f>Table657074[[#This Row],[Employed Persons:
Males]]*Table657074[[#This Row],[Smoking Prevalence:
Males]]</f>
        <v>535173</v>
      </c>
      <c r="H321" s="126">
        <f>Table657074[[#This Row],[Employed Persons:
Females]]*Table657074[[#This Row],[Smoking Prevalence:
Females]]</f>
        <v>58870.000000000007</v>
      </c>
      <c r="I321" s="51">
        <f>$C$16*Table657074[[#This Row],[Employed Smokers:
Males]]*D$29</f>
        <v>227236749.39857146</v>
      </c>
      <c r="J321" s="15">
        <f>$C$16*Table657074[[#This Row],[Employed Smokers:
Females]]*E$29</f>
        <v>16112859.16666667</v>
      </c>
      <c r="K321" s="15">
        <f>Table657074[[#This Row],[Smoking Breaks (Costs):
Males]]+Table657074[[#This Row],[Smoking Breaks (Costs):
Females]]</f>
        <v>243349608.56523812</v>
      </c>
      <c r="L321" s="132">
        <v>-9.1000000000000022E-3</v>
      </c>
      <c r="M321" s="136">
        <f>M320*(1+Table657074[[#This Row],[Relative Change in Smoking Prevalence:
Increase Cigarette Taxes]])</f>
        <v>0.45238474794990968</v>
      </c>
      <c r="N321" s="136">
        <f>N320*(1+Table657074[[#This Row],[Relative Change in Smoking Prevalence:
Increase Cigarette Taxes]])</f>
        <v>5.5556021678059099E-2</v>
      </c>
      <c r="O321" s="139">
        <f>Table657074[[#This Row],[Employed Persons:
Males]]*Table657074[[#This Row],[Smoking Prevalence Associated with Intervention: Males]]</f>
        <v>424744.0398501702</v>
      </c>
      <c r="P321" s="139">
        <f>Table657074[[#This Row],[Employed Persons:
Females]]*Table657074[[#This Row],[Smoking Prevalence Associated with Intervention: Females]]</f>
        <v>46722.614231247702</v>
      </c>
      <c r="Q321" s="142">
        <f t="shared" si="70"/>
        <v>180348139.65198165</v>
      </c>
      <c r="R321" s="142">
        <f t="shared" si="71"/>
        <v>12788090.759412095</v>
      </c>
      <c r="S321" s="142">
        <f>Table657074[[#This Row],[Smoking Breaks (Costs) - Intervention Scenario:
Males]]+Table657074[[#This Row],[Smoking Breaks (Costs) - Intervention Scenario:
Females]]</f>
        <v>193136230.41139376</v>
      </c>
      <c r="T321" s="145">
        <f>Table657074[[#This Row],[Smoking Breaks (Costs):
Males]]-Table657074[[#This Row],[Smoking Breaks (Costs) - Intervention Scenario:
Males]]</f>
        <v>46888609.74658981</v>
      </c>
      <c r="U321" s="145">
        <f>Table657074[[#This Row],[Smoking Breaks (Costs):
Females]]-Table657074[[#This Row],[Smoking Breaks (Costs) - Intervention Scenario:
Females]]</f>
        <v>3324768.4072545748</v>
      </c>
      <c r="V321" s="145">
        <f>Table657074[[#This Row],[Smoking Breaks (Costs):
Total]]-Table657074[[#This Row],[Smoking Breaks (Costs) - Intervention Scenario:
Total]]</f>
        <v>50213378.153844357</v>
      </c>
    </row>
    <row r="322" spans="2:22" customFormat="1">
      <c r="B322" s="54">
        <v>11</v>
      </c>
      <c r="C322" s="125">
        <f t="shared" si="66"/>
        <v>938900</v>
      </c>
      <c r="D322" s="125">
        <f t="shared" si="67"/>
        <v>841000</v>
      </c>
      <c r="E322" s="121">
        <f t="shared" si="68"/>
        <v>0.56999999999999995</v>
      </c>
      <c r="F322" s="121">
        <f t="shared" si="69"/>
        <v>7.0000000000000007E-2</v>
      </c>
      <c r="G322" s="125">
        <f>Table657074[[#This Row],[Employed Persons:
Males]]*Table657074[[#This Row],[Smoking Prevalence:
Males]]</f>
        <v>535173</v>
      </c>
      <c r="H322" s="125">
        <f>Table657074[[#This Row],[Employed Persons:
Females]]*Table657074[[#This Row],[Smoking Prevalence:
Females]]</f>
        <v>58870.000000000007</v>
      </c>
      <c r="I322" s="50">
        <f>$C$16*Table657074[[#This Row],[Employed Smokers:
Males]]*D$29</f>
        <v>227236749.39857146</v>
      </c>
      <c r="J322" s="15">
        <f>$C$16*Table657074[[#This Row],[Employed Smokers:
Females]]*E$29</f>
        <v>16112859.16666667</v>
      </c>
      <c r="K322" s="15">
        <f>Table657074[[#This Row],[Smoking Breaks (Costs):
Males]]+Table657074[[#This Row],[Smoking Breaks (Costs):
Females]]</f>
        <v>243349608.56523812</v>
      </c>
      <c r="L322" s="132">
        <v>-9.1000000000000022E-3</v>
      </c>
      <c r="M322" s="136">
        <f>M321*(1+Table657074[[#This Row],[Relative Change in Smoking Prevalence:
Increase Cigarette Taxes]])</f>
        <v>0.44826804674356552</v>
      </c>
      <c r="N322" s="136">
        <f>N321*(1+Table657074[[#This Row],[Relative Change in Smoking Prevalence:
Increase Cigarette Taxes]])</f>
        <v>5.5050461880788763E-2</v>
      </c>
      <c r="O322" s="139">
        <f>Table657074[[#This Row],[Employed Persons:
Males]]*Table657074[[#This Row],[Smoking Prevalence Associated with Intervention: Males]]</f>
        <v>420878.86908753368</v>
      </c>
      <c r="P322" s="139">
        <f>Table657074[[#This Row],[Employed Persons:
Females]]*Table657074[[#This Row],[Smoking Prevalence Associated with Intervention: Females]]</f>
        <v>46297.438441743347</v>
      </c>
      <c r="Q322" s="142">
        <f t="shared" si="70"/>
        <v>178706971.58114862</v>
      </c>
      <c r="R322" s="142">
        <f t="shared" si="71"/>
        <v>12671719.133501446</v>
      </c>
      <c r="S322" s="142">
        <f>Table657074[[#This Row],[Smoking Breaks (Costs) - Intervention Scenario:
Males]]+Table657074[[#This Row],[Smoking Breaks (Costs) - Intervention Scenario:
Females]]</f>
        <v>191378690.71465006</v>
      </c>
      <c r="T322" s="145">
        <f>Table657074[[#This Row],[Smoking Breaks (Costs):
Males]]-Table657074[[#This Row],[Smoking Breaks (Costs) - Intervention Scenario:
Males]]</f>
        <v>48529777.817422837</v>
      </c>
      <c r="U322" s="145">
        <f>Table657074[[#This Row],[Smoking Breaks (Costs):
Females]]-Table657074[[#This Row],[Smoking Breaks (Costs) - Intervention Scenario:
Females]]</f>
        <v>3441140.0331652239</v>
      </c>
      <c r="V322" s="145">
        <f>Table657074[[#This Row],[Smoking Breaks (Costs):
Total]]-Table657074[[#This Row],[Smoking Breaks (Costs) - Intervention Scenario:
Total]]</f>
        <v>51970917.850588053</v>
      </c>
    </row>
    <row r="323" spans="2:22" customFormat="1">
      <c r="B323" s="55">
        <v>12</v>
      </c>
      <c r="C323" s="126">
        <f t="shared" si="66"/>
        <v>938900</v>
      </c>
      <c r="D323" s="126">
        <f t="shared" si="67"/>
        <v>841000</v>
      </c>
      <c r="E323" s="122">
        <f t="shared" si="68"/>
        <v>0.56999999999999995</v>
      </c>
      <c r="F323" s="122">
        <f t="shared" si="69"/>
        <v>7.0000000000000007E-2</v>
      </c>
      <c r="G323" s="126">
        <f>Table657074[[#This Row],[Employed Persons:
Males]]*Table657074[[#This Row],[Smoking Prevalence:
Males]]</f>
        <v>535173</v>
      </c>
      <c r="H323" s="126">
        <f>Table657074[[#This Row],[Employed Persons:
Females]]*Table657074[[#This Row],[Smoking Prevalence:
Females]]</f>
        <v>58870.000000000007</v>
      </c>
      <c r="I323" s="51">
        <f>$C$16*Table657074[[#This Row],[Employed Smokers:
Males]]*D$29</f>
        <v>227236749.39857146</v>
      </c>
      <c r="J323" s="15">
        <f>$C$16*Table657074[[#This Row],[Employed Smokers:
Females]]*E$29</f>
        <v>16112859.16666667</v>
      </c>
      <c r="K323" s="15">
        <f>Table657074[[#This Row],[Smoking Breaks (Costs):
Males]]+Table657074[[#This Row],[Smoking Breaks (Costs):
Females]]</f>
        <v>243349608.56523812</v>
      </c>
      <c r="L323" s="132">
        <v>-9.1000000000000022E-3</v>
      </c>
      <c r="M323" s="136">
        <f>M322*(1+Table657074[[#This Row],[Relative Change in Smoking Prevalence:
Increase Cigarette Taxes]])</f>
        <v>0.44418880751819906</v>
      </c>
      <c r="N323" s="136">
        <f>N322*(1+Table657074[[#This Row],[Relative Change in Smoking Prevalence:
Increase Cigarette Taxes]])</f>
        <v>5.4549502677673584E-2</v>
      </c>
      <c r="O323" s="139">
        <f>Table657074[[#This Row],[Employed Persons:
Males]]*Table657074[[#This Row],[Smoking Prevalence Associated with Intervention: Males]]</f>
        <v>417048.8713788371</v>
      </c>
      <c r="P323" s="139">
        <f>Table657074[[#This Row],[Employed Persons:
Females]]*Table657074[[#This Row],[Smoking Prevalence Associated with Intervention: Females]]</f>
        <v>45876.131751923487</v>
      </c>
      <c r="Q323" s="142">
        <f t="shared" si="70"/>
        <v>177080738.13976017</v>
      </c>
      <c r="R323" s="142">
        <f t="shared" si="71"/>
        <v>12556406.489386583</v>
      </c>
      <c r="S323" s="142">
        <f>Table657074[[#This Row],[Smoking Breaks (Costs) - Intervention Scenario:
Males]]+Table657074[[#This Row],[Smoking Breaks (Costs) - Intervention Scenario:
Females]]</f>
        <v>189637144.62914675</v>
      </c>
      <c r="T323" s="145">
        <f>Table657074[[#This Row],[Smoking Breaks (Costs):
Males]]-Table657074[[#This Row],[Smoking Breaks (Costs) - Intervention Scenario:
Males]]</f>
        <v>50156011.258811295</v>
      </c>
      <c r="U323" s="145">
        <f>Table657074[[#This Row],[Smoking Breaks (Costs):
Females]]-Table657074[[#This Row],[Smoking Breaks (Costs) - Intervention Scenario:
Females]]</f>
        <v>3556452.677280087</v>
      </c>
      <c r="V323" s="145">
        <f>Table657074[[#This Row],[Smoking Breaks (Costs):
Total]]-Table657074[[#This Row],[Smoking Breaks (Costs) - Intervention Scenario:
Total]]</f>
        <v>53712463.936091363</v>
      </c>
    </row>
    <row r="324" spans="2:22" customFormat="1">
      <c r="B324" s="54">
        <v>13</v>
      </c>
      <c r="C324" s="125">
        <f t="shared" si="66"/>
        <v>938900</v>
      </c>
      <c r="D324" s="125">
        <f t="shared" si="67"/>
        <v>841000</v>
      </c>
      <c r="E324" s="121">
        <f t="shared" si="68"/>
        <v>0.56999999999999995</v>
      </c>
      <c r="F324" s="121">
        <f t="shared" si="69"/>
        <v>7.0000000000000007E-2</v>
      </c>
      <c r="G324" s="125">
        <f>Table657074[[#This Row],[Employed Persons:
Males]]*Table657074[[#This Row],[Smoking Prevalence:
Males]]</f>
        <v>535173</v>
      </c>
      <c r="H324" s="125">
        <f>Table657074[[#This Row],[Employed Persons:
Females]]*Table657074[[#This Row],[Smoking Prevalence:
Females]]</f>
        <v>58870.000000000007</v>
      </c>
      <c r="I324" s="50">
        <f>$C$16*Table657074[[#This Row],[Employed Smokers:
Males]]*D$29</f>
        <v>227236749.39857146</v>
      </c>
      <c r="J324" s="15">
        <f>$C$16*Table657074[[#This Row],[Employed Smokers:
Females]]*E$29</f>
        <v>16112859.16666667</v>
      </c>
      <c r="K324" s="15">
        <f>Table657074[[#This Row],[Smoking Breaks (Costs):
Males]]+Table657074[[#This Row],[Smoking Breaks (Costs):
Females]]</f>
        <v>243349608.56523812</v>
      </c>
      <c r="L324" s="132">
        <v>-9.1000000000000022E-3</v>
      </c>
      <c r="M324" s="136">
        <f>M323*(1+Table657074[[#This Row],[Relative Change in Smoking Prevalence:
Increase Cigarette Taxes]])</f>
        <v>0.44014668936978346</v>
      </c>
      <c r="N324" s="136">
        <f>N323*(1+Table657074[[#This Row],[Relative Change in Smoking Prevalence:
Increase Cigarette Taxes]])</f>
        <v>5.4053102203306752E-2</v>
      </c>
      <c r="O324" s="139">
        <f>Table657074[[#This Row],[Employed Persons:
Males]]*Table657074[[#This Row],[Smoking Prevalence Associated with Intervention: Males]]</f>
        <v>413253.72664928972</v>
      </c>
      <c r="P324" s="139">
        <f>Table657074[[#This Row],[Employed Persons:
Females]]*Table657074[[#This Row],[Smoking Prevalence Associated with Intervention: Females]]</f>
        <v>45458.658952980979</v>
      </c>
      <c r="Q324" s="142">
        <f t="shared" si="70"/>
        <v>175469303.42268836</v>
      </c>
      <c r="R324" s="142">
        <f t="shared" si="71"/>
        <v>12442143.190333163</v>
      </c>
      <c r="S324" s="142">
        <f>Table657074[[#This Row],[Smoking Breaks (Costs) - Intervention Scenario:
Males]]+Table657074[[#This Row],[Smoking Breaks (Costs) - Intervention Scenario:
Females]]</f>
        <v>187911446.61302152</v>
      </c>
      <c r="T324" s="145">
        <f>Table657074[[#This Row],[Smoking Breaks (Costs):
Males]]-Table657074[[#This Row],[Smoking Breaks (Costs) - Intervention Scenario:
Males]]</f>
        <v>51767445.975883096</v>
      </c>
      <c r="U324" s="145">
        <f>Table657074[[#This Row],[Smoking Breaks (Costs):
Females]]-Table657074[[#This Row],[Smoking Breaks (Costs) - Intervention Scenario:
Females]]</f>
        <v>3670715.9763335064</v>
      </c>
      <c r="V324" s="145">
        <f>Table657074[[#This Row],[Smoking Breaks (Costs):
Total]]-Table657074[[#This Row],[Smoking Breaks (Costs) - Intervention Scenario:
Total]]</f>
        <v>55438161.952216595</v>
      </c>
    </row>
    <row r="325" spans="2:22" customFormat="1">
      <c r="B325" s="55">
        <v>14</v>
      </c>
      <c r="C325" s="126">
        <f t="shared" si="66"/>
        <v>938900</v>
      </c>
      <c r="D325" s="126">
        <f t="shared" si="67"/>
        <v>841000</v>
      </c>
      <c r="E325" s="122">
        <f t="shared" si="68"/>
        <v>0.56999999999999995</v>
      </c>
      <c r="F325" s="122">
        <f t="shared" si="69"/>
        <v>7.0000000000000007E-2</v>
      </c>
      <c r="G325" s="126">
        <f>Table657074[[#This Row],[Employed Persons:
Males]]*Table657074[[#This Row],[Smoking Prevalence:
Males]]</f>
        <v>535173</v>
      </c>
      <c r="H325" s="126">
        <f>Table657074[[#This Row],[Employed Persons:
Females]]*Table657074[[#This Row],[Smoking Prevalence:
Females]]</f>
        <v>58870.000000000007</v>
      </c>
      <c r="I325" s="51">
        <f>$C$16*Table657074[[#This Row],[Employed Smokers:
Males]]*D$29</f>
        <v>227236749.39857146</v>
      </c>
      <c r="J325" s="15">
        <f>$C$16*Table657074[[#This Row],[Employed Smokers:
Females]]*E$29</f>
        <v>16112859.16666667</v>
      </c>
      <c r="K325" s="15">
        <f>Table657074[[#This Row],[Smoking Breaks (Costs):
Males]]+Table657074[[#This Row],[Smoking Breaks (Costs):
Females]]</f>
        <v>243349608.56523812</v>
      </c>
      <c r="L325" s="132">
        <v>-9.1000000000000022E-3</v>
      </c>
      <c r="M325" s="136">
        <f>M324*(1+Table657074[[#This Row],[Relative Change in Smoking Prevalence:
Increase Cigarette Taxes]])</f>
        <v>0.43614135449651842</v>
      </c>
      <c r="N325" s="136">
        <f>N324*(1+Table657074[[#This Row],[Relative Change in Smoking Prevalence:
Increase Cigarette Taxes]])</f>
        <v>5.3561218973256663E-2</v>
      </c>
      <c r="O325" s="139">
        <f>Table657074[[#This Row],[Employed Persons:
Males]]*Table657074[[#This Row],[Smoking Prevalence Associated with Intervention: Males]]</f>
        <v>409493.11773678113</v>
      </c>
      <c r="P325" s="139">
        <f>Table657074[[#This Row],[Employed Persons:
Females]]*Table657074[[#This Row],[Smoking Prevalence Associated with Intervention: Females]]</f>
        <v>45044.985156508854</v>
      </c>
      <c r="Q325" s="142">
        <f t="shared" si="70"/>
        <v>173872532.76154187</v>
      </c>
      <c r="R325" s="142">
        <f t="shared" si="71"/>
        <v>12328919.687301133</v>
      </c>
      <c r="S325" s="142">
        <f>Table657074[[#This Row],[Smoking Breaks (Costs) - Intervention Scenario:
Males]]+Table657074[[#This Row],[Smoking Breaks (Costs) - Intervention Scenario:
Females]]</f>
        <v>186201452.448843</v>
      </c>
      <c r="T325" s="145">
        <f>Table657074[[#This Row],[Smoking Breaks (Costs):
Males]]-Table657074[[#This Row],[Smoking Breaks (Costs) - Intervention Scenario:
Males]]</f>
        <v>53364216.637029588</v>
      </c>
      <c r="U325" s="145">
        <f>Table657074[[#This Row],[Smoking Breaks (Costs):
Females]]-Table657074[[#This Row],[Smoking Breaks (Costs) - Intervention Scenario:
Females]]</f>
        <v>3783939.4793655369</v>
      </c>
      <c r="V325" s="145">
        <f>Table657074[[#This Row],[Smoking Breaks (Costs):
Total]]-Table657074[[#This Row],[Smoking Breaks (Costs) - Intervention Scenario:
Total]]</f>
        <v>57148156.116395116</v>
      </c>
    </row>
    <row r="326" spans="2:22" customFormat="1">
      <c r="B326" s="56">
        <v>15</v>
      </c>
      <c r="C326" s="127">
        <f t="shared" si="66"/>
        <v>938900</v>
      </c>
      <c r="D326" s="127">
        <f t="shared" si="67"/>
        <v>841000</v>
      </c>
      <c r="E326" s="123">
        <f t="shared" si="68"/>
        <v>0.56999999999999995</v>
      </c>
      <c r="F326" s="123">
        <f t="shared" si="69"/>
        <v>7.0000000000000007E-2</v>
      </c>
      <c r="G326" s="127">
        <f>Table657074[[#This Row],[Employed Persons:
Males]]*Table657074[[#This Row],[Smoking Prevalence:
Males]]</f>
        <v>535173</v>
      </c>
      <c r="H326" s="127">
        <f>Table657074[[#This Row],[Employed Persons:
Females]]*Table657074[[#This Row],[Smoking Prevalence:
Females]]</f>
        <v>58870.000000000007</v>
      </c>
      <c r="I326" s="52">
        <f>$C$16*Table657074[[#This Row],[Employed Smokers:
Males]]*D$29</f>
        <v>227236749.39857146</v>
      </c>
      <c r="J326" s="15">
        <f>$C$16*Table657074[[#This Row],[Employed Smokers:
Females]]*E$29</f>
        <v>16112859.16666667</v>
      </c>
      <c r="K326" s="15">
        <f>Table657074[[#This Row],[Smoking Breaks (Costs):
Males]]+Table657074[[#This Row],[Smoking Breaks (Costs):
Females]]</f>
        <v>243349608.56523812</v>
      </c>
      <c r="L326" s="132">
        <v>-9.1000000000000022E-3</v>
      </c>
      <c r="M326" s="136">
        <f>M325*(1+Table657074[[#This Row],[Relative Change in Smoking Prevalence:
Increase Cigarette Taxes]])</f>
        <v>0.43217246817060012</v>
      </c>
      <c r="N326" s="136">
        <f>N325*(1+Table657074[[#This Row],[Relative Change in Smoking Prevalence:
Increase Cigarette Taxes]])</f>
        <v>5.3073811880600029E-2</v>
      </c>
      <c r="O326" s="139">
        <f>Table657074[[#This Row],[Employed Persons:
Males]]*Table657074[[#This Row],[Smoking Prevalence Associated with Intervention: Males]]</f>
        <v>405766.73036537645</v>
      </c>
      <c r="P326" s="139">
        <f>Table657074[[#This Row],[Employed Persons:
Females]]*Table657074[[#This Row],[Smoking Prevalence Associated with Intervention: Females]]</f>
        <v>44635.075791584626</v>
      </c>
      <c r="Q326" s="142">
        <f t="shared" si="70"/>
        <v>172290292.71341187</v>
      </c>
      <c r="R326" s="142">
        <f t="shared" si="71"/>
        <v>12216726.518146692</v>
      </c>
      <c r="S326" s="142">
        <f>Table657074[[#This Row],[Smoking Breaks (Costs) - Intervention Scenario:
Males]]+Table657074[[#This Row],[Smoking Breaks (Costs) - Intervention Scenario:
Females]]</f>
        <v>184507019.23155856</v>
      </c>
      <c r="T326" s="145">
        <f>Table657074[[#This Row],[Smoking Breaks (Costs):
Males]]-Table657074[[#This Row],[Smoking Breaks (Costs) - Intervention Scenario:
Males]]</f>
        <v>54946456.685159594</v>
      </c>
      <c r="U326" s="145">
        <f>Table657074[[#This Row],[Smoking Breaks (Costs):
Females]]-Table657074[[#This Row],[Smoking Breaks (Costs) - Intervention Scenario:
Females]]</f>
        <v>3896132.6485199779</v>
      </c>
      <c r="V326" s="145">
        <f>Table657074[[#This Row],[Smoking Breaks (Costs):
Total]]-Table657074[[#This Row],[Smoking Breaks (Costs) - Intervention Scenario:
Total]]</f>
        <v>58842589.333679557</v>
      </c>
    </row>
    <row r="329" spans="2:22" ht="21">
      <c r="B329" s="81" t="s">
        <v>116</v>
      </c>
    </row>
    <row r="330" spans="2:22" ht="21">
      <c r="B330" s="81"/>
    </row>
    <row r="331" spans="2:22" ht="135">
      <c r="B331" s="71" t="s">
        <v>111</v>
      </c>
      <c r="C331" s="129" t="s">
        <v>175</v>
      </c>
      <c r="D331" s="128"/>
      <c r="E331" s="128"/>
      <c r="F331" s="128"/>
      <c r="G331" s="133" t="s">
        <v>176</v>
      </c>
      <c r="H331" s="134"/>
      <c r="I331" s="134"/>
      <c r="J331" s="134"/>
      <c r="K331" s="134"/>
      <c r="L331" s="68" t="s">
        <v>110</v>
      </c>
      <c r="M331" s="74" t="s">
        <v>177</v>
      </c>
      <c r="N331" s="70"/>
      <c r="O331" s="73" t="s">
        <v>178</v>
      </c>
      <c r="P331" s="72"/>
      <c r="Q331" s="72"/>
      <c r="R331" s="72"/>
      <c r="S331" s="72"/>
      <c r="T331" s="78" t="s">
        <v>179</v>
      </c>
      <c r="U331" s="75"/>
      <c r="V331" s="75"/>
    </row>
    <row r="333" spans="2:22" ht="69" customHeight="1" thickBot="1">
      <c r="B333" s="35" t="s">
        <v>81</v>
      </c>
      <c r="C333" s="35" t="s">
        <v>157</v>
      </c>
      <c r="D333" s="35" t="s">
        <v>158</v>
      </c>
      <c r="E333" s="35" t="s">
        <v>155</v>
      </c>
      <c r="F333" s="35" t="s">
        <v>156</v>
      </c>
      <c r="G333" s="35" t="s">
        <v>159</v>
      </c>
      <c r="H333" s="35" t="s">
        <v>160</v>
      </c>
      <c r="I333" s="34" t="s">
        <v>188</v>
      </c>
      <c r="J333" s="34" t="s">
        <v>189</v>
      </c>
      <c r="K333" s="34" t="s">
        <v>190</v>
      </c>
      <c r="L333" s="63" t="s">
        <v>72</v>
      </c>
      <c r="M333" s="135" t="s">
        <v>162</v>
      </c>
      <c r="N333" s="135" t="s">
        <v>163</v>
      </c>
      <c r="O333" s="137" t="s">
        <v>164</v>
      </c>
      <c r="P333" s="137" t="s">
        <v>165</v>
      </c>
      <c r="Q333" s="137" t="s">
        <v>184</v>
      </c>
      <c r="R333" s="137" t="s">
        <v>497</v>
      </c>
      <c r="S333" s="137" t="s">
        <v>498</v>
      </c>
      <c r="T333" s="143" t="s">
        <v>173</v>
      </c>
      <c r="U333" s="143" t="s">
        <v>172</v>
      </c>
      <c r="V333" s="143" t="s">
        <v>174</v>
      </c>
    </row>
    <row r="334" spans="2:22" ht="15.75" thickTop="1">
      <c r="B334" s="53">
        <v>0</v>
      </c>
      <c r="C334" s="124">
        <f t="shared" ref="C334:C349" si="72">$D$24</f>
        <v>938900</v>
      </c>
      <c r="D334" s="124">
        <f t="shared" ref="D334:D349" si="73">$E$24</f>
        <v>841000</v>
      </c>
      <c r="E334" s="120">
        <f t="shared" ref="E334:E349" si="74">$D$25</f>
        <v>0.56999999999999995</v>
      </c>
      <c r="F334" s="120">
        <f t="shared" ref="F334:F349" si="75">$E$25</f>
        <v>7.0000000000000007E-2</v>
      </c>
      <c r="G334" s="124">
        <f>Table65677175[[#This Row],[Employed Persons:
Males]]*Table65677175[[#This Row],[Smoking Prevalence:
Males]]</f>
        <v>535173</v>
      </c>
      <c r="H334" s="124">
        <f>Table65677175[[#This Row],[Employed Persons:
Females]]*Table65677175[[#This Row],[Smoking Prevalence:
Females]]</f>
        <v>58870.000000000007</v>
      </c>
      <c r="I334" s="49">
        <f>$C$16*Table65677175[[#This Row],[Employed Smokers:
Males]]*D$29</f>
        <v>227236749.39857146</v>
      </c>
      <c r="J334" s="49">
        <f>$C$16*Table65677175[[#This Row],[Employed Smokers:
Females]]*E$29</f>
        <v>16112859.16666667</v>
      </c>
      <c r="K334" s="12">
        <f>Table65677175[[#This Row],[Smoking Breaks (Costs):
Males]]+Table65677175[[#This Row],[Smoking Breaks (Costs):
Females]]</f>
        <v>243349608.56523812</v>
      </c>
      <c r="L334" s="67"/>
      <c r="M334" s="136">
        <f>Table65677175[[#This Row],[Smoking Prevalence:
Males]]</f>
        <v>0.56999999999999995</v>
      </c>
      <c r="N334" s="136">
        <f>Table65677175[[#This Row],[Smoking Prevalence:
Females]]</f>
        <v>7.0000000000000007E-2</v>
      </c>
      <c r="O334" s="138">
        <f>Table65677175[[#This Row],[Employed Persons:
Males]]*Table65677175[[#This Row],[Smoking Prevalence Associated with Intervention: Males]]</f>
        <v>535173</v>
      </c>
      <c r="P334" s="138">
        <f>Table65677175[[#This Row],[Employed Persons:
Females]]*Table65677175[[#This Row],[Smoking Prevalence Associated with Intervention: Females]]</f>
        <v>58870.000000000007</v>
      </c>
      <c r="Q334" s="140">
        <f t="shared" ref="Q334:Q349" si="76">$C$16*O334*D$29</f>
        <v>227236749.39857146</v>
      </c>
      <c r="R334" s="140">
        <f t="shared" ref="R334:R349" si="77">$C$16*P334*E$29</f>
        <v>16112859.16666667</v>
      </c>
      <c r="S334" s="141">
        <f>Table65677175[[#This Row],[Excess Presenteeism (Costs) - Intervention Scenario:
Males]]+Table65677175[[#This Row],[Smoking Breaks (Costs) - Intervention Scenario:
Females]]</f>
        <v>243349608.56523812</v>
      </c>
      <c r="T334" s="144">
        <f>Table65677175[[#This Row],[Smoking Breaks (Costs):
Males]]-Table65677175[[#This Row],[Excess Presenteeism (Costs) - Intervention Scenario:
Males]]</f>
        <v>0</v>
      </c>
      <c r="U334" s="144">
        <f>Table65677175[[#This Row],[Smoking Breaks (Costs):
Females]]-Table65677175[[#This Row],[Smoking Breaks (Costs) - Intervention Scenario:
Females]]</f>
        <v>0</v>
      </c>
      <c r="V334" s="144">
        <f>Table65677175[[#This Row],[Smoking Breaks (Costs):
Total]]-Table65677175[[#This Row],[Smoking Breaks (Costs) - Intervention Scenario:
Total]]</f>
        <v>0</v>
      </c>
    </row>
    <row r="335" spans="2:22">
      <c r="B335" s="54">
        <v>1</v>
      </c>
      <c r="C335" s="125">
        <f t="shared" si="72"/>
        <v>938900</v>
      </c>
      <c r="D335" s="125">
        <f t="shared" si="73"/>
        <v>841000</v>
      </c>
      <c r="E335" s="121">
        <f t="shared" si="74"/>
        <v>0.56999999999999995</v>
      </c>
      <c r="F335" s="121">
        <f t="shared" si="75"/>
        <v>7.0000000000000007E-2</v>
      </c>
      <c r="G335" s="125">
        <f>Table65677175[[#This Row],[Employed Persons:
Males]]*Table65677175[[#This Row],[Smoking Prevalence:
Males]]</f>
        <v>535173</v>
      </c>
      <c r="H335" s="125">
        <f>Table65677175[[#This Row],[Employed Persons:
Females]]*Table65677175[[#This Row],[Smoking Prevalence:
Females]]</f>
        <v>58870.000000000007</v>
      </c>
      <c r="I335" s="50">
        <f>$C$16*Table65677175[[#This Row],[Employed Smokers:
Males]]*D$29</f>
        <v>227236749.39857146</v>
      </c>
      <c r="J335" s="12">
        <f>$C$16*Table65677175[[#This Row],[Employed Smokers:
Females]]*E$29</f>
        <v>16112859.16666667</v>
      </c>
      <c r="K335" s="12">
        <f>Table65677175[[#This Row],[Smoking Breaks (Costs):
Males]]+Table65677175[[#This Row],[Smoking Breaks (Costs):
Females]]</f>
        <v>243349608.56523812</v>
      </c>
      <c r="L335" s="130">
        <v>-1.0800000000000001E-2</v>
      </c>
      <c r="M335" s="136">
        <f>M334*(1+Table65677175[[#This Row],[Relative Change in Smoking Prevalence:
Smoke-Free Air Laws]])</f>
        <v>0.5638439999999999</v>
      </c>
      <c r="N335" s="136">
        <f>N334*(1+Table65677175[[#This Row],[Relative Change in Smoking Prevalence:
Smoke-Free Air Laws]])</f>
        <v>6.9244E-2</v>
      </c>
      <c r="O335" s="138">
        <f>Table65677175[[#This Row],[Employed Persons:
Males]]*Table65677175[[#This Row],[Smoking Prevalence Associated with Intervention: Males]]</f>
        <v>529393.13159999996</v>
      </c>
      <c r="P335" s="138">
        <f>Table65677175[[#This Row],[Employed Persons:
Females]]*Table65677175[[#This Row],[Smoking Prevalence Associated with Intervention: Females]]</f>
        <v>58234.203999999998</v>
      </c>
      <c r="Q335" s="141">
        <f t="shared" si="76"/>
        <v>224782592.50506687</v>
      </c>
      <c r="R335" s="141">
        <f t="shared" si="77"/>
        <v>15938840.287666667</v>
      </c>
      <c r="S335" s="141">
        <f>Table65677175[[#This Row],[Excess Presenteeism (Costs) - Intervention Scenario:
Males]]+Table65677175[[#This Row],[Smoking Breaks (Costs) - Intervention Scenario:
Females]]</f>
        <v>240721432.79273355</v>
      </c>
      <c r="T335" s="144">
        <f>Table65677175[[#This Row],[Smoking Breaks (Costs):
Males]]-Table65677175[[#This Row],[Excess Presenteeism (Costs) - Intervention Scenario:
Males]]</f>
        <v>2454156.8935045898</v>
      </c>
      <c r="U335" s="144">
        <f>Table65677175[[#This Row],[Smoking Breaks (Costs):
Females]]-Table65677175[[#This Row],[Smoking Breaks (Costs) - Intervention Scenario:
Females]]</f>
        <v>174018.87900000252</v>
      </c>
      <c r="V335" s="144">
        <f>Table65677175[[#This Row],[Smoking Breaks (Costs):
Total]]-Table65677175[[#This Row],[Smoking Breaks (Costs) - Intervention Scenario:
Total]]</f>
        <v>2628175.7725045681</v>
      </c>
    </row>
    <row r="336" spans="2:22">
      <c r="B336" s="55">
        <v>2</v>
      </c>
      <c r="C336" s="126">
        <f t="shared" si="72"/>
        <v>938900</v>
      </c>
      <c r="D336" s="126">
        <f t="shared" si="73"/>
        <v>841000</v>
      </c>
      <c r="E336" s="122">
        <f t="shared" si="74"/>
        <v>0.56999999999999995</v>
      </c>
      <c r="F336" s="122">
        <f t="shared" si="75"/>
        <v>7.0000000000000007E-2</v>
      </c>
      <c r="G336" s="126">
        <f>Table65677175[[#This Row],[Employed Persons:
Males]]*Table65677175[[#This Row],[Smoking Prevalence:
Males]]</f>
        <v>535173</v>
      </c>
      <c r="H336" s="126">
        <f>Table65677175[[#This Row],[Employed Persons:
Females]]*Table65677175[[#This Row],[Smoking Prevalence:
Females]]</f>
        <v>58870.000000000007</v>
      </c>
      <c r="I336" s="51">
        <f>$C$16*Table65677175[[#This Row],[Employed Smokers:
Males]]*D$29</f>
        <v>227236749.39857146</v>
      </c>
      <c r="J336" s="12">
        <f>$C$16*Table65677175[[#This Row],[Employed Smokers:
Females]]*E$29</f>
        <v>16112859.16666667</v>
      </c>
      <c r="K336" s="12">
        <f>Table65677175[[#This Row],[Smoking Breaks (Costs):
Males]]+Table65677175[[#This Row],[Smoking Breaks (Costs):
Females]]</f>
        <v>243349608.56523812</v>
      </c>
      <c r="L336" s="130">
        <v>-1.0800000000000001E-2</v>
      </c>
      <c r="M336" s="136">
        <f>M335*(1+Table65677175[[#This Row],[Relative Change in Smoking Prevalence:
Smoke-Free Air Laws]])</f>
        <v>0.55775448479999989</v>
      </c>
      <c r="N336" s="136">
        <f>N335*(1+Table65677175[[#This Row],[Relative Change in Smoking Prevalence:
Smoke-Free Air Laws]])</f>
        <v>6.8496164799999995E-2</v>
      </c>
      <c r="O336" s="138">
        <f>Table65677175[[#This Row],[Employed Persons:
Males]]*Table65677175[[#This Row],[Smoking Prevalence Associated with Intervention: Males]]</f>
        <v>523675.6857787199</v>
      </c>
      <c r="P336" s="138">
        <f>Table65677175[[#This Row],[Employed Persons:
Females]]*Table65677175[[#This Row],[Smoking Prevalence Associated with Intervention: Females]]</f>
        <v>57605.274596799994</v>
      </c>
      <c r="Q336" s="141">
        <f t="shared" si="76"/>
        <v>222354940.50601211</v>
      </c>
      <c r="R336" s="141">
        <f t="shared" si="77"/>
        <v>15766700.812559865</v>
      </c>
      <c r="S336" s="141">
        <f>Table65677175[[#This Row],[Excess Presenteeism (Costs) - Intervention Scenario:
Males]]+Table65677175[[#This Row],[Smoking Breaks (Costs) - Intervention Scenario:
Females]]</f>
        <v>238121641.31857198</v>
      </c>
      <c r="T336" s="144">
        <f>Table65677175[[#This Row],[Smoking Breaks (Costs):
Males]]-Table65677175[[#This Row],[Excess Presenteeism (Costs) - Intervention Scenario:
Males]]</f>
        <v>4881808.8925593495</v>
      </c>
      <c r="U336" s="144">
        <f>Table65677175[[#This Row],[Smoking Breaks (Costs):
Females]]-Table65677175[[#This Row],[Smoking Breaks (Costs) - Intervention Scenario:
Females]]</f>
        <v>346158.35410680436</v>
      </c>
      <c r="V336" s="144">
        <f>Table65677175[[#This Row],[Smoking Breaks (Costs):
Total]]-Table65677175[[#This Row],[Smoking Breaks (Costs) - Intervention Scenario:
Total]]</f>
        <v>5227967.2466661334</v>
      </c>
    </row>
    <row r="337" spans="2:22">
      <c r="B337" s="54">
        <v>3</v>
      </c>
      <c r="C337" s="125">
        <f t="shared" si="72"/>
        <v>938900</v>
      </c>
      <c r="D337" s="125">
        <f t="shared" si="73"/>
        <v>841000</v>
      </c>
      <c r="E337" s="121">
        <f t="shared" si="74"/>
        <v>0.56999999999999995</v>
      </c>
      <c r="F337" s="121">
        <f t="shared" si="75"/>
        <v>7.0000000000000007E-2</v>
      </c>
      <c r="G337" s="125">
        <f>Table65677175[[#This Row],[Employed Persons:
Males]]*Table65677175[[#This Row],[Smoking Prevalence:
Males]]</f>
        <v>535173</v>
      </c>
      <c r="H337" s="125">
        <f>Table65677175[[#This Row],[Employed Persons:
Females]]*Table65677175[[#This Row],[Smoking Prevalence:
Females]]</f>
        <v>58870.000000000007</v>
      </c>
      <c r="I337" s="50">
        <f>$C$16*Table65677175[[#This Row],[Employed Smokers:
Males]]*D$29</f>
        <v>227236749.39857146</v>
      </c>
      <c r="J337" s="12">
        <f>$C$16*Table65677175[[#This Row],[Employed Smokers:
Females]]*E$29</f>
        <v>16112859.16666667</v>
      </c>
      <c r="K337" s="12">
        <f>Table65677175[[#This Row],[Smoking Breaks (Costs):
Males]]+Table65677175[[#This Row],[Smoking Breaks (Costs):
Females]]</f>
        <v>243349608.56523812</v>
      </c>
      <c r="L337" s="130">
        <v>-1.0800000000000001E-2</v>
      </c>
      <c r="M337" s="136">
        <f>M336*(1+Table65677175[[#This Row],[Relative Change in Smoking Prevalence:
Smoke-Free Air Laws]])</f>
        <v>0.55173073636415992</v>
      </c>
      <c r="N337" s="136">
        <f>N336*(1+Table65677175[[#This Row],[Relative Change in Smoking Prevalence:
Smoke-Free Air Laws]])</f>
        <v>6.7756406220159993E-2</v>
      </c>
      <c r="O337" s="138">
        <f>Table65677175[[#This Row],[Employed Persons:
Males]]*Table65677175[[#This Row],[Smoking Prevalence Associated with Intervention: Males]]</f>
        <v>518019.98837230977</v>
      </c>
      <c r="P337" s="138">
        <f>Table65677175[[#This Row],[Employed Persons:
Females]]*Table65677175[[#This Row],[Smoking Prevalence Associated with Intervention: Females]]</f>
        <v>56983.137631154554</v>
      </c>
      <c r="Q337" s="141">
        <f t="shared" si="76"/>
        <v>219953507.14854723</v>
      </c>
      <c r="R337" s="141">
        <f t="shared" si="77"/>
        <v>15596420.44378422</v>
      </c>
      <c r="S337" s="141">
        <f>Table65677175[[#This Row],[Excess Presenteeism (Costs) - Intervention Scenario:
Males]]+Table65677175[[#This Row],[Smoking Breaks (Costs) - Intervention Scenario:
Females]]</f>
        <v>235549927.59233144</v>
      </c>
      <c r="T337" s="144">
        <f>Table65677175[[#This Row],[Smoking Breaks (Costs):
Males]]-Table65677175[[#This Row],[Excess Presenteeism (Costs) - Intervention Scenario:
Males]]</f>
        <v>7283242.2500242293</v>
      </c>
      <c r="U337" s="144">
        <f>Table65677175[[#This Row],[Smoking Breaks (Costs):
Females]]-Table65677175[[#This Row],[Smoking Breaks (Costs) - Intervention Scenario:
Females]]</f>
        <v>516438.72288244963</v>
      </c>
      <c r="V337" s="144">
        <f>Table65677175[[#This Row],[Smoking Breaks (Costs):
Total]]-Table65677175[[#This Row],[Smoking Breaks (Costs) - Intervention Scenario:
Total]]</f>
        <v>7799680.9729066789</v>
      </c>
    </row>
    <row r="338" spans="2:22">
      <c r="B338" s="55">
        <v>4</v>
      </c>
      <c r="C338" s="126">
        <f t="shared" si="72"/>
        <v>938900</v>
      </c>
      <c r="D338" s="126">
        <f t="shared" si="73"/>
        <v>841000</v>
      </c>
      <c r="E338" s="122">
        <f t="shared" si="74"/>
        <v>0.56999999999999995</v>
      </c>
      <c r="F338" s="122">
        <f t="shared" si="75"/>
        <v>7.0000000000000007E-2</v>
      </c>
      <c r="G338" s="126">
        <f>Table65677175[[#This Row],[Employed Persons:
Males]]*Table65677175[[#This Row],[Smoking Prevalence:
Males]]</f>
        <v>535173</v>
      </c>
      <c r="H338" s="126">
        <f>Table65677175[[#This Row],[Employed Persons:
Females]]*Table65677175[[#This Row],[Smoking Prevalence:
Females]]</f>
        <v>58870.000000000007</v>
      </c>
      <c r="I338" s="51">
        <f>$C$16*Table65677175[[#This Row],[Employed Smokers:
Males]]*D$29</f>
        <v>227236749.39857146</v>
      </c>
      <c r="J338" s="12">
        <f>$C$16*Table65677175[[#This Row],[Employed Smokers:
Females]]*E$29</f>
        <v>16112859.16666667</v>
      </c>
      <c r="K338" s="12">
        <f>Table65677175[[#This Row],[Smoking Breaks (Costs):
Males]]+Table65677175[[#This Row],[Smoking Breaks (Costs):
Females]]</f>
        <v>243349608.56523812</v>
      </c>
      <c r="L338" s="130">
        <v>-1.0800000000000001E-2</v>
      </c>
      <c r="M338" s="136">
        <f>M337*(1+Table65677175[[#This Row],[Relative Change in Smoking Prevalence:
Smoke-Free Air Laws]])</f>
        <v>0.54577204441142702</v>
      </c>
      <c r="N338" s="136">
        <f>N337*(1+Table65677175[[#This Row],[Relative Change in Smoking Prevalence:
Smoke-Free Air Laws]])</f>
        <v>6.7024637032982268E-2</v>
      </c>
      <c r="O338" s="138">
        <f>Table65677175[[#This Row],[Employed Persons:
Males]]*Table65677175[[#This Row],[Smoking Prevalence Associated with Intervention: Males]]</f>
        <v>512425.37249788881</v>
      </c>
      <c r="P338" s="138">
        <f>Table65677175[[#This Row],[Employed Persons:
Females]]*Table65677175[[#This Row],[Smoking Prevalence Associated with Intervention: Females]]</f>
        <v>56367.71974473809</v>
      </c>
      <c r="Q338" s="141">
        <f t="shared" si="76"/>
        <v>217578009.2713429</v>
      </c>
      <c r="R338" s="141">
        <f t="shared" si="77"/>
        <v>15427979.10299135</v>
      </c>
      <c r="S338" s="141">
        <f>Table65677175[[#This Row],[Excess Presenteeism (Costs) - Intervention Scenario:
Males]]+Table65677175[[#This Row],[Smoking Breaks (Costs) - Intervention Scenario:
Females]]</f>
        <v>233005988.37433425</v>
      </c>
      <c r="T338" s="144">
        <f>Table65677175[[#This Row],[Smoking Breaks (Costs):
Males]]-Table65677175[[#This Row],[Excess Presenteeism (Costs) - Intervention Scenario:
Males]]</f>
        <v>9658740.1272285581</v>
      </c>
      <c r="U338" s="144">
        <f>Table65677175[[#This Row],[Smoking Breaks (Costs):
Females]]-Table65677175[[#This Row],[Smoking Breaks (Costs) - Intervention Scenario:
Females]]</f>
        <v>684880.06367531978</v>
      </c>
      <c r="V338" s="144">
        <f>Table65677175[[#This Row],[Smoking Breaks (Costs):
Total]]-Table65677175[[#This Row],[Smoking Breaks (Costs) - Intervention Scenario:
Total]]</f>
        <v>10343620.190903872</v>
      </c>
    </row>
    <row r="339" spans="2:22" customFormat="1">
      <c r="B339" s="54">
        <v>5</v>
      </c>
      <c r="C339" s="125">
        <f t="shared" si="72"/>
        <v>938900</v>
      </c>
      <c r="D339" s="125">
        <f t="shared" si="73"/>
        <v>841000</v>
      </c>
      <c r="E339" s="121">
        <f t="shared" si="74"/>
        <v>0.56999999999999995</v>
      </c>
      <c r="F339" s="121">
        <f t="shared" si="75"/>
        <v>7.0000000000000007E-2</v>
      </c>
      <c r="G339" s="125">
        <f>Table65677175[[#This Row],[Employed Persons:
Males]]*Table65677175[[#This Row],[Smoking Prevalence:
Males]]</f>
        <v>535173</v>
      </c>
      <c r="H339" s="125">
        <f>Table65677175[[#This Row],[Employed Persons:
Females]]*Table65677175[[#This Row],[Smoking Prevalence:
Females]]</f>
        <v>58870.000000000007</v>
      </c>
      <c r="I339" s="50">
        <f>$C$16*Table65677175[[#This Row],[Employed Smokers:
Males]]*D$29</f>
        <v>227236749.39857146</v>
      </c>
      <c r="J339" s="15">
        <f>$C$16*Table65677175[[#This Row],[Employed Smokers:
Females]]*E$29</f>
        <v>16112859.16666667</v>
      </c>
      <c r="K339" s="15">
        <f>Table65677175[[#This Row],[Smoking Breaks (Costs):
Males]]+Table65677175[[#This Row],[Smoking Breaks (Costs):
Females]]</f>
        <v>243349608.56523812</v>
      </c>
      <c r="L339" s="131">
        <v>-1.0800000000000001E-2</v>
      </c>
      <c r="M339" s="136">
        <f>M338*(1+Table65677175[[#This Row],[Relative Change in Smoking Prevalence:
Smoke-Free Air Laws]])</f>
        <v>0.53987770633178356</v>
      </c>
      <c r="N339" s="136">
        <f>N338*(1+Table65677175[[#This Row],[Relative Change in Smoking Prevalence:
Smoke-Free Air Laws]])</f>
        <v>6.6300770953026056E-2</v>
      </c>
      <c r="O339" s="139">
        <f>Table65677175[[#This Row],[Employed Persons:
Males]]*Table65677175[[#This Row],[Smoking Prevalence Associated with Intervention: Males]]</f>
        <v>506891.17847491161</v>
      </c>
      <c r="P339" s="139">
        <f>Table65677175[[#This Row],[Employed Persons:
Females]]*Table65677175[[#This Row],[Smoking Prevalence Associated with Intervention: Females]]</f>
        <v>55758.948371494917</v>
      </c>
      <c r="Q339" s="142">
        <f t="shared" si="76"/>
        <v>215228166.7712124</v>
      </c>
      <c r="R339" s="142">
        <f t="shared" si="77"/>
        <v>15261356.928679043</v>
      </c>
      <c r="S339" s="142">
        <f>Table65677175[[#This Row],[Excess Presenteeism (Costs) - Intervention Scenario:
Males]]+Table65677175[[#This Row],[Smoking Breaks (Costs) - Intervention Scenario:
Females]]</f>
        <v>230489523.69989145</v>
      </c>
      <c r="T339" s="145">
        <f>Table65677175[[#This Row],[Smoking Breaks (Costs):
Males]]-Table65677175[[#This Row],[Excess Presenteeism (Costs) - Intervention Scenario:
Males]]</f>
        <v>12008582.627359062</v>
      </c>
      <c r="U339" s="145">
        <f>Table65677175[[#This Row],[Smoking Breaks (Costs):
Females]]-Table65677175[[#This Row],[Smoking Breaks (Costs) - Intervention Scenario:
Females]]</f>
        <v>851502.23798762634</v>
      </c>
      <c r="V339" s="145">
        <f>Table65677175[[#This Row],[Smoking Breaks (Costs):
Total]]-Table65677175[[#This Row],[Smoking Breaks (Costs) - Intervention Scenario:
Total]]</f>
        <v>12860084.86534667</v>
      </c>
    </row>
    <row r="340" spans="2:22" customFormat="1">
      <c r="B340" s="55">
        <v>6</v>
      </c>
      <c r="C340" s="126">
        <f t="shared" si="72"/>
        <v>938900</v>
      </c>
      <c r="D340" s="126">
        <f t="shared" si="73"/>
        <v>841000</v>
      </c>
      <c r="E340" s="122">
        <f t="shared" si="74"/>
        <v>0.56999999999999995</v>
      </c>
      <c r="F340" s="122">
        <f t="shared" si="75"/>
        <v>7.0000000000000007E-2</v>
      </c>
      <c r="G340" s="126">
        <f>Table65677175[[#This Row],[Employed Persons:
Males]]*Table65677175[[#This Row],[Smoking Prevalence:
Males]]</f>
        <v>535173</v>
      </c>
      <c r="H340" s="126">
        <f>Table65677175[[#This Row],[Employed Persons:
Females]]*Table65677175[[#This Row],[Smoking Prevalence:
Females]]</f>
        <v>58870.000000000007</v>
      </c>
      <c r="I340" s="51">
        <f>$C$16*Table65677175[[#This Row],[Employed Smokers:
Males]]*D$29</f>
        <v>227236749.39857146</v>
      </c>
      <c r="J340" s="15">
        <f>$C$16*Table65677175[[#This Row],[Employed Smokers:
Females]]*E$29</f>
        <v>16112859.16666667</v>
      </c>
      <c r="K340" s="15">
        <f>Table65677175[[#This Row],[Smoking Breaks (Costs):
Males]]+Table65677175[[#This Row],[Smoking Breaks (Costs):
Females]]</f>
        <v>243349608.56523812</v>
      </c>
      <c r="L340" s="132">
        <v>-8.0000000000000004E-4</v>
      </c>
      <c r="M340" s="136">
        <f>M339*(1+Table65677175[[#This Row],[Relative Change in Smoking Prevalence:
Smoke-Free Air Laws]])</f>
        <v>0.53944580416671817</v>
      </c>
      <c r="N340" s="136">
        <f>N339*(1+Table65677175[[#This Row],[Relative Change in Smoking Prevalence:
Smoke-Free Air Laws]])</f>
        <v>6.6247730336263633E-2</v>
      </c>
      <c r="O340" s="139">
        <f>Table65677175[[#This Row],[Employed Persons:
Males]]*Table65677175[[#This Row],[Smoking Prevalence Associated with Intervention: Males]]</f>
        <v>506485.66553213168</v>
      </c>
      <c r="P340" s="139">
        <f>Table65677175[[#This Row],[Employed Persons:
Females]]*Table65677175[[#This Row],[Smoking Prevalence Associated with Intervention: Females]]</f>
        <v>55714.341212797714</v>
      </c>
      <c r="Q340" s="142">
        <f t="shared" si="76"/>
        <v>215055984.23779541</v>
      </c>
      <c r="R340" s="142">
        <f t="shared" si="77"/>
        <v>15249147.843136098</v>
      </c>
      <c r="S340" s="142">
        <f>Table65677175[[#This Row],[Excess Presenteeism (Costs) - Intervention Scenario:
Males]]+Table65677175[[#This Row],[Smoking Breaks (Costs) - Intervention Scenario:
Females]]</f>
        <v>230305132.08093151</v>
      </c>
      <c r="T340" s="145">
        <f>Table65677175[[#This Row],[Smoking Breaks (Costs):
Males]]-Table65677175[[#This Row],[Excess Presenteeism (Costs) - Intervention Scenario:
Males]]</f>
        <v>12180765.160776049</v>
      </c>
      <c r="U340" s="145">
        <f>Table65677175[[#This Row],[Smoking Breaks (Costs):
Females]]-Table65677175[[#This Row],[Smoking Breaks (Costs) - Intervention Scenario:
Females]]</f>
        <v>863711.32353057154</v>
      </c>
      <c r="V340" s="145">
        <f>Table65677175[[#This Row],[Smoking Breaks (Costs):
Total]]-Table65677175[[#This Row],[Smoking Breaks (Costs) - Intervention Scenario:
Total]]</f>
        <v>13044476.484306604</v>
      </c>
    </row>
    <row r="341" spans="2:22" customFormat="1">
      <c r="B341" s="54">
        <v>7</v>
      </c>
      <c r="C341" s="125">
        <f t="shared" si="72"/>
        <v>938900</v>
      </c>
      <c r="D341" s="125">
        <f t="shared" si="73"/>
        <v>841000</v>
      </c>
      <c r="E341" s="121">
        <f t="shared" si="74"/>
        <v>0.56999999999999995</v>
      </c>
      <c r="F341" s="121">
        <f t="shared" si="75"/>
        <v>7.0000000000000007E-2</v>
      </c>
      <c r="G341" s="125">
        <f>Table65677175[[#This Row],[Employed Persons:
Males]]*Table65677175[[#This Row],[Smoking Prevalence:
Males]]</f>
        <v>535173</v>
      </c>
      <c r="H341" s="125">
        <f>Table65677175[[#This Row],[Employed Persons:
Females]]*Table65677175[[#This Row],[Smoking Prevalence:
Females]]</f>
        <v>58870.000000000007</v>
      </c>
      <c r="I341" s="50">
        <f>$C$16*Table65677175[[#This Row],[Employed Smokers:
Males]]*D$29</f>
        <v>227236749.39857146</v>
      </c>
      <c r="J341" s="15">
        <f>$C$16*Table65677175[[#This Row],[Employed Smokers:
Females]]*E$29</f>
        <v>16112859.16666667</v>
      </c>
      <c r="K341" s="15">
        <f>Table65677175[[#This Row],[Smoking Breaks (Costs):
Males]]+Table65677175[[#This Row],[Smoking Breaks (Costs):
Females]]</f>
        <v>243349608.56523812</v>
      </c>
      <c r="L341" s="132">
        <v>-8.0000000000000004E-4</v>
      </c>
      <c r="M341" s="136">
        <f>M340*(1+Table65677175[[#This Row],[Relative Change in Smoking Prevalence:
Smoke-Free Air Laws]])</f>
        <v>0.53901424752338478</v>
      </c>
      <c r="N341" s="136">
        <f>N340*(1+Table65677175[[#This Row],[Relative Change in Smoking Prevalence:
Smoke-Free Air Laws]])</f>
        <v>6.6194732151994617E-2</v>
      </c>
      <c r="O341" s="139">
        <f>Table65677175[[#This Row],[Employed Persons:
Males]]*Table65677175[[#This Row],[Smoking Prevalence Associated with Intervention: Males]]</f>
        <v>506080.47699970595</v>
      </c>
      <c r="P341" s="139">
        <f>Table65677175[[#This Row],[Employed Persons:
Females]]*Table65677175[[#This Row],[Smoking Prevalence Associated with Intervention: Females]]</f>
        <v>55669.769739827476</v>
      </c>
      <c r="Q341" s="142">
        <f t="shared" si="76"/>
        <v>214883939.45040515</v>
      </c>
      <c r="R341" s="142">
        <f t="shared" si="77"/>
        <v>15236948.524861589</v>
      </c>
      <c r="S341" s="142">
        <f>Table65677175[[#This Row],[Excess Presenteeism (Costs) - Intervention Scenario:
Males]]+Table65677175[[#This Row],[Smoking Breaks (Costs) - Intervention Scenario:
Females]]</f>
        <v>230120887.97526675</v>
      </c>
      <c r="T341" s="145">
        <f>Table65677175[[#This Row],[Smoking Breaks (Costs):
Males]]-Table65677175[[#This Row],[Excess Presenteeism (Costs) - Intervention Scenario:
Males]]</f>
        <v>12352809.948166311</v>
      </c>
      <c r="U341" s="145">
        <f>Table65677175[[#This Row],[Smoking Breaks (Costs):
Females]]-Table65677175[[#This Row],[Smoking Breaks (Costs) - Intervention Scenario:
Females]]</f>
        <v>875910.6418050807</v>
      </c>
      <c r="V341" s="145">
        <f>Table65677175[[#This Row],[Smoking Breaks (Costs):
Total]]-Table65677175[[#This Row],[Smoking Breaks (Costs) - Intervention Scenario:
Total]]</f>
        <v>13228720.589971364</v>
      </c>
    </row>
    <row r="342" spans="2:22" customFormat="1">
      <c r="B342" s="55">
        <v>8</v>
      </c>
      <c r="C342" s="126">
        <f t="shared" si="72"/>
        <v>938900</v>
      </c>
      <c r="D342" s="126">
        <f t="shared" si="73"/>
        <v>841000</v>
      </c>
      <c r="E342" s="122">
        <f t="shared" si="74"/>
        <v>0.56999999999999995</v>
      </c>
      <c r="F342" s="122">
        <f t="shared" si="75"/>
        <v>7.0000000000000007E-2</v>
      </c>
      <c r="G342" s="126">
        <f>Table65677175[[#This Row],[Employed Persons:
Males]]*Table65677175[[#This Row],[Smoking Prevalence:
Males]]</f>
        <v>535173</v>
      </c>
      <c r="H342" s="126">
        <f>Table65677175[[#This Row],[Employed Persons:
Females]]*Table65677175[[#This Row],[Smoking Prevalence:
Females]]</f>
        <v>58870.000000000007</v>
      </c>
      <c r="I342" s="51">
        <f>$C$16*Table65677175[[#This Row],[Employed Smokers:
Males]]*D$29</f>
        <v>227236749.39857146</v>
      </c>
      <c r="J342" s="15">
        <f>$C$16*Table65677175[[#This Row],[Employed Smokers:
Females]]*E$29</f>
        <v>16112859.16666667</v>
      </c>
      <c r="K342" s="15">
        <f>Table65677175[[#This Row],[Smoking Breaks (Costs):
Males]]+Table65677175[[#This Row],[Smoking Breaks (Costs):
Females]]</f>
        <v>243349608.56523812</v>
      </c>
      <c r="L342" s="132">
        <v>-8.0000000000000004E-4</v>
      </c>
      <c r="M342" s="136">
        <f>M341*(1+Table65677175[[#This Row],[Relative Change in Smoking Prevalence:
Smoke-Free Air Laws]])</f>
        <v>0.53858303612536607</v>
      </c>
      <c r="N342" s="136">
        <f>N341*(1+Table65677175[[#This Row],[Relative Change in Smoking Prevalence:
Smoke-Free Air Laws]])</f>
        <v>6.6141776366273025E-2</v>
      </c>
      <c r="O342" s="139">
        <f>Table65677175[[#This Row],[Employed Persons:
Males]]*Table65677175[[#This Row],[Smoking Prevalence Associated with Intervention: Males]]</f>
        <v>505675.61261810618</v>
      </c>
      <c r="P342" s="139">
        <f>Table65677175[[#This Row],[Employed Persons:
Females]]*Table65677175[[#This Row],[Smoking Prevalence Associated with Intervention: Females]]</f>
        <v>55625.233924035616</v>
      </c>
      <c r="Q342" s="142">
        <f t="shared" si="76"/>
        <v>214712032.29884484</v>
      </c>
      <c r="R342" s="142">
        <f t="shared" si="77"/>
        <v>15224758.966041701</v>
      </c>
      <c r="S342" s="142">
        <f>Table65677175[[#This Row],[Excess Presenteeism (Costs) - Intervention Scenario:
Males]]+Table65677175[[#This Row],[Smoking Breaks (Costs) - Intervention Scenario:
Females]]</f>
        <v>229936791.26488656</v>
      </c>
      <c r="T342" s="145">
        <f>Table65677175[[#This Row],[Smoking Breaks (Costs):
Males]]-Table65677175[[#This Row],[Excess Presenteeism (Costs) - Intervention Scenario:
Males]]</f>
        <v>12524717.099726617</v>
      </c>
      <c r="U342" s="145">
        <f>Table65677175[[#This Row],[Smoking Breaks (Costs):
Females]]-Table65677175[[#This Row],[Smoking Breaks (Costs) - Intervention Scenario:
Females]]</f>
        <v>888100.20062496886</v>
      </c>
      <c r="V342" s="145">
        <f>Table65677175[[#This Row],[Smoking Breaks (Costs):
Total]]-Table65677175[[#This Row],[Smoking Breaks (Costs) - Intervention Scenario:
Total]]</f>
        <v>13412817.30035156</v>
      </c>
    </row>
    <row r="343" spans="2:22" customFormat="1">
      <c r="B343" s="54">
        <v>9</v>
      </c>
      <c r="C343" s="125">
        <f t="shared" si="72"/>
        <v>938900</v>
      </c>
      <c r="D343" s="125">
        <f t="shared" si="73"/>
        <v>841000</v>
      </c>
      <c r="E343" s="121">
        <f t="shared" si="74"/>
        <v>0.56999999999999995</v>
      </c>
      <c r="F343" s="121">
        <f t="shared" si="75"/>
        <v>7.0000000000000007E-2</v>
      </c>
      <c r="G343" s="125">
        <f>Table65677175[[#This Row],[Employed Persons:
Males]]*Table65677175[[#This Row],[Smoking Prevalence:
Males]]</f>
        <v>535173</v>
      </c>
      <c r="H343" s="125">
        <f>Table65677175[[#This Row],[Employed Persons:
Females]]*Table65677175[[#This Row],[Smoking Prevalence:
Females]]</f>
        <v>58870.000000000007</v>
      </c>
      <c r="I343" s="50">
        <f>$C$16*Table65677175[[#This Row],[Employed Smokers:
Males]]*D$29</f>
        <v>227236749.39857146</v>
      </c>
      <c r="J343" s="15">
        <f>$C$16*Table65677175[[#This Row],[Employed Smokers:
Females]]*E$29</f>
        <v>16112859.16666667</v>
      </c>
      <c r="K343" s="15">
        <f>Table65677175[[#This Row],[Smoking Breaks (Costs):
Males]]+Table65677175[[#This Row],[Smoking Breaks (Costs):
Females]]</f>
        <v>243349608.56523812</v>
      </c>
      <c r="L343" s="132">
        <v>-8.0000000000000004E-4</v>
      </c>
      <c r="M343" s="136">
        <f>M342*(1+Table65677175[[#This Row],[Relative Change in Smoking Prevalence:
Smoke-Free Air Laws]])</f>
        <v>0.53815216969646573</v>
      </c>
      <c r="N343" s="136">
        <f>N342*(1+Table65677175[[#This Row],[Relative Change in Smoking Prevalence:
Smoke-Free Air Laws]])</f>
        <v>6.6088862945180002E-2</v>
      </c>
      <c r="O343" s="139">
        <f>Table65677175[[#This Row],[Employed Persons:
Males]]*Table65677175[[#This Row],[Smoking Prevalence Associated with Intervention: Males]]</f>
        <v>505271.07212801167</v>
      </c>
      <c r="P343" s="139">
        <f>Table65677175[[#This Row],[Employed Persons:
Females]]*Table65677175[[#This Row],[Smoking Prevalence Associated with Intervention: Females]]</f>
        <v>55580.733736896378</v>
      </c>
      <c r="Q343" s="142">
        <f t="shared" si="76"/>
        <v>214540262.67300576</v>
      </c>
      <c r="R343" s="142">
        <f t="shared" si="77"/>
        <v>15212579.158868864</v>
      </c>
      <c r="S343" s="142">
        <f>Table65677175[[#This Row],[Excess Presenteeism (Costs) - Intervention Scenario:
Males]]+Table65677175[[#This Row],[Smoking Breaks (Costs) - Intervention Scenario:
Females]]</f>
        <v>229752841.83187461</v>
      </c>
      <c r="T343" s="145">
        <f>Table65677175[[#This Row],[Smoking Breaks (Costs):
Males]]-Table65677175[[#This Row],[Excess Presenteeism (Costs) - Intervention Scenario:
Males]]</f>
        <v>12696486.725565702</v>
      </c>
      <c r="U343" s="145">
        <f>Table65677175[[#This Row],[Smoking Breaks (Costs):
Females]]-Table65677175[[#This Row],[Smoking Breaks (Costs) - Intervention Scenario:
Females]]</f>
        <v>900280.00779780559</v>
      </c>
      <c r="V343" s="145">
        <f>Table65677175[[#This Row],[Smoking Breaks (Costs):
Total]]-Table65677175[[#This Row],[Smoking Breaks (Costs) - Intervention Scenario:
Total]]</f>
        <v>13596766.733363509</v>
      </c>
    </row>
    <row r="344" spans="2:22" customFormat="1">
      <c r="B344" s="55">
        <v>10</v>
      </c>
      <c r="C344" s="126">
        <f t="shared" si="72"/>
        <v>938900</v>
      </c>
      <c r="D344" s="126">
        <f t="shared" si="73"/>
        <v>841000</v>
      </c>
      <c r="E344" s="122">
        <f t="shared" si="74"/>
        <v>0.56999999999999995</v>
      </c>
      <c r="F344" s="122">
        <f t="shared" si="75"/>
        <v>7.0000000000000007E-2</v>
      </c>
      <c r="G344" s="126">
        <f>Table65677175[[#This Row],[Employed Persons:
Males]]*Table65677175[[#This Row],[Smoking Prevalence:
Males]]</f>
        <v>535173</v>
      </c>
      <c r="H344" s="126">
        <f>Table65677175[[#This Row],[Employed Persons:
Females]]*Table65677175[[#This Row],[Smoking Prevalence:
Females]]</f>
        <v>58870.000000000007</v>
      </c>
      <c r="I344" s="51">
        <f>$C$16*Table65677175[[#This Row],[Employed Smokers:
Males]]*D$29</f>
        <v>227236749.39857146</v>
      </c>
      <c r="J344" s="15">
        <f>$C$16*Table65677175[[#This Row],[Employed Smokers:
Females]]*E$29</f>
        <v>16112859.16666667</v>
      </c>
      <c r="K344" s="15">
        <f>Table65677175[[#This Row],[Smoking Breaks (Costs):
Males]]+Table65677175[[#This Row],[Smoking Breaks (Costs):
Females]]</f>
        <v>243349608.56523812</v>
      </c>
      <c r="L344" s="132">
        <v>-8.0000000000000004E-4</v>
      </c>
      <c r="M344" s="136">
        <f>M343*(1+Table65677175[[#This Row],[Relative Change in Smoking Prevalence:
Smoke-Free Air Laws]])</f>
        <v>0.53772164796070854</v>
      </c>
      <c r="N344" s="136">
        <f>N343*(1+Table65677175[[#This Row],[Relative Change in Smoking Prevalence:
Smoke-Free Air Laws]])</f>
        <v>6.6035991854823853E-2</v>
      </c>
      <c r="O344" s="139">
        <f>Table65677175[[#This Row],[Employed Persons:
Males]]*Table65677175[[#This Row],[Smoking Prevalence Associated with Intervention: Males]]</f>
        <v>504866.85527030926</v>
      </c>
      <c r="P344" s="139">
        <f>Table65677175[[#This Row],[Employed Persons:
Females]]*Table65677175[[#This Row],[Smoking Prevalence Associated with Intervention: Females]]</f>
        <v>55536.269149906861</v>
      </c>
      <c r="Q344" s="142">
        <f t="shared" si="76"/>
        <v>214368630.46286735</v>
      </c>
      <c r="R344" s="142">
        <f t="shared" si="77"/>
        <v>15200409.09554177</v>
      </c>
      <c r="S344" s="142">
        <f>Table65677175[[#This Row],[Excess Presenteeism (Costs) - Intervention Scenario:
Males]]+Table65677175[[#This Row],[Smoking Breaks (Costs) - Intervention Scenario:
Females]]</f>
        <v>229569039.55840912</v>
      </c>
      <c r="T344" s="145">
        <f>Table65677175[[#This Row],[Smoking Breaks (Costs):
Males]]-Table65677175[[#This Row],[Excess Presenteeism (Costs) - Intervention Scenario:
Males]]</f>
        <v>12868118.935704112</v>
      </c>
      <c r="U344" s="145">
        <f>Table65677175[[#This Row],[Smoking Breaks (Costs):
Females]]-Table65677175[[#This Row],[Smoking Breaks (Costs) - Intervention Scenario:
Females]]</f>
        <v>912450.07112490013</v>
      </c>
      <c r="V344" s="145">
        <f>Table65677175[[#This Row],[Smoking Breaks (Costs):
Total]]-Table65677175[[#This Row],[Smoking Breaks (Costs) - Intervention Scenario:
Total]]</f>
        <v>13780569.006828994</v>
      </c>
    </row>
    <row r="345" spans="2:22" customFormat="1">
      <c r="B345" s="54">
        <v>11</v>
      </c>
      <c r="C345" s="125">
        <f t="shared" si="72"/>
        <v>938900</v>
      </c>
      <c r="D345" s="125">
        <f t="shared" si="73"/>
        <v>841000</v>
      </c>
      <c r="E345" s="121">
        <f t="shared" si="74"/>
        <v>0.56999999999999995</v>
      </c>
      <c r="F345" s="121">
        <f t="shared" si="75"/>
        <v>7.0000000000000007E-2</v>
      </c>
      <c r="G345" s="125">
        <f>Table65677175[[#This Row],[Employed Persons:
Males]]*Table65677175[[#This Row],[Smoking Prevalence:
Males]]</f>
        <v>535173</v>
      </c>
      <c r="H345" s="125">
        <f>Table65677175[[#This Row],[Employed Persons:
Females]]*Table65677175[[#This Row],[Smoking Prevalence:
Females]]</f>
        <v>58870.000000000007</v>
      </c>
      <c r="I345" s="50">
        <f>$C$16*Table65677175[[#This Row],[Employed Smokers:
Males]]*D$29</f>
        <v>227236749.39857146</v>
      </c>
      <c r="J345" s="15">
        <f>$C$16*Table65677175[[#This Row],[Employed Smokers:
Females]]*E$29</f>
        <v>16112859.16666667</v>
      </c>
      <c r="K345" s="15">
        <f>Table65677175[[#This Row],[Smoking Breaks (Costs):
Males]]+Table65677175[[#This Row],[Smoking Breaks (Costs):
Females]]</f>
        <v>243349608.56523812</v>
      </c>
      <c r="L345" s="132">
        <v>-8.0000000000000004E-4</v>
      </c>
      <c r="M345" s="136">
        <f>M344*(1+Table65677175[[#This Row],[Relative Change in Smoking Prevalence:
Smoke-Free Air Laws]])</f>
        <v>0.53729147064233995</v>
      </c>
      <c r="N345" s="136">
        <f>N344*(1+Table65677175[[#This Row],[Relative Change in Smoking Prevalence:
Smoke-Free Air Laws]])</f>
        <v>6.5983163061339986E-2</v>
      </c>
      <c r="O345" s="139">
        <f>Table65677175[[#This Row],[Employed Persons:
Males]]*Table65677175[[#This Row],[Smoking Prevalence Associated with Intervention: Males]]</f>
        <v>504462.96178609296</v>
      </c>
      <c r="P345" s="139">
        <f>Table65677175[[#This Row],[Employed Persons:
Females]]*Table65677175[[#This Row],[Smoking Prevalence Associated with Intervention: Females]]</f>
        <v>55491.840134586928</v>
      </c>
      <c r="Q345" s="142">
        <f t="shared" si="76"/>
        <v>214197135.55849704</v>
      </c>
      <c r="R345" s="142">
        <f t="shared" si="77"/>
        <v>15188248.768265335</v>
      </c>
      <c r="S345" s="142">
        <f>Table65677175[[#This Row],[Excess Presenteeism (Costs) - Intervention Scenario:
Males]]+Table65677175[[#This Row],[Smoking Breaks (Costs) - Intervention Scenario:
Females]]</f>
        <v>229385384.32676238</v>
      </c>
      <c r="T345" s="145">
        <f>Table65677175[[#This Row],[Smoking Breaks (Costs):
Males]]-Table65677175[[#This Row],[Excess Presenteeism (Costs) - Intervention Scenario:
Males]]</f>
        <v>13039613.84007442</v>
      </c>
      <c r="U345" s="145">
        <f>Table65677175[[#This Row],[Smoking Breaks (Costs):
Females]]-Table65677175[[#This Row],[Smoking Breaks (Costs) - Intervention Scenario:
Females]]</f>
        <v>924610.39840133488</v>
      </c>
      <c r="V345" s="145">
        <f>Table65677175[[#This Row],[Smoking Breaks (Costs):
Total]]-Table65677175[[#This Row],[Smoking Breaks (Costs) - Intervention Scenario:
Total]]</f>
        <v>13964224.23847574</v>
      </c>
    </row>
    <row r="346" spans="2:22" customFormat="1">
      <c r="B346" s="55">
        <v>12</v>
      </c>
      <c r="C346" s="126">
        <f t="shared" si="72"/>
        <v>938900</v>
      </c>
      <c r="D346" s="126">
        <f t="shared" si="73"/>
        <v>841000</v>
      </c>
      <c r="E346" s="122">
        <f t="shared" si="74"/>
        <v>0.56999999999999995</v>
      </c>
      <c r="F346" s="122">
        <f t="shared" si="75"/>
        <v>7.0000000000000007E-2</v>
      </c>
      <c r="G346" s="126">
        <f>Table65677175[[#This Row],[Employed Persons:
Males]]*Table65677175[[#This Row],[Smoking Prevalence:
Males]]</f>
        <v>535173</v>
      </c>
      <c r="H346" s="126">
        <f>Table65677175[[#This Row],[Employed Persons:
Females]]*Table65677175[[#This Row],[Smoking Prevalence:
Females]]</f>
        <v>58870.000000000007</v>
      </c>
      <c r="I346" s="51">
        <f>$C$16*Table65677175[[#This Row],[Employed Smokers:
Males]]*D$29</f>
        <v>227236749.39857146</v>
      </c>
      <c r="J346" s="15">
        <f>$C$16*Table65677175[[#This Row],[Employed Smokers:
Females]]*E$29</f>
        <v>16112859.16666667</v>
      </c>
      <c r="K346" s="15">
        <f>Table65677175[[#This Row],[Smoking Breaks (Costs):
Males]]+Table65677175[[#This Row],[Smoking Breaks (Costs):
Females]]</f>
        <v>243349608.56523812</v>
      </c>
      <c r="L346" s="132">
        <v>-8.0000000000000004E-4</v>
      </c>
      <c r="M346" s="136">
        <f>M345*(1+Table65677175[[#This Row],[Relative Change in Smoking Prevalence:
Smoke-Free Air Laws]])</f>
        <v>0.53686163746582605</v>
      </c>
      <c r="N346" s="136">
        <f>N345*(1+Table65677175[[#This Row],[Relative Change in Smoking Prevalence:
Smoke-Free Air Laws]])</f>
        <v>6.5930376530890913E-2</v>
      </c>
      <c r="O346" s="139">
        <f>Table65677175[[#This Row],[Employed Persons:
Males]]*Table65677175[[#This Row],[Smoking Prevalence Associated with Intervention: Males]]</f>
        <v>504059.39141666406</v>
      </c>
      <c r="P346" s="139">
        <f>Table65677175[[#This Row],[Employed Persons:
Females]]*Table65677175[[#This Row],[Smoking Prevalence Associated with Intervention: Females]]</f>
        <v>55447.446662479255</v>
      </c>
      <c r="Q346" s="142">
        <f t="shared" si="76"/>
        <v>214025777.85005021</v>
      </c>
      <c r="R346" s="142">
        <f t="shared" si="77"/>
        <v>15176098.169250721</v>
      </c>
      <c r="S346" s="142">
        <f>Table65677175[[#This Row],[Excess Presenteeism (Costs) - Intervention Scenario:
Males]]+Table65677175[[#This Row],[Smoking Breaks (Costs) - Intervention Scenario:
Females]]</f>
        <v>229201876.01930094</v>
      </c>
      <c r="T346" s="145">
        <f>Table65677175[[#This Row],[Smoking Breaks (Costs):
Males]]-Table65677175[[#This Row],[Excess Presenteeism (Costs) - Intervention Scenario:
Males]]</f>
        <v>13210971.54852125</v>
      </c>
      <c r="U346" s="145">
        <f>Table65677175[[#This Row],[Smoking Breaks (Costs):
Females]]-Table65677175[[#This Row],[Smoking Breaks (Costs) - Intervention Scenario:
Females]]</f>
        <v>936760.99741594866</v>
      </c>
      <c r="V346" s="145">
        <f>Table65677175[[#This Row],[Smoking Breaks (Costs):
Total]]-Table65677175[[#This Row],[Smoking Breaks (Costs) - Intervention Scenario:
Total]]</f>
        <v>14147732.545937181</v>
      </c>
    </row>
    <row r="347" spans="2:22" customFormat="1">
      <c r="B347" s="54">
        <v>13</v>
      </c>
      <c r="C347" s="125">
        <f t="shared" si="72"/>
        <v>938900</v>
      </c>
      <c r="D347" s="125">
        <f t="shared" si="73"/>
        <v>841000</v>
      </c>
      <c r="E347" s="121">
        <f t="shared" si="74"/>
        <v>0.56999999999999995</v>
      </c>
      <c r="F347" s="121">
        <f t="shared" si="75"/>
        <v>7.0000000000000007E-2</v>
      </c>
      <c r="G347" s="125">
        <f>Table65677175[[#This Row],[Employed Persons:
Males]]*Table65677175[[#This Row],[Smoking Prevalence:
Males]]</f>
        <v>535173</v>
      </c>
      <c r="H347" s="125">
        <f>Table65677175[[#This Row],[Employed Persons:
Females]]*Table65677175[[#This Row],[Smoking Prevalence:
Females]]</f>
        <v>58870.000000000007</v>
      </c>
      <c r="I347" s="50">
        <f>$C$16*Table65677175[[#This Row],[Employed Smokers:
Males]]*D$29</f>
        <v>227236749.39857146</v>
      </c>
      <c r="J347" s="15">
        <f>$C$16*Table65677175[[#This Row],[Employed Smokers:
Females]]*E$29</f>
        <v>16112859.16666667</v>
      </c>
      <c r="K347" s="15">
        <f>Table65677175[[#This Row],[Smoking Breaks (Costs):
Males]]+Table65677175[[#This Row],[Smoking Breaks (Costs):
Females]]</f>
        <v>243349608.56523812</v>
      </c>
      <c r="L347" s="132">
        <v>-8.0000000000000004E-4</v>
      </c>
      <c r="M347" s="136">
        <f>M346*(1+Table65677175[[#This Row],[Relative Change in Smoking Prevalence:
Smoke-Free Air Laws]])</f>
        <v>0.53643214815585338</v>
      </c>
      <c r="N347" s="136">
        <f>N346*(1+Table65677175[[#This Row],[Relative Change in Smoking Prevalence:
Smoke-Free Air Laws]])</f>
        <v>6.5877632229666194E-2</v>
      </c>
      <c r="O347" s="139">
        <f>Table65677175[[#This Row],[Employed Persons:
Males]]*Table65677175[[#This Row],[Smoking Prevalence Associated with Intervention: Males]]</f>
        <v>503656.14390353073</v>
      </c>
      <c r="P347" s="139">
        <f>Table65677175[[#This Row],[Employed Persons:
Females]]*Table65677175[[#This Row],[Smoking Prevalence Associated with Intervention: Females]]</f>
        <v>55403.088705149268</v>
      </c>
      <c r="Q347" s="142">
        <f t="shared" si="76"/>
        <v>213854557.22777018</v>
      </c>
      <c r="R347" s="142">
        <f t="shared" si="77"/>
        <v>15163957.29071532</v>
      </c>
      <c r="S347" s="142">
        <f>Table65677175[[#This Row],[Excess Presenteeism (Costs) - Intervention Scenario:
Males]]+Table65677175[[#This Row],[Smoking Breaks (Costs) - Intervention Scenario:
Females]]</f>
        <v>229018514.51848549</v>
      </c>
      <c r="T347" s="145">
        <f>Table65677175[[#This Row],[Smoking Breaks (Costs):
Males]]-Table65677175[[#This Row],[Excess Presenteeism (Costs) - Intervention Scenario:
Males]]</f>
        <v>13382192.170801282</v>
      </c>
      <c r="U347" s="145">
        <f>Table65677175[[#This Row],[Smoking Breaks (Costs):
Females]]-Table65677175[[#This Row],[Smoking Breaks (Costs) - Intervention Scenario:
Females]]</f>
        <v>948901.87595134974</v>
      </c>
      <c r="V347" s="145">
        <f>Table65677175[[#This Row],[Smoking Breaks (Costs):
Total]]-Table65677175[[#This Row],[Smoking Breaks (Costs) - Intervention Scenario:
Total]]</f>
        <v>14331094.046752632</v>
      </c>
    </row>
    <row r="348" spans="2:22" customFormat="1">
      <c r="B348" s="55">
        <v>14</v>
      </c>
      <c r="C348" s="126">
        <f t="shared" si="72"/>
        <v>938900</v>
      </c>
      <c r="D348" s="126">
        <f t="shared" si="73"/>
        <v>841000</v>
      </c>
      <c r="E348" s="122">
        <f t="shared" si="74"/>
        <v>0.56999999999999995</v>
      </c>
      <c r="F348" s="122">
        <f t="shared" si="75"/>
        <v>7.0000000000000007E-2</v>
      </c>
      <c r="G348" s="126">
        <f>Table65677175[[#This Row],[Employed Persons:
Males]]*Table65677175[[#This Row],[Smoking Prevalence:
Males]]</f>
        <v>535173</v>
      </c>
      <c r="H348" s="126">
        <f>Table65677175[[#This Row],[Employed Persons:
Females]]*Table65677175[[#This Row],[Smoking Prevalence:
Females]]</f>
        <v>58870.000000000007</v>
      </c>
      <c r="I348" s="51">
        <f>$C$16*Table65677175[[#This Row],[Employed Smokers:
Males]]*D$29</f>
        <v>227236749.39857146</v>
      </c>
      <c r="J348" s="15">
        <f>$C$16*Table65677175[[#This Row],[Employed Smokers:
Females]]*E$29</f>
        <v>16112859.16666667</v>
      </c>
      <c r="K348" s="15">
        <f>Table65677175[[#This Row],[Smoking Breaks (Costs):
Males]]+Table65677175[[#This Row],[Smoking Breaks (Costs):
Females]]</f>
        <v>243349608.56523812</v>
      </c>
      <c r="L348" s="132">
        <v>-8.0000000000000004E-4</v>
      </c>
      <c r="M348" s="136">
        <f>M347*(1+Table65677175[[#This Row],[Relative Change in Smoking Prevalence:
Smoke-Free Air Laws]])</f>
        <v>0.53600300243732868</v>
      </c>
      <c r="N348" s="136">
        <f>N347*(1+Table65677175[[#This Row],[Relative Change in Smoking Prevalence:
Smoke-Free Air Laws]])</f>
        <v>6.5824930123882464E-2</v>
      </c>
      <c r="O348" s="139">
        <f>Table65677175[[#This Row],[Employed Persons:
Males]]*Table65677175[[#This Row],[Smoking Prevalence Associated with Intervention: Males]]</f>
        <v>503253.21898840787</v>
      </c>
      <c r="P348" s="139">
        <f>Table65677175[[#This Row],[Employed Persons:
Females]]*Table65677175[[#This Row],[Smoking Prevalence Associated with Intervention: Females]]</f>
        <v>55358.766234185154</v>
      </c>
      <c r="Q348" s="142">
        <f t="shared" si="76"/>
        <v>213683473.58198795</v>
      </c>
      <c r="R348" s="142">
        <f t="shared" si="77"/>
        <v>15151826.124882748</v>
      </c>
      <c r="S348" s="142">
        <f>Table65677175[[#This Row],[Excess Presenteeism (Costs) - Intervention Scenario:
Males]]+Table65677175[[#This Row],[Smoking Breaks (Costs) - Intervention Scenario:
Females]]</f>
        <v>228835299.7068707</v>
      </c>
      <c r="T348" s="145">
        <f>Table65677175[[#This Row],[Smoking Breaks (Costs):
Males]]-Table65677175[[#This Row],[Excess Presenteeism (Costs) - Intervention Scenario:
Males]]</f>
        <v>13553275.816583514</v>
      </c>
      <c r="U348" s="145">
        <f>Table65677175[[#This Row],[Smoking Breaks (Costs):
Females]]-Table65677175[[#This Row],[Smoking Breaks (Costs) - Intervention Scenario:
Females]]</f>
        <v>961033.04178392142</v>
      </c>
      <c r="V348" s="145">
        <f>Table65677175[[#This Row],[Smoking Breaks (Costs):
Total]]-Table65677175[[#This Row],[Smoking Breaks (Costs) - Intervention Scenario:
Total]]</f>
        <v>14514308.858367413</v>
      </c>
    </row>
    <row r="349" spans="2:22" customFormat="1">
      <c r="B349" s="56">
        <v>15</v>
      </c>
      <c r="C349" s="127">
        <f t="shared" si="72"/>
        <v>938900</v>
      </c>
      <c r="D349" s="127">
        <f t="shared" si="73"/>
        <v>841000</v>
      </c>
      <c r="E349" s="123">
        <f t="shared" si="74"/>
        <v>0.56999999999999995</v>
      </c>
      <c r="F349" s="123">
        <f t="shared" si="75"/>
        <v>7.0000000000000007E-2</v>
      </c>
      <c r="G349" s="127">
        <f>Table65677175[[#This Row],[Employed Persons:
Males]]*Table65677175[[#This Row],[Smoking Prevalence:
Males]]</f>
        <v>535173</v>
      </c>
      <c r="H349" s="127">
        <f>Table65677175[[#This Row],[Employed Persons:
Females]]*Table65677175[[#This Row],[Smoking Prevalence:
Females]]</f>
        <v>58870.000000000007</v>
      </c>
      <c r="I349" s="52">
        <f>$C$16*Table65677175[[#This Row],[Employed Smokers:
Males]]*D$29</f>
        <v>227236749.39857146</v>
      </c>
      <c r="J349" s="15">
        <f>$C$16*Table65677175[[#This Row],[Employed Smokers:
Females]]*E$29</f>
        <v>16112859.16666667</v>
      </c>
      <c r="K349" s="15">
        <f>Table65677175[[#This Row],[Smoking Breaks (Costs):
Males]]+Table65677175[[#This Row],[Smoking Breaks (Costs):
Females]]</f>
        <v>243349608.56523812</v>
      </c>
      <c r="L349" s="132">
        <v>-8.0000000000000004E-4</v>
      </c>
      <c r="M349" s="136">
        <f>M348*(1+Table65677175[[#This Row],[Relative Change in Smoking Prevalence:
Smoke-Free Air Laws]])</f>
        <v>0.53557420003537881</v>
      </c>
      <c r="N349" s="136">
        <f>N348*(1+Table65677175[[#This Row],[Relative Change in Smoking Prevalence:
Smoke-Free Air Laws]])</f>
        <v>6.5772270179783363E-2</v>
      </c>
      <c r="O349" s="139">
        <f>Table65677175[[#This Row],[Employed Persons:
Males]]*Table65677175[[#This Row],[Smoking Prevalence Associated with Intervention: Males]]</f>
        <v>502850.61641321715</v>
      </c>
      <c r="P349" s="139">
        <f>Table65677175[[#This Row],[Employed Persons:
Females]]*Table65677175[[#This Row],[Smoking Prevalence Associated with Intervention: Females]]</f>
        <v>55314.479221197806</v>
      </c>
      <c r="Q349" s="142">
        <f t="shared" si="76"/>
        <v>213512526.80312237</v>
      </c>
      <c r="R349" s="142">
        <f t="shared" si="77"/>
        <v>15139704.663982842</v>
      </c>
      <c r="S349" s="142">
        <f>Table65677175[[#This Row],[Excess Presenteeism (Costs) - Intervention Scenario:
Males]]+Table65677175[[#This Row],[Smoking Breaks (Costs) - Intervention Scenario:
Females]]</f>
        <v>228652231.46710521</v>
      </c>
      <c r="T349" s="145">
        <f>Table65677175[[#This Row],[Smoking Breaks (Costs):
Males]]-Table65677175[[#This Row],[Excess Presenteeism (Costs) - Intervention Scenario:
Males]]</f>
        <v>13724222.59544909</v>
      </c>
      <c r="U349" s="145">
        <f>Table65677175[[#This Row],[Smoking Breaks (Costs):
Females]]-Table65677175[[#This Row],[Smoking Breaks (Costs) - Intervention Scenario:
Females]]</f>
        <v>973154.50268382765</v>
      </c>
      <c r="V349" s="145">
        <f>Table65677175[[#This Row],[Smoking Breaks (Costs):
Total]]-Table65677175[[#This Row],[Smoking Breaks (Costs) - Intervention Scenario:
Total]]</f>
        <v>14697377.098132908</v>
      </c>
    </row>
    <row r="352" spans="2:22" ht="21">
      <c r="B352" s="81" t="s">
        <v>117</v>
      </c>
    </row>
    <row r="353" spans="2:22" ht="21">
      <c r="B353" s="81"/>
    </row>
    <row r="354" spans="2:22" ht="135">
      <c r="B354" s="71" t="s">
        <v>111</v>
      </c>
      <c r="C354" s="129" t="s">
        <v>175</v>
      </c>
      <c r="D354" s="128"/>
      <c r="E354" s="128"/>
      <c r="F354" s="128"/>
      <c r="G354" s="133" t="s">
        <v>176</v>
      </c>
      <c r="H354" s="134"/>
      <c r="I354" s="134"/>
      <c r="J354" s="134"/>
      <c r="K354" s="134"/>
      <c r="L354" s="68" t="s">
        <v>110</v>
      </c>
      <c r="M354" s="74" t="s">
        <v>177</v>
      </c>
      <c r="N354" s="70"/>
      <c r="O354" s="73" t="s">
        <v>178</v>
      </c>
      <c r="P354" s="72"/>
      <c r="Q354" s="72"/>
      <c r="R354" s="72"/>
      <c r="S354" s="72"/>
      <c r="T354" s="78" t="s">
        <v>179</v>
      </c>
      <c r="U354" s="75"/>
      <c r="V354" s="75"/>
    </row>
    <row r="356" spans="2:22" ht="69" customHeight="1" thickBot="1">
      <c r="B356" s="35" t="s">
        <v>81</v>
      </c>
      <c r="C356" s="35" t="s">
        <v>157</v>
      </c>
      <c r="D356" s="35" t="s">
        <v>158</v>
      </c>
      <c r="E356" s="35" t="s">
        <v>155</v>
      </c>
      <c r="F356" s="35" t="s">
        <v>156</v>
      </c>
      <c r="G356" s="35" t="s">
        <v>159</v>
      </c>
      <c r="H356" s="35" t="s">
        <v>160</v>
      </c>
      <c r="I356" s="34" t="s">
        <v>188</v>
      </c>
      <c r="J356" s="34" t="s">
        <v>189</v>
      </c>
      <c r="K356" s="34" t="s">
        <v>190</v>
      </c>
      <c r="L356" s="63" t="s">
        <v>73</v>
      </c>
      <c r="M356" s="135" t="s">
        <v>162</v>
      </c>
      <c r="N356" s="135" t="s">
        <v>163</v>
      </c>
      <c r="O356" s="137" t="s">
        <v>164</v>
      </c>
      <c r="P356" s="137" t="s">
        <v>165</v>
      </c>
      <c r="Q356" s="137" t="s">
        <v>191</v>
      </c>
      <c r="R356" s="137" t="s">
        <v>497</v>
      </c>
      <c r="S356" s="137" t="s">
        <v>498</v>
      </c>
      <c r="T356" s="143" t="s">
        <v>173</v>
      </c>
      <c r="U356" s="143" t="s">
        <v>172</v>
      </c>
      <c r="V356" s="143" t="s">
        <v>174</v>
      </c>
    </row>
    <row r="357" spans="2:22" ht="15.75" thickTop="1">
      <c r="B357" s="53">
        <v>0</v>
      </c>
      <c r="C357" s="124">
        <f t="shared" ref="C357:C372" si="78">$D$24</f>
        <v>938900</v>
      </c>
      <c r="D357" s="124">
        <f t="shared" ref="D357:D372" si="79">$E$24</f>
        <v>841000</v>
      </c>
      <c r="E357" s="120">
        <f t="shared" ref="E357:E372" si="80">$D$25</f>
        <v>0.56999999999999995</v>
      </c>
      <c r="F357" s="120">
        <f t="shared" ref="F357:F372" si="81">$E$25</f>
        <v>7.0000000000000007E-2</v>
      </c>
      <c r="G357" s="124">
        <f>Table6567687276[[#This Row],[Employed Persons:
Males]]*Table6567687276[[#This Row],[Smoking Prevalence:
Males]]</f>
        <v>535173</v>
      </c>
      <c r="H357" s="124">
        <f>Table6567687276[[#This Row],[Employed Persons:
Females]]*Table6567687276[[#This Row],[Smoking Prevalence:
Females]]</f>
        <v>58870.000000000007</v>
      </c>
      <c r="I357" s="49">
        <f>$C$16*Table6567687276[[#This Row],[Employed Smokers:
Males]]*D$29</f>
        <v>227236749.39857146</v>
      </c>
      <c r="J357" s="49">
        <f>$C$16*Table6567687276[[#This Row],[Employed Smokers:
Females]]*E$29</f>
        <v>16112859.16666667</v>
      </c>
      <c r="K357" s="12">
        <f>Table6567687276[[#This Row],[Smoking Breaks (Costs):
Males]]+Table6567687276[[#This Row],[Smoking Breaks (Costs):
Females]]</f>
        <v>243349608.56523812</v>
      </c>
      <c r="L357" s="67"/>
      <c r="M357" s="136">
        <f>Table6567687276[[#This Row],[Smoking Prevalence:
Males]]</f>
        <v>0.56999999999999995</v>
      </c>
      <c r="N357" s="136">
        <f>Table6567687276[[#This Row],[Smoking Prevalence:
Females]]</f>
        <v>7.0000000000000007E-2</v>
      </c>
      <c r="O357" s="138">
        <f>Table6567687276[[#This Row],[Employed Persons:
Males]]*Table6567687276[[#This Row],[Smoking Prevalence Associated with Intervention: Males]]</f>
        <v>535173</v>
      </c>
      <c r="P357" s="138">
        <f>Table6567687276[[#This Row],[Employed Persons:
Females]]*Table6567687276[[#This Row],[Smoking Prevalence Associated with Intervention: Females]]</f>
        <v>58870.000000000007</v>
      </c>
      <c r="Q357" s="140">
        <f t="shared" ref="Q357:Q372" si="82">$C$16*O357*D$29</f>
        <v>227236749.39857146</v>
      </c>
      <c r="R357" s="140">
        <f t="shared" ref="R357:R372" si="83">$C$16*P357*E$29</f>
        <v>16112859.16666667</v>
      </c>
      <c r="S357" s="141">
        <f>Table6567687276[[#This Row],[Smoking Breaks (Costs) - Intervention Scenario:
Males]]+Table6567687276[[#This Row],[Smoking Breaks (Costs) - Intervention Scenario:
Females]]</f>
        <v>243349608.56523812</v>
      </c>
      <c r="T357" s="144">
        <f>Table6567687276[[#This Row],[Smoking Breaks (Costs):
Males]]-Table6567687276[[#This Row],[Smoking Breaks (Costs) - Intervention Scenario:
Males]]</f>
        <v>0</v>
      </c>
      <c r="U357" s="144">
        <f>Table6567687276[[#This Row],[Smoking Breaks (Costs):
Females]]-Table6567687276[[#This Row],[Smoking Breaks (Costs) - Intervention Scenario:
Females]]</f>
        <v>0</v>
      </c>
      <c r="V357" s="144">
        <f>Table6567687276[[#This Row],[Smoking Breaks (Costs):
Total]]-Table6567687276[[#This Row],[Smoking Breaks (Costs) - Intervention Scenario:
Total]]</f>
        <v>0</v>
      </c>
    </row>
    <row r="358" spans="2:22">
      <c r="B358" s="54">
        <v>1</v>
      </c>
      <c r="C358" s="125">
        <f t="shared" si="78"/>
        <v>938900</v>
      </c>
      <c r="D358" s="125">
        <f t="shared" si="79"/>
        <v>841000</v>
      </c>
      <c r="E358" s="121">
        <f t="shared" si="80"/>
        <v>0.56999999999999995</v>
      </c>
      <c r="F358" s="121">
        <f t="shared" si="81"/>
        <v>7.0000000000000007E-2</v>
      </c>
      <c r="G358" s="125">
        <f>Table6567687276[[#This Row],[Employed Persons:
Males]]*Table6567687276[[#This Row],[Smoking Prevalence:
Males]]</f>
        <v>535173</v>
      </c>
      <c r="H358" s="125">
        <f>Table6567687276[[#This Row],[Employed Persons:
Females]]*Table6567687276[[#This Row],[Smoking Prevalence:
Females]]</f>
        <v>58870.000000000007</v>
      </c>
      <c r="I358" s="50">
        <f>$C$16*Table6567687276[[#This Row],[Employed Smokers:
Males]]*D$29</f>
        <v>227236749.39857146</v>
      </c>
      <c r="J358" s="12">
        <f>$C$16*Table6567687276[[#This Row],[Employed Smokers:
Females]]*E$29</f>
        <v>16112859.16666667</v>
      </c>
      <c r="K358" s="12">
        <f>Table6567687276[[#This Row],[Smoking Breaks (Costs):
Males]]+Table6567687276[[#This Row],[Smoking Breaks (Costs):
Females]]</f>
        <v>243349608.56523812</v>
      </c>
      <c r="L358" s="130">
        <v>-0.02</v>
      </c>
      <c r="M358" s="136">
        <f>M357*(1+Table6567687276[[#This Row],[Relative Change in Smoking Prevalence:
Enforce Marketing Restrictions]])</f>
        <v>0.55859999999999999</v>
      </c>
      <c r="N358" s="136">
        <f>N357*(1+Table6567687276[[#This Row],[Relative Change in Smoking Prevalence:
Enforce Marketing Restrictions]])</f>
        <v>6.8600000000000008E-2</v>
      </c>
      <c r="O358" s="138">
        <f>Table6567687276[[#This Row],[Employed Persons:
Males]]*Table6567687276[[#This Row],[Smoking Prevalence Associated with Intervention: Males]]</f>
        <v>524469.54</v>
      </c>
      <c r="P358" s="138">
        <f>Table6567687276[[#This Row],[Employed Persons:
Females]]*Table6567687276[[#This Row],[Smoking Prevalence Associated with Intervention: Females]]</f>
        <v>57692.600000000006</v>
      </c>
      <c r="Q358" s="141">
        <f t="shared" si="82"/>
        <v>222692014.41060007</v>
      </c>
      <c r="R358" s="141">
        <f t="shared" si="83"/>
        <v>15790601.983333334</v>
      </c>
      <c r="S358" s="141">
        <f>Table6567687276[[#This Row],[Smoking Breaks (Costs) - Intervention Scenario:
Males]]+Table6567687276[[#This Row],[Smoking Breaks (Costs) - Intervention Scenario:
Females]]</f>
        <v>238482616.39393342</v>
      </c>
      <c r="T358" s="144">
        <f>Table6567687276[[#This Row],[Smoking Breaks (Costs):
Males]]-Table6567687276[[#This Row],[Smoking Breaks (Costs) - Intervention Scenario:
Males]]</f>
        <v>4544734.9879713953</v>
      </c>
      <c r="U358" s="144">
        <f>Table6567687276[[#This Row],[Smoking Breaks (Costs):
Females]]-Table6567687276[[#This Row],[Smoking Breaks (Costs) - Intervention Scenario:
Females]]</f>
        <v>322257.18333333544</v>
      </c>
      <c r="V358" s="144">
        <f>Table6567687276[[#This Row],[Smoking Breaks (Costs):
Total]]-Table6567687276[[#This Row],[Smoking Breaks (Costs) - Intervention Scenario:
Total]]</f>
        <v>4866992.1713047028</v>
      </c>
    </row>
    <row r="359" spans="2:22">
      <c r="B359" s="55">
        <v>2</v>
      </c>
      <c r="C359" s="126">
        <f t="shared" si="78"/>
        <v>938900</v>
      </c>
      <c r="D359" s="126">
        <f t="shared" si="79"/>
        <v>841000</v>
      </c>
      <c r="E359" s="122">
        <f t="shared" si="80"/>
        <v>0.56999999999999995</v>
      </c>
      <c r="F359" s="122">
        <f t="shared" si="81"/>
        <v>7.0000000000000007E-2</v>
      </c>
      <c r="G359" s="126">
        <f>Table6567687276[[#This Row],[Employed Persons:
Males]]*Table6567687276[[#This Row],[Smoking Prevalence:
Males]]</f>
        <v>535173</v>
      </c>
      <c r="H359" s="126">
        <f>Table6567687276[[#This Row],[Employed Persons:
Females]]*Table6567687276[[#This Row],[Smoking Prevalence:
Females]]</f>
        <v>58870.000000000007</v>
      </c>
      <c r="I359" s="51">
        <f>$C$16*Table6567687276[[#This Row],[Employed Smokers:
Males]]*D$29</f>
        <v>227236749.39857146</v>
      </c>
      <c r="J359" s="12">
        <f>$C$16*Table6567687276[[#This Row],[Employed Smokers:
Females]]*E$29</f>
        <v>16112859.16666667</v>
      </c>
      <c r="K359" s="12">
        <f>Table6567687276[[#This Row],[Smoking Breaks (Costs):
Males]]+Table6567687276[[#This Row],[Smoking Breaks (Costs):
Females]]</f>
        <v>243349608.56523812</v>
      </c>
      <c r="L359" s="130">
        <v>-0.02</v>
      </c>
      <c r="M359" s="136">
        <f>M358*(1+Table6567687276[[#This Row],[Relative Change in Smoking Prevalence:
Enforce Marketing Restrictions]])</f>
        <v>0.54742800000000003</v>
      </c>
      <c r="N359" s="136">
        <f>N358*(1+Table6567687276[[#This Row],[Relative Change in Smoking Prevalence:
Enforce Marketing Restrictions]])</f>
        <v>6.722800000000001E-2</v>
      </c>
      <c r="O359" s="138">
        <f>Table6567687276[[#This Row],[Employed Persons:
Males]]*Table6567687276[[#This Row],[Smoking Prevalence Associated with Intervention: Males]]</f>
        <v>513980.14920000004</v>
      </c>
      <c r="P359" s="138">
        <f>Table6567687276[[#This Row],[Employed Persons:
Females]]*Table6567687276[[#This Row],[Smoking Prevalence Associated with Intervention: Females]]</f>
        <v>56538.748000000007</v>
      </c>
      <c r="Q359" s="141">
        <f t="shared" si="82"/>
        <v>218238174.12238804</v>
      </c>
      <c r="R359" s="141">
        <f t="shared" si="83"/>
        <v>15474789.943666669</v>
      </c>
      <c r="S359" s="141">
        <f>Table6567687276[[#This Row],[Smoking Breaks (Costs) - Intervention Scenario:
Males]]+Table6567687276[[#This Row],[Smoking Breaks (Costs) - Intervention Scenario:
Females]]</f>
        <v>233712964.0660547</v>
      </c>
      <c r="T359" s="144">
        <f>Table6567687276[[#This Row],[Smoking Breaks (Costs):
Males]]-Table6567687276[[#This Row],[Smoking Breaks (Costs) - Intervention Scenario:
Males]]</f>
        <v>8998575.2761834264</v>
      </c>
      <c r="U359" s="144">
        <f>Table6567687276[[#This Row],[Smoking Breaks (Costs):
Females]]-Table6567687276[[#This Row],[Smoking Breaks (Costs) - Intervention Scenario:
Females]]</f>
        <v>638069.22300000116</v>
      </c>
      <c r="V359" s="144">
        <f>Table6567687276[[#This Row],[Smoking Breaks (Costs):
Total]]-Table6567687276[[#This Row],[Smoking Breaks (Costs) - Intervention Scenario:
Total]]</f>
        <v>9636644.4991834164</v>
      </c>
    </row>
    <row r="360" spans="2:22">
      <c r="B360" s="54">
        <v>3</v>
      </c>
      <c r="C360" s="125">
        <f t="shared" si="78"/>
        <v>938900</v>
      </c>
      <c r="D360" s="125">
        <f t="shared" si="79"/>
        <v>841000</v>
      </c>
      <c r="E360" s="121">
        <f t="shared" si="80"/>
        <v>0.56999999999999995</v>
      </c>
      <c r="F360" s="121">
        <f t="shared" si="81"/>
        <v>7.0000000000000007E-2</v>
      </c>
      <c r="G360" s="125">
        <f>Table6567687276[[#This Row],[Employed Persons:
Males]]*Table6567687276[[#This Row],[Smoking Prevalence:
Males]]</f>
        <v>535173</v>
      </c>
      <c r="H360" s="125">
        <f>Table6567687276[[#This Row],[Employed Persons:
Females]]*Table6567687276[[#This Row],[Smoking Prevalence:
Females]]</f>
        <v>58870.000000000007</v>
      </c>
      <c r="I360" s="50">
        <f>$C$16*Table6567687276[[#This Row],[Employed Smokers:
Males]]*D$29</f>
        <v>227236749.39857146</v>
      </c>
      <c r="J360" s="12">
        <f>$C$16*Table6567687276[[#This Row],[Employed Smokers:
Females]]*E$29</f>
        <v>16112859.16666667</v>
      </c>
      <c r="K360" s="12">
        <f>Table6567687276[[#This Row],[Smoking Breaks (Costs):
Males]]+Table6567687276[[#This Row],[Smoking Breaks (Costs):
Females]]</f>
        <v>243349608.56523812</v>
      </c>
      <c r="L360" s="130">
        <v>-0.02</v>
      </c>
      <c r="M360" s="136">
        <f>M359*(1+Table6567687276[[#This Row],[Relative Change in Smoking Prevalence:
Enforce Marketing Restrictions]])</f>
        <v>0.53647944000000003</v>
      </c>
      <c r="N360" s="136">
        <f>N359*(1+Table6567687276[[#This Row],[Relative Change in Smoking Prevalence:
Enforce Marketing Restrictions]])</f>
        <v>6.5883440000000015E-2</v>
      </c>
      <c r="O360" s="138">
        <f>Table6567687276[[#This Row],[Employed Persons:
Males]]*Table6567687276[[#This Row],[Smoking Prevalence Associated with Intervention: Males]]</f>
        <v>503700.54621600005</v>
      </c>
      <c r="P360" s="138">
        <f>Table6567687276[[#This Row],[Employed Persons:
Females]]*Table6567687276[[#This Row],[Smoking Prevalence Associated with Intervention: Females]]</f>
        <v>55407.973040000012</v>
      </c>
      <c r="Q360" s="141">
        <f t="shared" si="82"/>
        <v>213873410.63994026</v>
      </c>
      <c r="R360" s="141">
        <f t="shared" si="83"/>
        <v>15165294.144793337</v>
      </c>
      <c r="S360" s="141">
        <f>Table6567687276[[#This Row],[Smoking Breaks (Costs) - Intervention Scenario:
Males]]+Table6567687276[[#This Row],[Smoking Breaks (Costs) - Intervention Scenario:
Females]]</f>
        <v>229038704.78473359</v>
      </c>
      <c r="T360" s="144">
        <f>Table6567687276[[#This Row],[Smoking Breaks (Costs):
Males]]-Table6567687276[[#This Row],[Smoking Breaks (Costs) - Intervention Scenario:
Males]]</f>
        <v>13363338.7586312</v>
      </c>
      <c r="U360" s="144">
        <f>Table6567687276[[#This Row],[Smoking Breaks (Costs):
Females]]-Table6567687276[[#This Row],[Smoking Breaks (Costs) - Intervention Scenario:
Females]]</f>
        <v>947565.02187333256</v>
      </c>
      <c r="V360" s="144">
        <f>Table6567687276[[#This Row],[Smoking Breaks (Costs):
Total]]-Table6567687276[[#This Row],[Smoking Breaks (Costs) - Intervention Scenario:
Total]]</f>
        <v>14310903.780504525</v>
      </c>
    </row>
    <row r="361" spans="2:22">
      <c r="B361" s="55">
        <v>4</v>
      </c>
      <c r="C361" s="126">
        <f t="shared" si="78"/>
        <v>938900</v>
      </c>
      <c r="D361" s="126">
        <f t="shared" si="79"/>
        <v>841000</v>
      </c>
      <c r="E361" s="122">
        <f t="shared" si="80"/>
        <v>0.56999999999999995</v>
      </c>
      <c r="F361" s="122">
        <f t="shared" si="81"/>
        <v>7.0000000000000007E-2</v>
      </c>
      <c r="G361" s="126">
        <f>Table6567687276[[#This Row],[Employed Persons:
Males]]*Table6567687276[[#This Row],[Smoking Prevalence:
Males]]</f>
        <v>535173</v>
      </c>
      <c r="H361" s="126">
        <f>Table6567687276[[#This Row],[Employed Persons:
Females]]*Table6567687276[[#This Row],[Smoking Prevalence:
Females]]</f>
        <v>58870.000000000007</v>
      </c>
      <c r="I361" s="51">
        <f>$C$16*Table6567687276[[#This Row],[Employed Smokers:
Males]]*D$29</f>
        <v>227236749.39857146</v>
      </c>
      <c r="J361" s="12">
        <f>$C$16*Table6567687276[[#This Row],[Employed Smokers:
Females]]*E$29</f>
        <v>16112859.16666667</v>
      </c>
      <c r="K361" s="12">
        <f>Table6567687276[[#This Row],[Smoking Breaks (Costs):
Males]]+Table6567687276[[#This Row],[Smoking Breaks (Costs):
Females]]</f>
        <v>243349608.56523812</v>
      </c>
      <c r="L361" s="130">
        <v>-0.02</v>
      </c>
      <c r="M361" s="136">
        <f>M360*(1+Table6567687276[[#This Row],[Relative Change in Smoking Prevalence:
Enforce Marketing Restrictions]])</f>
        <v>0.52574985120000006</v>
      </c>
      <c r="N361" s="136">
        <f>N360*(1+Table6567687276[[#This Row],[Relative Change in Smoking Prevalence:
Enforce Marketing Restrictions]])</f>
        <v>6.4565771200000011E-2</v>
      </c>
      <c r="O361" s="138">
        <f>Table6567687276[[#This Row],[Employed Persons:
Males]]*Table6567687276[[#This Row],[Smoking Prevalence Associated with Intervention: Males]]</f>
        <v>493626.53529168008</v>
      </c>
      <c r="P361" s="138">
        <f>Table6567687276[[#This Row],[Employed Persons:
Females]]*Table6567687276[[#This Row],[Smoking Prevalence Associated with Intervention: Females]]</f>
        <v>54299.81357920001</v>
      </c>
      <c r="Q361" s="141">
        <f t="shared" si="82"/>
        <v>209595942.42714149</v>
      </c>
      <c r="R361" s="141">
        <f t="shared" si="83"/>
        <v>14861988.261897471</v>
      </c>
      <c r="S361" s="141">
        <f>Table6567687276[[#This Row],[Smoking Breaks (Costs) - Intervention Scenario:
Males]]+Table6567687276[[#This Row],[Smoking Breaks (Costs) - Intervention Scenario:
Females]]</f>
        <v>224457930.68903896</v>
      </c>
      <c r="T361" s="144">
        <f>Table6567687276[[#This Row],[Smoking Breaks (Costs):
Males]]-Table6567687276[[#This Row],[Smoking Breaks (Costs) - Intervention Scenario:
Males]]</f>
        <v>17640806.971429974</v>
      </c>
      <c r="U361" s="144">
        <f>Table6567687276[[#This Row],[Smoking Breaks (Costs):
Females]]-Table6567687276[[#This Row],[Smoking Breaks (Costs) - Intervention Scenario:
Females]]</f>
        <v>1250870.904769199</v>
      </c>
      <c r="V361" s="144">
        <f>Table6567687276[[#This Row],[Smoking Breaks (Costs):
Total]]-Table6567687276[[#This Row],[Smoking Breaks (Costs) - Intervention Scenario:
Total]]</f>
        <v>18891677.876199156</v>
      </c>
    </row>
    <row r="362" spans="2:22" customFormat="1">
      <c r="B362" s="54">
        <v>5</v>
      </c>
      <c r="C362" s="125">
        <f t="shared" si="78"/>
        <v>938900</v>
      </c>
      <c r="D362" s="125">
        <f t="shared" si="79"/>
        <v>841000</v>
      </c>
      <c r="E362" s="121">
        <f t="shared" si="80"/>
        <v>0.56999999999999995</v>
      </c>
      <c r="F362" s="121">
        <f t="shared" si="81"/>
        <v>7.0000000000000007E-2</v>
      </c>
      <c r="G362" s="125">
        <f>Table6567687276[[#This Row],[Employed Persons:
Males]]*Table6567687276[[#This Row],[Smoking Prevalence:
Males]]</f>
        <v>535173</v>
      </c>
      <c r="H362" s="125">
        <f>Table6567687276[[#This Row],[Employed Persons:
Females]]*Table6567687276[[#This Row],[Smoking Prevalence:
Females]]</f>
        <v>58870.000000000007</v>
      </c>
      <c r="I362" s="50">
        <f>$C$16*Table6567687276[[#This Row],[Employed Smokers:
Males]]*D$29</f>
        <v>227236749.39857146</v>
      </c>
      <c r="J362" s="15">
        <f>$C$16*Table6567687276[[#This Row],[Employed Smokers:
Females]]*E$29</f>
        <v>16112859.16666667</v>
      </c>
      <c r="K362" s="15">
        <f>Table6567687276[[#This Row],[Smoking Breaks (Costs):
Males]]+Table6567687276[[#This Row],[Smoking Breaks (Costs):
Females]]</f>
        <v>243349608.56523812</v>
      </c>
      <c r="L362" s="131">
        <v>-0.02</v>
      </c>
      <c r="M362" s="136">
        <f>M361*(1+Table6567687276[[#This Row],[Relative Change in Smoking Prevalence:
Enforce Marketing Restrictions]])</f>
        <v>0.51523485417600001</v>
      </c>
      <c r="N362" s="136">
        <f>N361*(1+Table6567687276[[#This Row],[Relative Change in Smoking Prevalence:
Enforce Marketing Restrictions]])</f>
        <v>6.3274455776000008E-2</v>
      </c>
      <c r="O362" s="139">
        <f>Table6567687276[[#This Row],[Employed Persons:
Males]]*Table6567687276[[#This Row],[Smoking Prevalence Associated with Intervention: Males]]</f>
        <v>483754.00458584639</v>
      </c>
      <c r="P362" s="139">
        <f>Table6567687276[[#This Row],[Employed Persons:
Females]]*Table6567687276[[#This Row],[Smoking Prevalence Associated with Intervention: Females]]</f>
        <v>53213.817307616009</v>
      </c>
      <c r="Q362" s="142">
        <f t="shared" si="82"/>
        <v>205404023.57859862</v>
      </c>
      <c r="R362" s="142">
        <f t="shared" si="83"/>
        <v>14564748.496659521</v>
      </c>
      <c r="S362" s="142">
        <f>Table6567687276[[#This Row],[Smoking Breaks (Costs) - Intervention Scenario:
Males]]+Table6567687276[[#This Row],[Smoking Breaks (Costs) - Intervention Scenario:
Females]]</f>
        <v>219968772.07525814</v>
      </c>
      <c r="T362" s="145">
        <f>Table6567687276[[#This Row],[Smoking Breaks (Costs):
Males]]-Table6567687276[[#This Row],[Smoking Breaks (Costs) - Intervention Scenario:
Males]]</f>
        <v>21832725.819972843</v>
      </c>
      <c r="U362" s="145">
        <f>Table6567687276[[#This Row],[Smoking Breaks (Costs):
Females]]-Table6567687276[[#This Row],[Smoking Breaks (Costs) - Intervention Scenario:
Females]]</f>
        <v>1548110.6700071488</v>
      </c>
      <c r="V362" s="145">
        <f>Table6567687276[[#This Row],[Smoking Breaks (Costs):
Total]]-Table6567687276[[#This Row],[Smoking Breaks (Costs) - Intervention Scenario:
Total]]</f>
        <v>23380836.489979982</v>
      </c>
    </row>
    <row r="363" spans="2:22" customFormat="1">
      <c r="B363" s="55">
        <v>6</v>
      </c>
      <c r="C363" s="126">
        <f t="shared" si="78"/>
        <v>938900</v>
      </c>
      <c r="D363" s="126">
        <f t="shared" si="79"/>
        <v>841000</v>
      </c>
      <c r="E363" s="122">
        <f t="shared" si="80"/>
        <v>0.56999999999999995</v>
      </c>
      <c r="F363" s="122">
        <f t="shared" si="81"/>
        <v>7.0000000000000007E-2</v>
      </c>
      <c r="G363" s="126">
        <f>Table6567687276[[#This Row],[Employed Persons:
Males]]*Table6567687276[[#This Row],[Smoking Prevalence:
Males]]</f>
        <v>535173</v>
      </c>
      <c r="H363" s="126">
        <f>Table6567687276[[#This Row],[Employed Persons:
Females]]*Table6567687276[[#This Row],[Smoking Prevalence:
Females]]</f>
        <v>58870.000000000007</v>
      </c>
      <c r="I363" s="51">
        <f>$C$16*Table6567687276[[#This Row],[Employed Smokers:
Males]]*D$29</f>
        <v>227236749.39857146</v>
      </c>
      <c r="J363" s="15">
        <f>$C$16*Table6567687276[[#This Row],[Employed Smokers:
Females]]*E$29</f>
        <v>16112859.16666667</v>
      </c>
      <c r="K363" s="15">
        <f>Table6567687276[[#This Row],[Smoking Breaks (Costs):
Males]]+Table6567687276[[#This Row],[Smoking Breaks (Costs):
Females]]</f>
        <v>243349608.56523812</v>
      </c>
      <c r="L363" s="132">
        <v>-1.9999999999999992E-3</v>
      </c>
      <c r="M363" s="136">
        <f>M362*(1+Table6567687276[[#This Row],[Relative Change in Smoking Prevalence:
Enforce Marketing Restrictions]])</f>
        <v>0.51420438446764805</v>
      </c>
      <c r="N363" s="136">
        <f>N362*(1+Table6567687276[[#This Row],[Relative Change in Smoking Prevalence:
Enforce Marketing Restrictions]])</f>
        <v>6.3147906864448003E-2</v>
      </c>
      <c r="O363" s="139">
        <f>Table6567687276[[#This Row],[Employed Persons:
Males]]*Table6567687276[[#This Row],[Smoking Prevalence Associated with Intervention: Males]]</f>
        <v>482786.49657667475</v>
      </c>
      <c r="P363" s="139">
        <f>Table6567687276[[#This Row],[Employed Persons:
Females]]*Table6567687276[[#This Row],[Smoking Prevalence Associated with Intervention: Females]]</f>
        <v>53107.389673000769</v>
      </c>
      <c r="Q363" s="142">
        <f t="shared" si="82"/>
        <v>204993215.53144145</v>
      </c>
      <c r="R363" s="142">
        <f t="shared" si="83"/>
        <v>14535618.999666199</v>
      </c>
      <c r="S363" s="142">
        <f>Table6567687276[[#This Row],[Smoking Breaks (Costs) - Intervention Scenario:
Males]]+Table6567687276[[#This Row],[Smoking Breaks (Costs) - Intervention Scenario:
Females]]</f>
        <v>219528834.53110766</v>
      </c>
      <c r="T363" s="145">
        <f>Table6567687276[[#This Row],[Smoking Breaks (Costs):
Males]]-Table6567687276[[#This Row],[Smoking Breaks (Costs) - Intervention Scenario:
Males]]</f>
        <v>22243533.867130011</v>
      </c>
      <c r="U363" s="145">
        <f>Table6567687276[[#This Row],[Smoking Breaks (Costs):
Females]]-Table6567687276[[#This Row],[Smoking Breaks (Costs) - Intervention Scenario:
Females]]</f>
        <v>1577240.1670004707</v>
      </c>
      <c r="V363" s="145">
        <f>Table6567687276[[#This Row],[Smoking Breaks (Costs):
Total]]-Table6567687276[[#This Row],[Smoking Breaks (Costs) - Intervention Scenario:
Total]]</f>
        <v>23820774.034130454</v>
      </c>
    </row>
    <row r="364" spans="2:22" customFormat="1">
      <c r="B364" s="54">
        <v>7</v>
      </c>
      <c r="C364" s="125">
        <f t="shared" si="78"/>
        <v>938900</v>
      </c>
      <c r="D364" s="125">
        <f t="shared" si="79"/>
        <v>841000</v>
      </c>
      <c r="E364" s="121">
        <f t="shared" si="80"/>
        <v>0.56999999999999995</v>
      </c>
      <c r="F364" s="121">
        <f t="shared" si="81"/>
        <v>7.0000000000000007E-2</v>
      </c>
      <c r="G364" s="125">
        <f>Table6567687276[[#This Row],[Employed Persons:
Males]]*Table6567687276[[#This Row],[Smoking Prevalence:
Males]]</f>
        <v>535173</v>
      </c>
      <c r="H364" s="125">
        <f>Table6567687276[[#This Row],[Employed Persons:
Females]]*Table6567687276[[#This Row],[Smoking Prevalence:
Females]]</f>
        <v>58870.000000000007</v>
      </c>
      <c r="I364" s="50">
        <f>$C$16*Table6567687276[[#This Row],[Employed Smokers:
Males]]*D$29</f>
        <v>227236749.39857146</v>
      </c>
      <c r="J364" s="15">
        <f>$C$16*Table6567687276[[#This Row],[Employed Smokers:
Females]]*E$29</f>
        <v>16112859.16666667</v>
      </c>
      <c r="K364" s="15">
        <f>Table6567687276[[#This Row],[Smoking Breaks (Costs):
Males]]+Table6567687276[[#This Row],[Smoking Breaks (Costs):
Females]]</f>
        <v>243349608.56523812</v>
      </c>
      <c r="L364" s="132">
        <v>-1.9999999999999992E-3</v>
      </c>
      <c r="M364" s="136">
        <f>M363*(1+Table6567687276[[#This Row],[Relative Change in Smoking Prevalence:
Enforce Marketing Restrictions]])</f>
        <v>0.51317597569871276</v>
      </c>
      <c r="N364" s="136">
        <f>N363*(1+Table6567687276[[#This Row],[Relative Change in Smoking Prevalence:
Enforce Marketing Restrictions]])</f>
        <v>6.3021611050719101E-2</v>
      </c>
      <c r="O364" s="139">
        <f>Table6567687276[[#This Row],[Employed Persons:
Males]]*Table6567687276[[#This Row],[Smoking Prevalence Associated with Intervention: Males]]</f>
        <v>481820.92358352139</v>
      </c>
      <c r="P364" s="139">
        <f>Table6567687276[[#This Row],[Employed Persons:
Females]]*Table6567687276[[#This Row],[Smoking Prevalence Associated with Intervention: Females]]</f>
        <v>53001.174893654766</v>
      </c>
      <c r="Q364" s="142">
        <f t="shared" si="82"/>
        <v>204583229.10037857</v>
      </c>
      <c r="R364" s="142">
        <f t="shared" si="83"/>
        <v>14506547.761666866</v>
      </c>
      <c r="S364" s="142">
        <f>Table6567687276[[#This Row],[Smoking Breaks (Costs) - Intervention Scenario:
Males]]+Table6567687276[[#This Row],[Smoking Breaks (Costs) - Intervention Scenario:
Females]]</f>
        <v>219089776.86204544</v>
      </c>
      <c r="T364" s="145">
        <f>Table6567687276[[#This Row],[Smoking Breaks (Costs):
Males]]-Table6567687276[[#This Row],[Smoking Breaks (Costs) - Intervention Scenario:
Males]]</f>
        <v>22653520.298192888</v>
      </c>
      <c r="U364" s="145">
        <f>Table6567687276[[#This Row],[Smoking Breaks (Costs):
Females]]-Table6567687276[[#This Row],[Smoking Breaks (Costs) - Intervention Scenario:
Females]]</f>
        <v>1606311.4049998038</v>
      </c>
      <c r="V364" s="145">
        <f>Table6567687276[[#This Row],[Smoking Breaks (Costs):
Total]]-Table6567687276[[#This Row],[Smoking Breaks (Costs) - Intervention Scenario:
Total]]</f>
        <v>24259831.703192681</v>
      </c>
    </row>
    <row r="365" spans="2:22" customFormat="1">
      <c r="B365" s="55">
        <v>8</v>
      </c>
      <c r="C365" s="126">
        <f t="shared" si="78"/>
        <v>938900</v>
      </c>
      <c r="D365" s="126">
        <f t="shared" si="79"/>
        <v>841000</v>
      </c>
      <c r="E365" s="122">
        <f t="shared" si="80"/>
        <v>0.56999999999999995</v>
      </c>
      <c r="F365" s="122">
        <f t="shared" si="81"/>
        <v>7.0000000000000007E-2</v>
      </c>
      <c r="G365" s="126">
        <f>Table6567687276[[#This Row],[Employed Persons:
Males]]*Table6567687276[[#This Row],[Smoking Prevalence:
Males]]</f>
        <v>535173</v>
      </c>
      <c r="H365" s="126">
        <f>Table6567687276[[#This Row],[Employed Persons:
Females]]*Table6567687276[[#This Row],[Smoking Prevalence:
Females]]</f>
        <v>58870.000000000007</v>
      </c>
      <c r="I365" s="51">
        <f>$C$16*Table6567687276[[#This Row],[Employed Smokers:
Males]]*D$29</f>
        <v>227236749.39857146</v>
      </c>
      <c r="J365" s="15">
        <f>$C$16*Table6567687276[[#This Row],[Employed Smokers:
Females]]*E$29</f>
        <v>16112859.16666667</v>
      </c>
      <c r="K365" s="15">
        <f>Table6567687276[[#This Row],[Smoking Breaks (Costs):
Males]]+Table6567687276[[#This Row],[Smoking Breaks (Costs):
Females]]</f>
        <v>243349608.56523812</v>
      </c>
      <c r="L365" s="132">
        <v>-1.9999999999999992E-3</v>
      </c>
      <c r="M365" s="136">
        <f>M364*(1+Table6567687276[[#This Row],[Relative Change in Smoking Prevalence:
Enforce Marketing Restrictions]])</f>
        <v>0.51214962374731532</v>
      </c>
      <c r="N365" s="136">
        <f>N364*(1+Table6567687276[[#This Row],[Relative Change in Smoking Prevalence:
Enforce Marketing Restrictions]])</f>
        <v>6.289556782861766E-2</v>
      </c>
      <c r="O365" s="139">
        <f>Table6567687276[[#This Row],[Employed Persons:
Males]]*Table6567687276[[#This Row],[Smoking Prevalence Associated with Intervention: Males]]</f>
        <v>480857.28173635434</v>
      </c>
      <c r="P365" s="139">
        <f>Table6567687276[[#This Row],[Employed Persons:
Females]]*Table6567687276[[#This Row],[Smoking Prevalence Associated with Intervention: Females]]</f>
        <v>52895.172543867455</v>
      </c>
      <c r="Q365" s="142">
        <f t="shared" si="82"/>
        <v>204174062.64217782</v>
      </c>
      <c r="R365" s="142">
        <f t="shared" si="83"/>
        <v>14477534.666143533</v>
      </c>
      <c r="S365" s="142">
        <f>Table6567687276[[#This Row],[Smoking Breaks (Costs) - Intervention Scenario:
Males]]+Table6567687276[[#This Row],[Smoking Breaks (Costs) - Intervention Scenario:
Females]]</f>
        <v>218651597.30832136</v>
      </c>
      <c r="T365" s="145">
        <f>Table6567687276[[#This Row],[Smoking Breaks (Costs):
Males]]-Table6567687276[[#This Row],[Smoking Breaks (Costs) - Intervention Scenario:
Males]]</f>
        <v>23062686.756393641</v>
      </c>
      <c r="U365" s="145">
        <f>Table6567687276[[#This Row],[Smoking Breaks (Costs):
Females]]-Table6567687276[[#This Row],[Smoking Breaks (Costs) - Intervention Scenario:
Females]]</f>
        <v>1635324.5005231369</v>
      </c>
      <c r="V365" s="145">
        <f>Table6567687276[[#This Row],[Smoking Breaks (Costs):
Total]]-Table6567687276[[#This Row],[Smoking Breaks (Costs) - Intervention Scenario:
Total]]</f>
        <v>24698011.256916761</v>
      </c>
    </row>
    <row r="366" spans="2:22" customFormat="1">
      <c r="B366" s="54">
        <v>9</v>
      </c>
      <c r="C366" s="125">
        <f t="shared" si="78"/>
        <v>938900</v>
      </c>
      <c r="D366" s="125">
        <f t="shared" si="79"/>
        <v>841000</v>
      </c>
      <c r="E366" s="121">
        <f t="shared" si="80"/>
        <v>0.56999999999999995</v>
      </c>
      <c r="F366" s="121">
        <f t="shared" si="81"/>
        <v>7.0000000000000007E-2</v>
      </c>
      <c r="G366" s="125">
        <f>Table6567687276[[#This Row],[Employed Persons:
Males]]*Table6567687276[[#This Row],[Smoking Prevalence:
Males]]</f>
        <v>535173</v>
      </c>
      <c r="H366" s="125">
        <f>Table6567687276[[#This Row],[Employed Persons:
Females]]*Table6567687276[[#This Row],[Smoking Prevalence:
Females]]</f>
        <v>58870.000000000007</v>
      </c>
      <c r="I366" s="50">
        <f>$C$16*Table6567687276[[#This Row],[Employed Smokers:
Males]]*D$29</f>
        <v>227236749.39857146</v>
      </c>
      <c r="J366" s="15">
        <f>$C$16*Table6567687276[[#This Row],[Employed Smokers:
Females]]*E$29</f>
        <v>16112859.16666667</v>
      </c>
      <c r="K366" s="15">
        <f>Table6567687276[[#This Row],[Smoking Breaks (Costs):
Males]]+Table6567687276[[#This Row],[Smoking Breaks (Costs):
Females]]</f>
        <v>243349608.56523812</v>
      </c>
      <c r="L366" s="132">
        <v>-1.9999999999999992E-3</v>
      </c>
      <c r="M366" s="136">
        <f>M365*(1+Table6567687276[[#This Row],[Relative Change in Smoking Prevalence:
Enforce Marketing Restrictions]])</f>
        <v>0.51112532449982073</v>
      </c>
      <c r="N366" s="136">
        <f>N365*(1+Table6567687276[[#This Row],[Relative Change in Smoking Prevalence:
Enforce Marketing Restrictions]])</f>
        <v>6.2769776692960425E-2</v>
      </c>
      <c r="O366" s="139">
        <f>Table6567687276[[#This Row],[Employed Persons:
Males]]*Table6567687276[[#This Row],[Smoking Prevalence Associated with Intervention: Males]]</f>
        <v>479895.56717288168</v>
      </c>
      <c r="P366" s="139">
        <f>Table6567687276[[#This Row],[Employed Persons:
Females]]*Table6567687276[[#This Row],[Smoking Prevalence Associated with Intervention: Females]]</f>
        <v>52789.38219877972</v>
      </c>
      <c r="Q366" s="142">
        <f t="shared" si="82"/>
        <v>203765714.51689345</v>
      </c>
      <c r="R366" s="142">
        <f t="shared" si="83"/>
        <v>14448579.596811246</v>
      </c>
      <c r="S366" s="142">
        <f>Table6567687276[[#This Row],[Smoking Breaks (Costs) - Intervention Scenario:
Males]]+Table6567687276[[#This Row],[Smoking Breaks (Costs) - Intervention Scenario:
Females]]</f>
        <v>218214294.11370468</v>
      </c>
      <c r="T366" s="145">
        <f>Table6567687276[[#This Row],[Smoking Breaks (Costs):
Males]]-Table6567687276[[#This Row],[Smoking Breaks (Costs) - Intervention Scenario:
Males]]</f>
        <v>23471034.881678015</v>
      </c>
      <c r="U366" s="145">
        <f>Table6567687276[[#This Row],[Smoking Breaks (Costs):
Females]]-Table6567687276[[#This Row],[Smoking Breaks (Costs) - Intervention Scenario:
Females]]</f>
        <v>1664279.5698554236</v>
      </c>
      <c r="V366" s="145">
        <f>Table6567687276[[#This Row],[Smoking Breaks (Costs):
Total]]-Table6567687276[[#This Row],[Smoking Breaks (Costs) - Intervention Scenario:
Total]]</f>
        <v>25135314.451533437</v>
      </c>
    </row>
    <row r="367" spans="2:22" customFormat="1">
      <c r="B367" s="55">
        <v>10</v>
      </c>
      <c r="C367" s="126">
        <f t="shared" si="78"/>
        <v>938900</v>
      </c>
      <c r="D367" s="126">
        <f t="shared" si="79"/>
        <v>841000</v>
      </c>
      <c r="E367" s="122">
        <f t="shared" si="80"/>
        <v>0.56999999999999995</v>
      </c>
      <c r="F367" s="122">
        <f t="shared" si="81"/>
        <v>7.0000000000000007E-2</v>
      </c>
      <c r="G367" s="126">
        <f>Table6567687276[[#This Row],[Employed Persons:
Males]]*Table6567687276[[#This Row],[Smoking Prevalence:
Males]]</f>
        <v>535173</v>
      </c>
      <c r="H367" s="126">
        <f>Table6567687276[[#This Row],[Employed Persons:
Females]]*Table6567687276[[#This Row],[Smoking Prevalence:
Females]]</f>
        <v>58870.000000000007</v>
      </c>
      <c r="I367" s="51">
        <f>$C$16*Table6567687276[[#This Row],[Employed Smokers:
Males]]*D$29</f>
        <v>227236749.39857146</v>
      </c>
      <c r="J367" s="15">
        <f>$C$16*Table6567687276[[#This Row],[Employed Smokers:
Females]]*E$29</f>
        <v>16112859.16666667</v>
      </c>
      <c r="K367" s="15">
        <f>Table6567687276[[#This Row],[Smoking Breaks (Costs):
Males]]+Table6567687276[[#This Row],[Smoking Breaks (Costs):
Females]]</f>
        <v>243349608.56523812</v>
      </c>
      <c r="L367" s="132">
        <v>-1.9999999999999992E-3</v>
      </c>
      <c r="M367" s="136">
        <f>M366*(1+Table6567687276[[#This Row],[Relative Change in Smoking Prevalence:
Enforce Marketing Restrictions]])</f>
        <v>0.5101030738508211</v>
      </c>
      <c r="N367" s="136">
        <f>N366*(1+Table6567687276[[#This Row],[Relative Change in Smoking Prevalence:
Enforce Marketing Restrictions]])</f>
        <v>6.264423713957451E-2</v>
      </c>
      <c r="O367" s="139">
        <f>Table6567687276[[#This Row],[Employed Persons:
Males]]*Table6567687276[[#This Row],[Smoking Prevalence Associated with Intervention: Males]]</f>
        <v>478935.77603853593</v>
      </c>
      <c r="P367" s="139">
        <f>Table6567687276[[#This Row],[Employed Persons:
Females]]*Table6567687276[[#This Row],[Smoking Prevalence Associated with Intervention: Females]]</f>
        <v>52683.803434382164</v>
      </c>
      <c r="Q367" s="142">
        <f t="shared" si="82"/>
        <v>203358183.08785969</v>
      </c>
      <c r="R367" s="142">
        <f t="shared" si="83"/>
        <v>14419682.437617622</v>
      </c>
      <c r="S367" s="142">
        <f>Table6567687276[[#This Row],[Smoking Breaks (Costs) - Intervention Scenario:
Males]]+Table6567687276[[#This Row],[Smoking Breaks (Costs) - Intervention Scenario:
Females]]</f>
        <v>217777865.52547732</v>
      </c>
      <c r="T367" s="145">
        <f>Table6567687276[[#This Row],[Smoking Breaks (Costs):
Males]]-Table6567687276[[#This Row],[Smoking Breaks (Costs) - Intervention Scenario:
Males]]</f>
        <v>23878566.310711771</v>
      </c>
      <c r="U367" s="145">
        <f>Table6567687276[[#This Row],[Smoking Breaks (Costs):
Females]]-Table6567687276[[#This Row],[Smoking Breaks (Costs) - Intervention Scenario:
Females]]</f>
        <v>1693176.7290490475</v>
      </c>
      <c r="V367" s="145">
        <f>Table6567687276[[#This Row],[Smoking Breaks (Costs):
Total]]-Table6567687276[[#This Row],[Smoking Breaks (Costs) - Intervention Scenario:
Total]]</f>
        <v>25571743.039760798</v>
      </c>
    </row>
    <row r="368" spans="2:22" customFormat="1">
      <c r="B368" s="54">
        <v>11</v>
      </c>
      <c r="C368" s="125">
        <f t="shared" si="78"/>
        <v>938900</v>
      </c>
      <c r="D368" s="125">
        <f t="shared" si="79"/>
        <v>841000</v>
      </c>
      <c r="E368" s="121">
        <f t="shared" si="80"/>
        <v>0.56999999999999995</v>
      </c>
      <c r="F368" s="121">
        <f t="shared" si="81"/>
        <v>7.0000000000000007E-2</v>
      </c>
      <c r="G368" s="125">
        <f>Table6567687276[[#This Row],[Employed Persons:
Males]]*Table6567687276[[#This Row],[Smoking Prevalence:
Males]]</f>
        <v>535173</v>
      </c>
      <c r="H368" s="125">
        <f>Table6567687276[[#This Row],[Employed Persons:
Females]]*Table6567687276[[#This Row],[Smoking Prevalence:
Females]]</f>
        <v>58870.000000000007</v>
      </c>
      <c r="I368" s="50">
        <f>$C$16*Table6567687276[[#This Row],[Employed Smokers:
Males]]*D$29</f>
        <v>227236749.39857146</v>
      </c>
      <c r="J368" s="15">
        <f>$C$16*Table6567687276[[#This Row],[Employed Smokers:
Females]]*E$29</f>
        <v>16112859.16666667</v>
      </c>
      <c r="K368" s="15">
        <f>Table6567687276[[#This Row],[Smoking Breaks (Costs):
Males]]+Table6567687276[[#This Row],[Smoking Breaks (Costs):
Females]]</f>
        <v>243349608.56523812</v>
      </c>
      <c r="L368" s="132">
        <v>-1.9999999999999992E-3</v>
      </c>
      <c r="M368" s="136">
        <f>M367*(1+Table6567687276[[#This Row],[Relative Change in Smoking Prevalence:
Enforce Marketing Restrictions]])</f>
        <v>0.5090828677031195</v>
      </c>
      <c r="N368" s="136">
        <f>N367*(1+Table6567687276[[#This Row],[Relative Change in Smoking Prevalence:
Enforce Marketing Restrictions]])</f>
        <v>6.2518948665295365E-2</v>
      </c>
      <c r="O368" s="139">
        <f>Table6567687276[[#This Row],[Employed Persons:
Males]]*Table6567687276[[#This Row],[Smoking Prevalence Associated with Intervention: Males]]</f>
        <v>477977.90448645892</v>
      </c>
      <c r="P368" s="139">
        <f>Table6567687276[[#This Row],[Employed Persons:
Females]]*Table6567687276[[#This Row],[Smoking Prevalence Associated with Intervention: Females]]</f>
        <v>52578.4358275134</v>
      </c>
      <c r="Q368" s="142">
        <f t="shared" si="82"/>
        <v>202951466.72168401</v>
      </c>
      <c r="R368" s="142">
        <f t="shared" si="83"/>
        <v>14390843.072742388</v>
      </c>
      <c r="S368" s="142">
        <f>Table6567687276[[#This Row],[Smoking Breaks (Costs) - Intervention Scenario:
Males]]+Table6567687276[[#This Row],[Smoking Breaks (Costs) - Intervention Scenario:
Females]]</f>
        <v>217342309.79442638</v>
      </c>
      <c r="T368" s="145">
        <f>Table6567687276[[#This Row],[Smoking Breaks (Costs):
Males]]-Table6567687276[[#This Row],[Smoking Breaks (Costs) - Intervention Scenario:
Males]]</f>
        <v>24285282.676887453</v>
      </c>
      <c r="U368" s="145">
        <f>Table6567687276[[#This Row],[Smoking Breaks (Costs):
Females]]-Table6567687276[[#This Row],[Smoking Breaks (Costs) - Intervention Scenario:
Females]]</f>
        <v>1722016.0939242821</v>
      </c>
      <c r="V368" s="145">
        <f>Table6567687276[[#This Row],[Smoking Breaks (Costs):
Total]]-Table6567687276[[#This Row],[Smoking Breaks (Costs) - Intervention Scenario:
Total]]</f>
        <v>26007298.770811737</v>
      </c>
    </row>
    <row r="369" spans="2:22" customFormat="1">
      <c r="B369" s="55">
        <v>12</v>
      </c>
      <c r="C369" s="126">
        <f t="shared" si="78"/>
        <v>938900</v>
      </c>
      <c r="D369" s="126">
        <f t="shared" si="79"/>
        <v>841000</v>
      </c>
      <c r="E369" s="122">
        <f t="shared" si="80"/>
        <v>0.56999999999999995</v>
      </c>
      <c r="F369" s="122">
        <f t="shared" si="81"/>
        <v>7.0000000000000007E-2</v>
      </c>
      <c r="G369" s="126">
        <f>Table6567687276[[#This Row],[Employed Persons:
Males]]*Table6567687276[[#This Row],[Smoking Prevalence:
Males]]</f>
        <v>535173</v>
      </c>
      <c r="H369" s="126">
        <f>Table6567687276[[#This Row],[Employed Persons:
Females]]*Table6567687276[[#This Row],[Smoking Prevalence:
Females]]</f>
        <v>58870.000000000007</v>
      </c>
      <c r="I369" s="51">
        <f>$C$16*Table6567687276[[#This Row],[Employed Smokers:
Males]]*D$29</f>
        <v>227236749.39857146</v>
      </c>
      <c r="J369" s="15">
        <f>$C$16*Table6567687276[[#This Row],[Employed Smokers:
Females]]*E$29</f>
        <v>16112859.16666667</v>
      </c>
      <c r="K369" s="15">
        <f>Table6567687276[[#This Row],[Smoking Breaks (Costs):
Males]]+Table6567687276[[#This Row],[Smoking Breaks (Costs):
Females]]</f>
        <v>243349608.56523812</v>
      </c>
      <c r="L369" s="132">
        <v>-1.9999999999999992E-3</v>
      </c>
      <c r="M369" s="136">
        <f>M368*(1+Table6567687276[[#This Row],[Relative Change in Smoking Prevalence:
Enforce Marketing Restrictions]])</f>
        <v>0.50806470196771325</v>
      </c>
      <c r="N369" s="136">
        <f>N368*(1+Table6567687276[[#This Row],[Relative Change in Smoking Prevalence:
Enforce Marketing Restrictions]])</f>
        <v>6.2393910767964772E-2</v>
      </c>
      <c r="O369" s="139">
        <f>Table6567687276[[#This Row],[Employed Persons:
Males]]*Table6567687276[[#This Row],[Smoking Prevalence Associated with Intervention: Males]]</f>
        <v>477021.94867748598</v>
      </c>
      <c r="P369" s="139">
        <f>Table6567687276[[#This Row],[Employed Persons:
Females]]*Table6567687276[[#This Row],[Smoking Prevalence Associated with Intervention: Females]]</f>
        <v>52473.278955858375</v>
      </c>
      <c r="Q369" s="142">
        <f t="shared" si="82"/>
        <v>202545563.78824061</v>
      </c>
      <c r="R369" s="142">
        <f t="shared" si="83"/>
        <v>14362061.386596905</v>
      </c>
      <c r="S369" s="142">
        <f>Table6567687276[[#This Row],[Smoking Breaks (Costs) - Intervention Scenario:
Males]]+Table6567687276[[#This Row],[Smoking Breaks (Costs) - Intervention Scenario:
Females]]</f>
        <v>216907625.17483753</v>
      </c>
      <c r="T369" s="145">
        <f>Table6567687276[[#This Row],[Smoking Breaks (Costs):
Males]]-Table6567687276[[#This Row],[Smoking Breaks (Costs) - Intervention Scenario:
Males]]</f>
        <v>24691185.61033085</v>
      </c>
      <c r="U369" s="145">
        <f>Table6567687276[[#This Row],[Smoking Breaks (Costs):
Females]]-Table6567687276[[#This Row],[Smoking Breaks (Costs) - Intervention Scenario:
Females]]</f>
        <v>1750797.7800697647</v>
      </c>
      <c r="V369" s="145">
        <f>Table6567687276[[#This Row],[Smoking Breaks (Costs):
Total]]-Table6567687276[[#This Row],[Smoking Breaks (Costs) - Intervention Scenario:
Total]]</f>
        <v>26441983.390400589</v>
      </c>
    </row>
    <row r="370" spans="2:22" customFormat="1">
      <c r="B370" s="54">
        <v>13</v>
      </c>
      <c r="C370" s="125">
        <f t="shared" si="78"/>
        <v>938900</v>
      </c>
      <c r="D370" s="125">
        <f t="shared" si="79"/>
        <v>841000</v>
      </c>
      <c r="E370" s="121">
        <f t="shared" si="80"/>
        <v>0.56999999999999995</v>
      </c>
      <c r="F370" s="121">
        <f t="shared" si="81"/>
        <v>7.0000000000000007E-2</v>
      </c>
      <c r="G370" s="125">
        <f>Table6567687276[[#This Row],[Employed Persons:
Males]]*Table6567687276[[#This Row],[Smoking Prevalence:
Males]]</f>
        <v>535173</v>
      </c>
      <c r="H370" s="125">
        <f>Table6567687276[[#This Row],[Employed Persons:
Females]]*Table6567687276[[#This Row],[Smoking Prevalence:
Females]]</f>
        <v>58870.000000000007</v>
      </c>
      <c r="I370" s="50">
        <f>$C$16*Table6567687276[[#This Row],[Employed Smokers:
Males]]*D$29</f>
        <v>227236749.39857146</v>
      </c>
      <c r="J370" s="15">
        <f>$C$16*Table6567687276[[#This Row],[Employed Smokers:
Females]]*E$29</f>
        <v>16112859.16666667</v>
      </c>
      <c r="K370" s="15">
        <f>Table6567687276[[#This Row],[Smoking Breaks (Costs):
Males]]+Table6567687276[[#This Row],[Smoking Breaks (Costs):
Females]]</f>
        <v>243349608.56523812</v>
      </c>
      <c r="L370" s="132">
        <v>-1.9999999999999992E-3</v>
      </c>
      <c r="M370" s="136">
        <f>M369*(1+Table6567687276[[#This Row],[Relative Change in Smoking Prevalence:
Enforce Marketing Restrictions]])</f>
        <v>0.50704857256377778</v>
      </c>
      <c r="N370" s="136">
        <f>N369*(1+Table6567687276[[#This Row],[Relative Change in Smoking Prevalence:
Enforce Marketing Restrictions]])</f>
        <v>6.2269122946428841E-2</v>
      </c>
      <c r="O370" s="139">
        <f>Table6567687276[[#This Row],[Employed Persons:
Males]]*Table6567687276[[#This Row],[Smoking Prevalence Associated with Intervention: Males]]</f>
        <v>476067.90478013095</v>
      </c>
      <c r="P370" s="139">
        <f>Table6567687276[[#This Row],[Employed Persons:
Females]]*Table6567687276[[#This Row],[Smoking Prevalence Associated with Intervention: Females]]</f>
        <v>52368.332397946659</v>
      </c>
      <c r="Q370" s="142">
        <f t="shared" si="82"/>
        <v>202140472.66066411</v>
      </c>
      <c r="R370" s="142">
        <f t="shared" si="83"/>
        <v>14333337.26382371</v>
      </c>
      <c r="S370" s="142">
        <f>Table6567687276[[#This Row],[Smoking Breaks (Costs) - Intervention Scenario:
Males]]+Table6567687276[[#This Row],[Smoking Breaks (Costs) - Intervention Scenario:
Females]]</f>
        <v>216473809.92448783</v>
      </c>
      <c r="T370" s="145">
        <f>Table6567687276[[#This Row],[Smoking Breaks (Costs):
Males]]-Table6567687276[[#This Row],[Smoking Breaks (Costs) - Intervention Scenario:
Males]]</f>
        <v>25096276.73790735</v>
      </c>
      <c r="U370" s="145">
        <f>Table6567687276[[#This Row],[Smoking Breaks (Costs):
Females]]-Table6567687276[[#This Row],[Smoking Breaks (Costs) - Intervention Scenario:
Females]]</f>
        <v>1779521.9028429594</v>
      </c>
      <c r="V370" s="145">
        <f>Table6567687276[[#This Row],[Smoking Breaks (Costs):
Total]]-Table6567687276[[#This Row],[Smoking Breaks (Costs) - Intervention Scenario:
Total]]</f>
        <v>26875798.640750289</v>
      </c>
    </row>
    <row r="371" spans="2:22" customFormat="1">
      <c r="B371" s="55">
        <v>14</v>
      </c>
      <c r="C371" s="126">
        <f t="shared" si="78"/>
        <v>938900</v>
      </c>
      <c r="D371" s="126">
        <f t="shared" si="79"/>
        <v>841000</v>
      </c>
      <c r="E371" s="122">
        <f t="shared" si="80"/>
        <v>0.56999999999999995</v>
      </c>
      <c r="F371" s="122">
        <f t="shared" si="81"/>
        <v>7.0000000000000007E-2</v>
      </c>
      <c r="G371" s="126">
        <f>Table6567687276[[#This Row],[Employed Persons:
Males]]*Table6567687276[[#This Row],[Smoking Prevalence:
Males]]</f>
        <v>535173</v>
      </c>
      <c r="H371" s="126">
        <f>Table6567687276[[#This Row],[Employed Persons:
Females]]*Table6567687276[[#This Row],[Smoking Prevalence:
Females]]</f>
        <v>58870.000000000007</v>
      </c>
      <c r="I371" s="51">
        <f>$C$16*Table6567687276[[#This Row],[Employed Smokers:
Males]]*D$29</f>
        <v>227236749.39857146</v>
      </c>
      <c r="J371" s="15">
        <f>$C$16*Table6567687276[[#This Row],[Employed Smokers:
Females]]*E$29</f>
        <v>16112859.16666667</v>
      </c>
      <c r="K371" s="15">
        <f>Table6567687276[[#This Row],[Smoking Breaks (Costs):
Males]]+Table6567687276[[#This Row],[Smoking Breaks (Costs):
Females]]</f>
        <v>243349608.56523812</v>
      </c>
      <c r="L371" s="132">
        <v>-1.9999999999999992E-3</v>
      </c>
      <c r="M371" s="136">
        <f>M370*(1+Table6567687276[[#This Row],[Relative Change in Smoking Prevalence:
Enforce Marketing Restrictions]])</f>
        <v>0.50603447541865021</v>
      </c>
      <c r="N371" s="136">
        <f>N370*(1+Table6567687276[[#This Row],[Relative Change in Smoking Prevalence:
Enforce Marketing Restrictions]])</f>
        <v>6.2144584700535986E-2</v>
      </c>
      <c r="O371" s="139">
        <f>Table6567687276[[#This Row],[Employed Persons:
Males]]*Table6567687276[[#This Row],[Smoking Prevalence Associated with Intervention: Males]]</f>
        <v>475115.7689705707</v>
      </c>
      <c r="P371" s="139">
        <f>Table6567687276[[#This Row],[Employed Persons:
Females]]*Table6567687276[[#This Row],[Smoking Prevalence Associated with Intervention: Females]]</f>
        <v>52263.595733150767</v>
      </c>
      <c r="Q371" s="142">
        <f t="shared" si="82"/>
        <v>201736191.71534279</v>
      </c>
      <c r="R371" s="142">
        <f t="shared" si="83"/>
        <v>14304670.589296063</v>
      </c>
      <c r="S371" s="142">
        <f>Table6567687276[[#This Row],[Smoking Breaks (Costs) - Intervention Scenario:
Males]]+Table6567687276[[#This Row],[Smoking Breaks (Costs) - Intervention Scenario:
Females]]</f>
        <v>216040862.30463886</v>
      </c>
      <c r="T371" s="145">
        <f>Table6567687276[[#This Row],[Smoking Breaks (Costs):
Males]]-Table6567687276[[#This Row],[Smoking Breaks (Costs) - Intervention Scenario:
Males]]</f>
        <v>25500557.683228672</v>
      </c>
      <c r="U371" s="145">
        <f>Table6567687276[[#This Row],[Smoking Breaks (Costs):
Females]]-Table6567687276[[#This Row],[Smoking Breaks (Costs) - Intervention Scenario:
Females]]</f>
        <v>1808188.5773706064</v>
      </c>
      <c r="V371" s="145">
        <f>Table6567687276[[#This Row],[Smoking Breaks (Costs):
Total]]-Table6567687276[[#This Row],[Smoking Breaks (Costs) - Intervention Scenario:
Total]]</f>
        <v>27308746.260599256</v>
      </c>
    </row>
    <row r="372" spans="2:22" customFormat="1">
      <c r="B372" s="56">
        <v>15</v>
      </c>
      <c r="C372" s="127">
        <f t="shared" si="78"/>
        <v>938900</v>
      </c>
      <c r="D372" s="127">
        <f t="shared" si="79"/>
        <v>841000</v>
      </c>
      <c r="E372" s="123">
        <f t="shared" si="80"/>
        <v>0.56999999999999995</v>
      </c>
      <c r="F372" s="123">
        <f t="shared" si="81"/>
        <v>7.0000000000000007E-2</v>
      </c>
      <c r="G372" s="127">
        <f>Table6567687276[[#This Row],[Employed Persons:
Males]]*Table6567687276[[#This Row],[Smoking Prevalence:
Males]]</f>
        <v>535173</v>
      </c>
      <c r="H372" s="127">
        <f>Table6567687276[[#This Row],[Employed Persons:
Females]]*Table6567687276[[#This Row],[Smoking Prevalence:
Females]]</f>
        <v>58870.000000000007</v>
      </c>
      <c r="I372" s="52">
        <f>$C$16*Table6567687276[[#This Row],[Employed Smokers:
Males]]*D$29</f>
        <v>227236749.39857146</v>
      </c>
      <c r="J372" s="15">
        <f>$C$16*Table6567687276[[#This Row],[Employed Smokers:
Females]]*E$29</f>
        <v>16112859.16666667</v>
      </c>
      <c r="K372" s="15">
        <f>Table6567687276[[#This Row],[Smoking Breaks (Costs):
Males]]+Table6567687276[[#This Row],[Smoking Breaks (Costs):
Females]]</f>
        <v>243349608.56523812</v>
      </c>
      <c r="L372" s="132">
        <v>-1.9999999999999992E-3</v>
      </c>
      <c r="M372" s="136">
        <f>M371*(1+Table6567687276[[#This Row],[Relative Change in Smoking Prevalence:
Enforce Marketing Restrictions]])</f>
        <v>0.50502240646781293</v>
      </c>
      <c r="N372" s="136">
        <f>N371*(1+Table6567687276[[#This Row],[Relative Change in Smoking Prevalence:
Enforce Marketing Restrictions]])</f>
        <v>6.2020295531134917E-2</v>
      </c>
      <c r="O372" s="139">
        <f>Table6567687276[[#This Row],[Employed Persons:
Males]]*Table6567687276[[#This Row],[Smoking Prevalence Associated with Intervention: Males]]</f>
        <v>474165.53743262956</v>
      </c>
      <c r="P372" s="139">
        <f>Table6567687276[[#This Row],[Employed Persons:
Females]]*Table6567687276[[#This Row],[Smoking Prevalence Associated with Intervention: Females]]</f>
        <v>52159.068541684464</v>
      </c>
      <c r="Q372" s="142">
        <f t="shared" si="82"/>
        <v>201332719.3319121</v>
      </c>
      <c r="R372" s="142">
        <f t="shared" si="83"/>
        <v>14276061.248117471</v>
      </c>
      <c r="S372" s="142">
        <f>Table6567687276[[#This Row],[Smoking Breaks (Costs) - Intervention Scenario:
Males]]+Table6567687276[[#This Row],[Smoking Breaks (Costs) - Intervention Scenario:
Females]]</f>
        <v>215608780.58002958</v>
      </c>
      <c r="T372" s="145">
        <f>Table6567687276[[#This Row],[Smoking Breaks (Costs):
Males]]-Table6567687276[[#This Row],[Smoking Breaks (Costs) - Intervention Scenario:
Males]]</f>
        <v>25904030.066659361</v>
      </c>
      <c r="U372" s="145">
        <f>Table6567687276[[#This Row],[Smoking Breaks (Costs):
Females]]-Table6567687276[[#This Row],[Smoking Breaks (Costs) - Intervention Scenario:
Females]]</f>
        <v>1836797.9185491987</v>
      </c>
      <c r="V372" s="145">
        <f>Table6567687276[[#This Row],[Smoking Breaks (Costs):
Total]]-Table6567687276[[#This Row],[Smoking Breaks (Costs) - Intervention Scenario:
Total]]</f>
        <v>27740827.985208541</v>
      </c>
    </row>
    <row r="375" spans="2:22" ht="21">
      <c r="B375" s="81" t="s">
        <v>118</v>
      </c>
    </row>
    <row r="376" spans="2:22" ht="21">
      <c r="B376" s="81"/>
    </row>
    <row r="377" spans="2:22" ht="135">
      <c r="B377" s="71" t="s">
        <v>111</v>
      </c>
      <c r="C377" s="129" t="s">
        <v>175</v>
      </c>
      <c r="D377" s="128"/>
      <c r="E377" s="128"/>
      <c r="F377" s="128"/>
      <c r="G377" s="133" t="s">
        <v>176</v>
      </c>
      <c r="H377" s="134"/>
      <c r="I377" s="134"/>
      <c r="J377" s="134"/>
      <c r="K377" s="134"/>
      <c r="L377" s="68" t="s">
        <v>110</v>
      </c>
      <c r="M377" s="74" t="s">
        <v>177</v>
      </c>
      <c r="N377" s="70"/>
      <c r="O377" s="73" t="s">
        <v>178</v>
      </c>
      <c r="P377" s="72"/>
      <c r="Q377" s="72"/>
      <c r="R377" s="72"/>
      <c r="S377" s="72"/>
      <c r="T377" s="78" t="s">
        <v>179</v>
      </c>
      <c r="U377" s="75"/>
      <c r="V377" s="75"/>
    </row>
    <row r="379" spans="2:22" ht="69" customHeight="1" thickBot="1">
      <c r="B379" s="35" t="s">
        <v>81</v>
      </c>
      <c r="C379" s="35" t="s">
        <v>157</v>
      </c>
      <c r="D379" s="35" t="s">
        <v>158</v>
      </c>
      <c r="E379" s="35" t="s">
        <v>155</v>
      </c>
      <c r="F379" s="35" t="s">
        <v>156</v>
      </c>
      <c r="G379" s="35" t="s">
        <v>159</v>
      </c>
      <c r="H379" s="35" t="s">
        <v>160</v>
      </c>
      <c r="I379" s="34" t="s">
        <v>188</v>
      </c>
      <c r="J379" s="34" t="s">
        <v>189</v>
      </c>
      <c r="K379" s="34" t="s">
        <v>190</v>
      </c>
      <c r="L379" s="63" t="s">
        <v>74</v>
      </c>
      <c r="M379" s="135" t="s">
        <v>162</v>
      </c>
      <c r="N379" s="135" t="s">
        <v>163</v>
      </c>
      <c r="O379" s="137" t="s">
        <v>164</v>
      </c>
      <c r="P379" s="137" t="s">
        <v>165</v>
      </c>
      <c r="Q379" s="137" t="s">
        <v>191</v>
      </c>
      <c r="R379" s="137" t="s">
        <v>497</v>
      </c>
      <c r="S379" s="137" t="s">
        <v>498</v>
      </c>
      <c r="T379" s="143" t="s">
        <v>173</v>
      </c>
      <c r="U379" s="143" t="s">
        <v>172</v>
      </c>
      <c r="V379" s="143" t="s">
        <v>174</v>
      </c>
    </row>
    <row r="380" spans="2:22" ht="15.75" thickTop="1">
      <c r="B380" s="53">
        <v>0</v>
      </c>
      <c r="C380" s="124">
        <f t="shared" ref="C380:C395" si="84">$D$24</f>
        <v>938900</v>
      </c>
      <c r="D380" s="124">
        <f t="shared" ref="D380:D395" si="85">$E$24</f>
        <v>841000</v>
      </c>
      <c r="E380" s="120">
        <f t="shared" ref="E380:E395" si="86">$D$25</f>
        <v>0.56999999999999995</v>
      </c>
      <c r="F380" s="120">
        <f t="shared" ref="F380:F395" si="87">$E$25</f>
        <v>7.0000000000000007E-2</v>
      </c>
      <c r="G380" s="124">
        <f>Table656768697377[[#This Row],[Employed Persons:
Males]]*Table656768697377[[#This Row],[Smoking Prevalence:
Males]]</f>
        <v>535173</v>
      </c>
      <c r="H380" s="124">
        <f>Table656768697377[[#This Row],[Employed Persons:
Females]]*Table656768697377[[#This Row],[Smoking Prevalence:
Females]]</f>
        <v>58870.000000000007</v>
      </c>
      <c r="I380" s="49">
        <f>$C$16*Table656768697377[[#This Row],[Employed Smokers:
Males]]*D$29</f>
        <v>227236749.39857146</v>
      </c>
      <c r="J380" s="49">
        <f>$C$16*Table656768697377[[#This Row],[Employed Smokers:
Females]]*E$29</f>
        <v>16112859.16666667</v>
      </c>
      <c r="K380" s="12">
        <f>Table656768697377[[#This Row],[Smoking Breaks (Costs):
Males]]+Table656768697377[[#This Row],[Smoking Breaks (Costs):
Females]]</f>
        <v>243349608.56523812</v>
      </c>
      <c r="L380" s="67"/>
      <c r="M380" s="136">
        <f>Table656768697377[[#This Row],[Smoking Prevalence:
Males]]</f>
        <v>0.56999999999999995</v>
      </c>
      <c r="N380" s="136">
        <f>Table656768697377[[#This Row],[Smoking Prevalence:
Females]]</f>
        <v>7.0000000000000007E-2</v>
      </c>
      <c r="O380" s="138">
        <f>Table656768697377[[#This Row],[Employed Persons:
Males]]*Table656768697377[[#This Row],[Smoking Prevalence Associated with Intervention: Males]]</f>
        <v>535173</v>
      </c>
      <c r="P380" s="138">
        <f>Table656768697377[[#This Row],[Employed Persons:
Females]]*Table656768697377[[#This Row],[Smoking Prevalence Associated with Intervention: Females]]</f>
        <v>58870.000000000007</v>
      </c>
      <c r="Q380" s="140">
        <f t="shared" ref="Q380:Q395" si="88">$C$16*O380*D$29</f>
        <v>227236749.39857146</v>
      </c>
      <c r="R380" s="140">
        <f t="shared" ref="R380:R395" si="89">$C$16*P380*E$29</f>
        <v>16112859.16666667</v>
      </c>
      <c r="S380" s="141">
        <f>Table656768697377[[#This Row],[Smoking Breaks (Costs) - Intervention Scenario:
Males]]+Table656768697377[[#This Row],[Smoking Breaks (Costs) - Intervention Scenario:
Females]]</f>
        <v>243349608.56523812</v>
      </c>
      <c r="T380" s="144">
        <f>Table656768697377[[#This Row],[Smoking Breaks (Costs):
Males]]-Table656768697377[[#This Row],[Smoking Breaks (Costs) - Intervention Scenario:
Males]]</f>
        <v>0</v>
      </c>
      <c r="U380" s="144">
        <f>Table656768697377[[#This Row],[Smoking Breaks (Costs):
Females]]-Table656768697377[[#This Row],[Smoking Breaks (Costs) - Intervention Scenario:
Females]]</f>
        <v>0</v>
      </c>
      <c r="V380" s="144">
        <f>Table656768697377[[#This Row],[Smoking Breaks (Costs):
Total]]-Table656768697377[[#This Row],[Smoking Breaks (Costs) - Intervention Scenario:
Total]]</f>
        <v>0</v>
      </c>
    </row>
    <row r="381" spans="2:22">
      <c r="B381" s="54">
        <v>1</v>
      </c>
      <c r="C381" s="125">
        <f t="shared" si="84"/>
        <v>938900</v>
      </c>
      <c r="D381" s="125">
        <f t="shared" si="85"/>
        <v>841000</v>
      </c>
      <c r="E381" s="121">
        <f t="shared" si="86"/>
        <v>0.56999999999999995</v>
      </c>
      <c r="F381" s="121">
        <f t="shared" si="87"/>
        <v>7.0000000000000007E-2</v>
      </c>
      <c r="G381" s="125">
        <f>Table656768697377[[#This Row],[Employed Persons:
Males]]*Table656768697377[[#This Row],[Smoking Prevalence:
Males]]</f>
        <v>535173</v>
      </c>
      <c r="H381" s="125">
        <f>Table656768697377[[#This Row],[Employed Persons:
Females]]*Table656768697377[[#This Row],[Smoking Prevalence:
Females]]</f>
        <v>58870.000000000007</v>
      </c>
      <c r="I381" s="50">
        <f>$C$16*Table656768697377[[#This Row],[Employed Smokers:
Males]]*D$29</f>
        <v>227236749.39857146</v>
      </c>
      <c r="J381" s="12">
        <f>$C$16*Table656768697377[[#This Row],[Employed Smokers:
Females]]*E$29</f>
        <v>16112859.16666667</v>
      </c>
      <c r="K381" s="12">
        <f>Table656768697377[[#This Row],[Smoking Breaks (Costs):
Males]]+Table656768697377[[#This Row],[Smoking Breaks (Costs):
Females]]</f>
        <v>243349608.56523812</v>
      </c>
      <c r="L381" s="130">
        <v>-1.2E-2</v>
      </c>
      <c r="M381" s="136">
        <f>M380*(1+Table656768697377[[#This Row],[Relative Change in Smoking Prevalence:
Cigarette Package Warnings]])</f>
        <v>0.56315999999999999</v>
      </c>
      <c r="N381" s="136">
        <f>N380*(1+Table656768697377[[#This Row],[Relative Change in Smoking Prevalence:
Cigarette Package Warnings]])</f>
        <v>6.9159999999999999E-2</v>
      </c>
      <c r="O381" s="138">
        <f>Table656768697377[[#This Row],[Employed Persons:
Males]]*Table656768697377[[#This Row],[Smoking Prevalence Associated with Intervention: Males]]</f>
        <v>528750.924</v>
      </c>
      <c r="P381" s="138">
        <f>Table656768697377[[#This Row],[Employed Persons:
Females]]*Table656768697377[[#This Row],[Smoking Prevalence Associated with Intervention: Females]]</f>
        <v>58163.56</v>
      </c>
      <c r="Q381" s="141">
        <f t="shared" si="88"/>
        <v>224509908.4057886</v>
      </c>
      <c r="R381" s="141">
        <f t="shared" si="89"/>
        <v>15919504.856666666</v>
      </c>
      <c r="S381" s="141">
        <f>Table656768697377[[#This Row],[Smoking Breaks (Costs) - Intervention Scenario:
Males]]+Table656768697377[[#This Row],[Smoking Breaks (Costs) - Intervention Scenario:
Females]]</f>
        <v>240429413.26245525</v>
      </c>
      <c r="T381" s="144">
        <f>Table656768697377[[#This Row],[Smoking Breaks (Costs):
Males]]-Table656768697377[[#This Row],[Smoking Breaks (Costs) - Intervention Scenario:
Males]]</f>
        <v>2726840.992782861</v>
      </c>
      <c r="U381" s="144">
        <f>Table656768697377[[#This Row],[Smoking Breaks (Costs):
Females]]-Table656768697377[[#This Row],[Smoking Breaks (Costs) - Intervention Scenario:
Females]]</f>
        <v>193354.31000000425</v>
      </c>
      <c r="V381" s="144">
        <f>Table656768697377[[#This Row],[Smoking Breaks (Costs):
Total]]-Table656768697377[[#This Row],[Smoking Breaks (Costs) - Intervention Scenario:
Total]]</f>
        <v>2920195.3027828634</v>
      </c>
    </row>
    <row r="382" spans="2:22">
      <c r="B382" s="55">
        <v>2</v>
      </c>
      <c r="C382" s="126">
        <f t="shared" si="84"/>
        <v>938900</v>
      </c>
      <c r="D382" s="126">
        <f t="shared" si="85"/>
        <v>841000</v>
      </c>
      <c r="E382" s="122">
        <f t="shared" si="86"/>
        <v>0.56999999999999995</v>
      </c>
      <c r="F382" s="122">
        <f t="shared" si="87"/>
        <v>7.0000000000000007E-2</v>
      </c>
      <c r="G382" s="126">
        <f>Table656768697377[[#This Row],[Employed Persons:
Males]]*Table656768697377[[#This Row],[Smoking Prevalence:
Males]]</f>
        <v>535173</v>
      </c>
      <c r="H382" s="126">
        <f>Table656768697377[[#This Row],[Employed Persons:
Females]]*Table656768697377[[#This Row],[Smoking Prevalence:
Females]]</f>
        <v>58870.000000000007</v>
      </c>
      <c r="I382" s="51">
        <f>$C$16*Table656768697377[[#This Row],[Employed Smokers:
Males]]*D$29</f>
        <v>227236749.39857146</v>
      </c>
      <c r="J382" s="12">
        <f>$C$16*Table656768697377[[#This Row],[Employed Smokers:
Females]]*E$29</f>
        <v>16112859.16666667</v>
      </c>
      <c r="K382" s="12">
        <f>Table656768697377[[#This Row],[Smoking Breaks (Costs):
Males]]+Table656768697377[[#This Row],[Smoking Breaks (Costs):
Females]]</f>
        <v>243349608.56523812</v>
      </c>
      <c r="L382" s="130">
        <v>-1.2E-2</v>
      </c>
      <c r="M382" s="136">
        <f>M381*(1+Table656768697377[[#This Row],[Relative Change in Smoking Prevalence:
Cigarette Package Warnings]])</f>
        <v>0.55640208000000002</v>
      </c>
      <c r="N382" s="136">
        <f>N381*(1+Table656768697377[[#This Row],[Relative Change in Smoking Prevalence:
Cigarette Package Warnings]])</f>
        <v>6.8330080000000001E-2</v>
      </c>
      <c r="O382" s="138">
        <f>Table656768697377[[#This Row],[Employed Persons:
Males]]*Table656768697377[[#This Row],[Smoking Prevalence Associated with Intervention: Males]]</f>
        <v>522405.91291200003</v>
      </c>
      <c r="P382" s="138">
        <f>Table656768697377[[#This Row],[Employed Persons:
Females]]*Table656768697377[[#This Row],[Smoking Prevalence Associated with Intervention: Females]]</f>
        <v>57465.597280000002</v>
      </c>
      <c r="Q382" s="141">
        <f t="shared" si="88"/>
        <v>221815789.50491917</v>
      </c>
      <c r="R382" s="141">
        <f t="shared" si="89"/>
        <v>15728470.798386669</v>
      </c>
      <c r="S382" s="141">
        <f>Table656768697377[[#This Row],[Smoking Breaks (Costs) - Intervention Scenario:
Males]]+Table656768697377[[#This Row],[Smoking Breaks (Costs) - Intervention Scenario:
Females]]</f>
        <v>237544260.30330583</v>
      </c>
      <c r="T382" s="144">
        <f>Table656768697377[[#This Row],[Smoking Breaks (Costs):
Males]]-Table656768697377[[#This Row],[Smoking Breaks (Costs) - Intervention Scenario:
Males]]</f>
        <v>5420959.8936522901</v>
      </c>
      <c r="U382" s="144">
        <f>Table656768697377[[#This Row],[Smoking Breaks (Costs):
Females]]-Table656768697377[[#This Row],[Smoking Breaks (Costs) - Intervention Scenario:
Females]]</f>
        <v>384388.36828000098</v>
      </c>
      <c r="V382" s="144">
        <f>Table656768697377[[#This Row],[Smoking Breaks (Costs):
Total]]-Table656768697377[[#This Row],[Smoking Breaks (Costs) - Intervention Scenario:
Total]]</f>
        <v>5805348.2619322836</v>
      </c>
    </row>
    <row r="383" spans="2:22">
      <c r="B383" s="54">
        <v>3</v>
      </c>
      <c r="C383" s="125">
        <f t="shared" si="84"/>
        <v>938900</v>
      </c>
      <c r="D383" s="125">
        <f t="shared" si="85"/>
        <v>841000</v>
      </c>
      <c r="E383" s="121">
        <f t="shared" si="86"/>
        <v>0.56999999999999995</v>
      </c>
      <c r="F383" s="121">
        <f t="shared" si="87"/>
        <v>7.0000000000000007E-2</v>
      </c>
      <c r="G383" s="125">
        <f>Table656768697377[[#This Row],[Employed Persons:
Males]]*Table656768697377[[#This Row],[Smoking Prevalence:
Males]]</f>
        <v>535173</v>
      </c>
      <c r="H383" s="125">
        <f>Table656768697377[[#This Row],[Employed Persons:
Females]]*Table656768697377[[#This Row],[Smoking Prevalence:
Females]]</f>
        <v>58870.000000000007</v>
      </c>
      <c r="I383" s="50">
        <f>$C$16*Table656768697377[[#This Row],[Employed Smokers:
Males]]*D$29</f>
        <v>227236749.39857146</v>
      </c>
      <c r="J383" s="12">
        <f>$C$16*Table656768697377[[#This Row],[Employed Smokers:
Females]]*E$29</f>
        <v>16112859.16666667</v>
      </c>
      <c r="K383" s="12">
        <f>Table656768697377[[#This Row],[Smoking Breaks (Costs):
Males]]+Table656768697377[[#This Row],[Smoking Breaks (Costs):
Females]]</f>
        <v>243349608.56523812</v>
      </c>
      <c r="L383" s="130">
        <v>-1.2E-2</v>
      </c>
      <c r="M383" s="136">
        <f>M382*(1+Table656768697377[[#This Row],[Relative Change in Smoking Prevalence:
Cigarette Package Warnings]])</f>
        <v>0.54972525504000003</v>
      </c>
      <c r="N383" s="136">
        <f>N382*(1+Table656768697377[[#This Row],[Relative Change in Smoking Prevalence:
Cigarette Package Warnings]])</f>
        <v>6.7510119039999997E-2</v>
      </c>
      <c r="O383" s="138">
        <f>Table656768697377[[#This Row],[Employed Persons:
Males]]*Table656768697377[[#This Row],[Smoking Prevalence Associated with Intervention: Males]]</f>
        <v>516137.04195705603</v>
      </c>
      <c r="P383" s="138">
        <f>Table656768697377[[#This Row],[Employed Persons:
Females]]*Table656768697377[[#This Row],[Smoking Prevalence Associated with Intervention: Females]]</f>
        <v>56776.010112639997</v>
      </c>
      <c r="Q383" s="141">
        <f t="shared" si="88"/>
        <v>219154000.03086013</v>
      </c>
      <c r="R383" s="141">
        <f t="shared" si="89"/>
        <v>15539729.148806028</v>
      </c>
      <c r="S383" s="141">
        <f>Table656768697377[[#This Row],[Smoking Breaks (Costs) - Intervention Scenario:
Males]]+Table656768697377[[#This Row],[Smoking Breaks (Costs) - Intervention Scenario:
Females]]</f>
        <v>234693729.17966616</v>
      </c>
      <c r="T383" s="144">
        <f>Table656768697377[[#This Row],[Smoking Breaks (Costs):
Males]]-Table656768697377[[#This Row],[Smoking Breaks (Costs) - Intervention Scenario:
Males]]</f>
        <v>8082749.3677113354</v>
      </c>
      <c r="U383" s="144">
        <f>Table656768697377[[#This Row],[Smoking Breaks (Costs):
Females]]-Table656768697377[[#This Row],[Smoking Breaks (Costs) - Intervention Scenario:
Females]]</f>
        <v>573130.0178606417</v>
      </c>
      <c r="V383" s="144">
        <f>Table656768697377[[#This Row],[Smoking Breaks (Costs):
Total]]-Table656768697377[[#This Row],[Smoking Breaks (Costs) - Intervention Scenario:
Total]]</f>
        <v>8655879.3855719566</v>
      </c>
    </row>
    <row r="384" spans="2:22">
      <c r="B384" s="55">
        <v>4</v>
      </c>
      <c r="C384" s="126">
        <f t="shared" si="84"/>
        <v>938900</v>
      </c>
      <c r="D384" s="126">
        <f t="shared" si="85"/>
        <v>841000</v>
      </c>
      <c r="E384" s="122">
        <f t="shared" si="86"/>
        <v>0.56999999999999995</v>
      </c>
      <c r="F384" s="122">
        <f t="shared" si="87"/>
        <v>7.0000000000000007E-2</v>
      </c>
      <c r="G384" s="126">
        <f>Table656768697377[[#This Row],[Employed Persons:
Males]]*Table656768697377[[#This Row],[Smoking Prevalence:
Males]]</f>
        <v>535173</v>
      </c>
      <c r="H384" s="126">
        <f>Table656768697377[[#This Row],[Employed Persons:
Females]]*Table656768697377[[#This Row],[Smoking Prevalence:
Females]]</f>
        <v>58870.000000000007</v>
      </c>
      <c r="I384" s="51">
        <f>$C$16*Table656768697377[[#This Row],[Employed Smokers:
Males]]*D$29</f>
        <v>227236749.39857146</v>
      </c>
      <c r="J384" s="12">
        <f>$C$16*Table656768697377[[#This Row],[Employed Smokers:
Females]]*E$29</f>
        <v>16112859.16666667</v>
      </c>
      <c r="K384" s="12">
        <f>Table656768697377[[#This Row],[Smoking Breaks (Costs):
Males]]+Table656768697377[[#This Row],[Smoking Breaks (Costs):
Females]]</f>
        <v>243349608.56523812</v>
      </c>
      <c r="L384" s="130">
        <v>-1.2E-2</v>
      </c>
      <c r="M384" s="136">
        <f>M383*(1+Table656768697377[[#This Row],[Relative Change in Smoking Prevalence:
Cigarette Package Warnings]])</f>
        <v>0.54312855197952004</v>
      </c>
      <c r="N384" s="136">
        <f>N383*(1+Table656768697377[[#This Row],[Relative Change in Smoking Prevalence:
Cigarette Package Warnings]])</f>
        <v>6.6699997611519998E-2</v>
      </c>
      <c r="O384" s="138">
        <f>Table656768697377[[#This Row],[Employed Persons:
Males]]*Table656768697377[[#This Row],[Smoking Prevalence Associated with Intervention: Males]]</f>
        <v>509943.39745357138</v>
      </c>
      <c r="P384" s="138">
        <f>Table656768697377[[#This Row],[Employed Persons:
Females]]*Table656768697377[[#This Row],[Smoking Prevalence Associated with Intervention: Females]]</f>
        <v>56094.697991288318</v>
      </c>
      <c r="Q384" s="141">
        <f t="shared" si="88"/>
        <v>216524152.0304898</v>
      </c>
      <c r="R384" s="141">
        <f t="shared" si="89"/>
        <v>15353252.399020355</v>
      </c>
      <c r="S384" s="141">
        <f>Table656768697377[[#This Row],[Smoking Breaks (Costs) - Intervention Scenario:
Males]]+Table656768697377[[#This Row],[Smoking Breaks (Costs) - Intervention Scenario:
Females]]</f>
        <v>231877404.42951015</v>
      </c>
      <c r="T384" s="144">
        <f>Table656768697377[[#This Row],[Smoking Breaks (Costs):
Males]]-Table656768697377[[#This Row],[Smoking Breaks (Costs) - Intervention Scenario:
Males]]</f>
        <v>10712597.368081659</v>
      </c>
      <c r="U384" s="144">
        <f>Table656768697377[[#This Row],[Smoking Breaks (Costs):
Females]]-Table656768697377[[#This Row],[Smoking Breaks (Costs) - Intervention Scenario:
Females]]</f>
        <v>759606.76764631458</v>
      </c>
      <c r="V384" s="144">
        <f>Table656768697377[[#This Row],[Smoking Breaks (Costs):
Total]]-Table656768697377[[#This Row],[Smoking Breaks (Costs) - Intervention Scenario:
Total]]</f>
        <v>11472204.135727972</v>
      </c>
    </row>
    <row r="385" spans="2:22" customFormat="1">
      <c r="B385" s="54">
        <v>5</v>
      </c>
      <c r="C385" s="125">
        <f t="shared" si="84"/>
        <v>938900</v>
      </c>
      <c r="D385" s="125">
        <f t="shared" si="85"/>
        <v>841000</v>
      </c>
      <c r="E385" s="121">
        <f t="shared" si="86"/>
        <v>0.56999999999999995</v>
      </c>
      <c r="F385" s="121">
        <f t="shared" si="87"/>
        <v>7.0000000000000007E-2</v>
      </c>
      <c r="G385" s="125">
        <f>Table656768697377[[#This Row],[Employed Persons:
Males]]*Table656768697377[[#This Row],[Smoking Prevalence:
Males]]</f>
        <v>535173</v>
      </c>
      <c r="H385" s="125">
        <f>Table656768697377[[#This Row],[Employed Persons:
Females]]*Table656768697377[[#This Row],[Smoking Prevalence:
Females]]</f>
        <v>58870.000000000007</v>
      </c>
      <c r="I385" s="50">
        <f>$C$16*Table656768697377[[#This Row],[Employed Smokers:
Males]]*D$29</f>
        <v>227236749.39857146</v>
      </c>
      <c r="J385" s="15">
        <f>$C$16*Table656768697377[[#This Row],[Employed Smokers:
Females]]*E$29</f>
        <v>16112859.16666667</v>
      </c>
      <c r="K385" s="15">
        <f>Table656768697377[[#This Row],[Smoking Breaks (Costs):
Males]]+Table656768697377[[#This Row],[Smoking Breaks (Costs):
Females]]</f>
        <v>243349608.56523812</v>
      </c>
      <c r="L385" s="131">
        <v>-1.2E-2</v>
      </c>
      <c r="M385" s="136">
        <f>M384*(1+Table656768697377[[#This Row],[Relative Change in Smoking Prevalence:
Cigarette Package Warnings]])</f>
        <v>0.53661100935576578</v>
      </c>
      <c r="N385" s="136">
        <f>N384*(1+Table656768697377[[#This Row],[Relative Change in Smoking Prevalence:
Cigarette Package Warnings]])</f>
        <v>6.5899597640181759E-2</v>
      </c>
      <c r="O385" s="139">
        <f>Table656768697377[[#This Row],[Employed Persons:
Males]]*Table656768697377[[#This Row],[Smoking Prevalence Associated with Intervention: Males]]</f>
        <v>503824.07668412849</v>
      </c>
      <c r="P385" s="139">
        <f>Table656768697377[[#This Row],[Employed Persons:
Females]]*Table656768697377[[#This Row],[Smoking Prevalence Associated with Intervention: Females]]</f>
        <v>55421.561615392857</v>
      </c>
      <c r="Q385" s="142">
        <f t="shared" si="88"/>
        <v>213925862.20612392</v>
      </c>
      <c r="R385" s="142">
        <f t="shared" si="89"/>
        <v>15169013.370232109</v>
      </c>
      <c r="S385" s="142">
        <f>Table656768697377[[#This Row],[Smoking Breaks (Costs) - Intervention Scenario:
Males]]+Table656768697377[[#This Row],[Smoking Breaks (Costs) - Intervention Scenario:
Females]]</f>
        <v>229094875.57635602</v>
      </c>
      <c r="T385" s="145">
        <f>Table656768697377[[#This Row],[Smoking Breaks (Costs):
Males]]-Table656768697377[[#This Row],[Smoking Breaks (Costs) - Intervention Scenario:
Males]]</f>
        <v>13310887.192447543</v>
      </c>
      <c r="U385" s="145">
        <f>Table656768697377[[#This Row],[Smoking Breaks (Costs):
Females]]-Table656768697377[[#This Row],[Smoking Breaks (Costs) - Intervention Scenario:
Females]]</f>
        <v>943845.79643456079</v>
      </c>
      <c r="V385" s="145">
        <f>Table656768697377[[#This Row],[Smoking Breaks (Costs):
Total]]-Table656768697377[[#This Row],[Smoking Breaks (Costs) - Intervention Scenario:
Total]]</f>
        <v>14254732.988882095</v>
      </c>
    </row>
    <row r="386" spans="2:22" customFormat="1">
      <c r="B386" s="55">
        <v>6</v>
      </c>
      <c r="C386" s="126">
        <f t="shared" si="84"/>
        <v>938900</v>
      </c>
      <c r="D386" s="126">
        <f t="shared" si="85"/>
        <v>841000</v>
      </c>
      <c r="E386" s="122">
        <f t="shared" si="86"/>
        <v>0.56999999999999995</v>
      </c>
      <c r="F386" s="122">
        <f t="shared" si="87"/>
        <v>7.0000000000000007E-2</v>
      </c>
      <c r="G386" s="126">
        <f>Table656768697377[[#This Row],[Employed Persons:
Males]]*Table656768697377[[#This Row],[Smoking Prevalence:
Males]]</f>
        <v>535173</v>
      </c>
      <c r="H386" s="126">
        <f>Table656768697377[[#This Row],[Employed Persons:
Females]]*Table656768697377[[#This Row],[Smoking Prevalence:
Females]]</f>
        <v>58870.000000000007</v>
      </c>
      <c r="I386" s="51">
        <f>$C$16*Table656768697377[[#This Row],[Employed Smokers:
Males]]*D$29</f>
        <v>227236749.39857146</v>
      </c>
      <c r="J386" s="15">
        <f>$C$16*Table656768697377[[#This Row],[Employed Smokers:
Females]]*E$29</f>
        <v>16112859.16666667</v>
      </c>
      <c r="K386" s="15">
        <f>Table656768697377[[#This Row],[Smoking Breaks (Costs):
Males]]+Table656768697377[[#This Row],[Smoking Breaks (Costs):
Females]]</f>
        <v>243349608.56523812</v>
      </c>
      <c r="L386" s="132">
        <v>-3.0000000000000001E-3</v>
      </c>
      <c r="M386" s="136">
        <f>M385*(1+Table656768697377[[#This Row],[Relative Change in Smoking Prevalence:
Cigarette Package Warnings]])</f>
        <v>0.5350011763276985</v>
      </c>
      <c r="N386" s="136">
        <f>N385*(1+Table656768697377[[#This Row],[Relative Change in Smoking Prevalence:
Cigarette Package Warnings]])</f>
        <v>6.5701898847261214E-2</v>
      </c>
      <c r="O386" s="139">
        <f>Table656768697377[[#This Row],[Employed Persons:
Males]]*Table656768697377[[#This Row],[Smoking Prevalence Associated with Intervention: Males]]</f>
        <v>502312.60445407615</v>
      </c>
      <c r="P386" s="139">
        <f>Table656768697377[[#This Row],[Employed Persons:
Females]]*Table656768697377[[#This Row],[Smoking Prevalence Associated with Intervention: Females]]</f>
        <v>55255.296930546683</v>
      </c>
      <c r="Q386" s="142">
        <f t="shared" si="88"/>
        <v>213284084.61950555</v>
      </c>
      <c r="R386" s="142">
        <f t="shared" si="89"/>
        <v>15123506.330121415</v>
      </c>
      <c r="S386" s="142">
        <f>Table656768697377[[#This Row],[Smoking Breaks (Costs) - Intervention Scenario:
Males]]+Table656768697377[[#This Row],[Smoking Breaks (Costs) - Intervention Scenario:
Females]]</f>
        <v>228407590.94962698</v>
      </c>
      <c r="T386" s="145">
        <f>Table656768697377[[#This Row],[Smoking Breaks (Costs):
Males]]-Table656768697377[[#This Row],[Smoking Breaks (Costs) - Intervention Scenario:
Males]]</f>
        <v>13952664.779065907</v>
      </c>
      <c r="U386" s="145">
        <f>Table656768697377[[#This Row],[Smoking Breaks (Costs):
Females]]-Table656768697377[[#This Row],[Smoking Breaks (Costs) - Intervention Scenario:
Females]]</f>
        <v>989352.83654525504</v>
      </c>
      <c r="V386" s="145">
        <f>Table656768697377[[#This Row],[Smoking Breaks (Costs):
Total]]-Table656768697377[[#This Row],[Smoking Breaks (Costs) - Intervention Scenario:
Total]]</f>
        <v>14942017.615611136</v>
      </c>
    </row>
    <row r="387" spans="2:22" customFormat="1">
      <c r="B387" s="54">
        <v>7</v>
      </c>
      <c r="C387" s="125">
        <f t="shared" si="84"/>
        <v>938900</v>
      </c>
      <c r="D387" s="125">
        <f t="shared" si="85"/>
        <v>841000</v>
      </c>
      <c r="E387" s="121">
        <f t="shared" si="86"/>
        <v>0.56999999999999995</v>
      </c>
      <c r="F387" s="121">
        <f t="shared" si="87"/>
        <v>7.0000000000000007E-2</v>
      </c>
      <c r="G387" s="125">
        <f>Table656768697377[[#This Row],[Employed Persons:
Males]]*Table656768697377[[#This Row],[Smoking Prevalence:
Males]]</f>
        <v>535173</v>
      </c>
      <c r="H387" s="125">
        <f>Table656768697377[[#This Row],[Employed Persons:
Females]]*Table656768697377[[#This Row],[Smoking Prevalence:
Females]]</f>
        <v>58870.000000000007</v>
      </c>
      <c r="I387" s="50">
        <f>$C$16*Table656768697377[[#This Row],[Employed Smokers:
Males]]*D$29</f>
        <v>227236749.39857146</v>
      </c>
      <c r="J387" s="15">
        <f>$C$16*Table656768697377[[#This Row],[Employed Smokers:
Females]]*E$29</f>
        <v>16112859.16666667</v>
      </c>
      <c r="K387" s="15">
        <f>Table656768697377[[#This Row],[Smoking Breaks (Costs):
Males]]+Table656768697377[[#This Row],[Smoking Breaks (Costs):
Females]]</f>
        <v>243349608.56523812</v>
      </c>
      <c r="L387" s="132">
        <v>-3.0000000000000001E-3</v>
      </c>
      <c r="M387" s="136">
        <f>M386*(1+Table656768697377[[#This Row],[Relative Change in Smoking Prevalence:
Cigarette Package Warnings]])</f>
        <v>0.53339617279871543</v>
      </c>
      <c r="N387" s="136">
        <f>N386*(1+Table656768697377[[#This Row],[Relative Change in Smoking Prevalence:
Cigarette Package Warnings]])</f>
        <v>6.5504793150719429E-2</v>
      </c>
      <c r="O387" s="139">
        <f>Table656768697377[[#This Row],[Employed Persons:
Males]]*Table656768697377[[#This Row],[Smoking Prevalence Associated with Intervention: Males]]</f>
        <v>500805.66664071393</v>
      </c>
      <c r="P387" s="139">
        <f>Table656768697377[[#This Row],[Employed Persons:
Females]]*Table656768697377[[#This Row],[Smoking Prevalence Associated with Intervention: Females]]</f>
        <v>55089.531039755042</v>
      </c>
      <c r="Q387" s="142">
        <f t="shared" si="88"/>
        <v>212644232.36564705</v>
      </c>
      <c r="R387" s="142">
        <f t="shared" si="89"/>
        <v>15078135.811131049</v>
      </c>
      <c r="S387" s="142">
        <f>Table656768697377[[#This Row],[Smoking Breaks (Costs) - Intervention Scenario:
Males]]+Table656768697377[[#This Row],[Smoking Breaks (Costs) - Intervention Scenario:
Females]]</f>
        <v>227722368.17677811</v>
      </c>
      <c r="T387" s="145">
        <f>Table656768697377[[#This Row],[Smoking Breaks (Costs):
Males]]-Table656768697377[[#This Row],[Smoking Breaks (Costs) - Intervention Scenario:
Males]]</f>
        <v>14592517.032924414</v>
      </c>
      <c r="U387" s="145">
        <f>Table656768697377[[#This Row],[Smoking Breaks (Costs):
Females]]-Table656768697377[[#This Row],[Smoking Breaks (Costs) - Intervention Scenario:
Females]]</f>
        <v>1034723.3555356208</v>
      </c>
      <c r="V387" s="145">
        <f>Table656768697377[[#This Row],[Smoking Breaks (Costs):
Total]]-Table656768697377[[#This Row],[Smoking Breaks (Costs) - Intervention Scenario:
Total]]</f>
        <v>15627240.38846001</v>
      </c>
    </row>
    <row r="388" spans="2:22" customFormat="1">
      <c r="B388" s="55">
        <v>8</v>
      </c>
      <c r="C388" s="126">
        <f t="shared" si="84"/>
        <v>938900</v>
      </c>
      <c r="D388" s="126">
        <f t="shared" si="85"/>
        <v>841000</v>
      </c>
      <c r="E388" s="122">
        <f t="shared" si="86"/>
        <v>0.56999999999999995</v>
      </c>
      <c r="F388" s="122">
        <f t="shared" si="87"/>
        <v>7.0000000000000007E-2</v>
      </c>
      <c r="G388" s="126">
        <f>Table656768697377[[#This Row],[Employed Persons:
Males]]*Table656768697377[[#This Row],[Smoking Prevalence:
Males]]</f>
        <v>535173</v>
      </c>
      <c r="H388" s="126">
        <f>Table656768697377[[#This Row],[Employed Persons:
Females]]*Table656768697377[[#This Row],[Smoking Prevalence:
Females]]</f>
        <v>58870.000000000007</v>
      </c>
      <c r="I388" s="51">
        <f>$C$16*Table656768697377[[#This Row],[Employed Smokers:
Males]]*D$29</f>
        <v>227236749.39857146</v>
      </c>
      <c r="J388" s="15">
        <f>$C$16*Table656768697377[[#This Row],[Employed Smokers:
Females]]*E$29</f>
        <v>16112859.16666667</v>
      </c>
      <c r="K388" s="15">
        <f>Table656768697377[[#This Row],[Smoking Breaks (Costs):
Males]]+Table656768697377[[#This Row],[Smoking Breaks (Costs):
Females]]</f>
        <v>243349608.56523812</v>
      </c>
      <c r="L388" s="132">
        <v>-3.0000000000000001E-3</v>
      </c>
      <c r="M388" s="136">
        <f>M387*(1+Table656768697377[[#This Row],[Relative Change in Smoking Prevalence:
Cigarette Package Warnings]])</f>
        <v>0.53179598428031927</v>
      </c>
      <c r="N388" s="136">
        <f>N387*(1+Table656768697377[[#This Row],[Relative Change in Smoking Prevalence:
Cigarette Package Warnings]])</f>
        <v>6.530827877126727E-2</v>
      </c>
      <c r="O388" s="139">
        <f>Table656768697377[[#This Row],[Employed Persons:
Males]]*Table656768697377[[#This Row],[Smoking Prevalence Associated with Intervention: Males]]</f>
        <v>499303.24964079174</v>
      </c>
      <c r="P388" s="139">
        <f>Table656768697377[[#This Row],[Employed Persons:
Females]]*Table656768697377[[#This Row],[Smoking Prevalence Associated with Intervention: Females]]</f>
        <v>54924.262446635774</v>
      </c>
      <c r="Q388" s="142">
        <f t="shared" si="88"/>
        <v>212006299.66855007</v>
      </c>
      <c r="R388" s="142">
        <f t="shared" si="89"/>
        <v>15032901.403697656</v>
      </c>
      <c r="S388" s="142">
        <f>Table656768697377[[#This Row],[Smoking Breaks (Costs) - Intervention Scenario:
Males]]+Table656768697377[[#This Row],[Smoking Breaks (Costs) - Intervention Scenario:
Females]]</f>
        <v>227039201.07224774</v>
      </c>
      <c r="T388" s="145">
        <f>Table656768697377[[#This Row],[Smoking Breaks (Costs):
Males]]-Table656768697377[[#This Row],[Smoking Breaks (Costs) - Intervention Scenario:
Males]]</f>
        <v>15230449.730021387</v>
      </c>
      <c r="U388" s="145">
        <f>Table656768697377[[#This Row],[Smoking Breaks (Costs):
Females]]-Table656768697377[[#This Row],[Smoking Breaks (Costs) - Intervention Scenario:
Females]]</f>
        <v>1079957.7629690133</v>
      </c>
      <c r="V388" s="145">
        <f>Table656768697377[[#This Row],[Smoking Breaks (Costs):
Total]]-Table656768697377[[#This Row],[Smoking Breaks (Costs) - Intervention Scenario:
Total]]</f>
        <v>16310407.492990375</v>
      </c>
    </row>
    <row r="389" spans="2:22" customFormat="1">
      <c r="B389" s="54">
        <v>9</v>
      </c>
      <c r="C389" s="125">
        <f t="shared" si="84"/>
        <v>938900</v>
      </c>
      <c r="D389" s="125">
        <f t="shared" si="85"/>
        <v>841000</v>
      </c>
      <c r="E389" s="121">
        <f t="shared" si="86"/>
        <v>0.56999999999999995</v>
      </c>
      <c r="F389" s="121">
        <f t="shared" si="87"/>
        <v>7.0000000000000007E-2</v>
      </c>
      <c r="G389" s="125">
        <f>Table656768697377[[#This Row],[Employed Persons:
Males]]*Table656768697377[[#This Row],[Smoking Prevalence:
Males]]</f>
        <v>535173</v>
      </c>
      <c r="H389" s="125">
        <f>Table656768697377[[#This Row],[Employed Persons:
Females]]*Table656768697377[[#This Row],[Smoking Prevalence:
Females]]</f>
        <v>58870.000000000007</v>
      </c>
      <c r="I389" s="50">
        <f>$C$16*Table656768697377[[#This Row],[Employed Smokers:
Males]]*D$29</f>
        <v>227236749.39857146</v>
      </c>
      <c r="J389" s="15">
        <f>$C$16*Table656768697377[[#This Row],[Employed Smokers:
Females]]*E$29</f>
        <v>16112859.16666667</v>
      </c>
      <c r="K389" s="15">
        <f>Table656768697377[[#This Row],[Smoking Breaks (Costs):
Males]]+Table656768697377[[#This Row],[Smoking Breaks (Costs):
Females]]</f>
        <v>243349608.56523812</v>
      </c>
      <c r="L389" s="132">
        <v>-3.0000000000000001E-3</v>
      </c>
      <c r="M389" s="136">
        <f>M388*(1+Table656768697377[[#This Row],[Relative Change in Smoking Prevalence:
Cigarette Package Warnings]])</f>
        <v>0.53020059632747829</v>
      </c>
      <c r="N389" s="136">
        <f>N388*(1+Table656768697377[[#This Row],[Relative Change in Smoking Prevalence:
Cigarette Package Warnings]])</f>
        <v>6.5112353934953474E-2</v>
      </c>
      <c r="O389" s="139">
        <f>Table656768697377[[#This Row],[Employed Persons:
Males]]*Table656768697377[[#This Row],[Smoking Prevalence Associated with Intervention: Males]]</f>
        <v>497805.33989186934</v>
      </c>
      <c r="P389" s="139">
        <f>Table656768697377[[#This Row],[Employed Persons:
Females]]*Table656768697377[[#This Row],[Smoking Prevalence Associated with Intervention: Females]]</f>
        <v>54759.489659295868</v>
      </c>
      <c r="Q389" s="142">
        <f t="shared" si="88"/>
        <v>211370280.76954442</v>
      </c>
      <c r="R389" s="142">
        <f t="shared" si="89"/>
        <v>14987802.699486565</v>
      </c>
      <c r="S389" s="142">
        <f>Table656768697377[[#This Row],[Smoking Breaks (Costs) - Intervention Scenario:
Males]]+Table656768697377[[#This Row],[Smoking Breaks (Costs) - Intervention Scenario:
Females]]</f>
        <v>226358083.46903098</v>
      </c>
      <c r="T389" s="145">
        <f>Table656768697377[[#This Row],[Smoking Breaks (Costs):
Males]]-Table656768697377[[#This Row],[Smoking Breaks (Costs) - Intervention Scenario:
Males]]</f>
        <v>15866468.629027039</v>
      </c>
      <c r="U389" s="145">
        <f>Table656768697377[[#This Row],[Smoking Breaks (Costs):
Females]]-Table656768697377[[#This Row],[Smoking Breaks (Costs) - Intervention Scenario:
Females]]</f>
        <v>1125056.4671801049</v>
      </c>
      <c r="V389" s="145">
        <f>Table656768697377[[#This Row],[Smoking Breaks (Costs):
Total]]-Table656768697377[[#This Row],[Smoking Breaks (Costs) - Intervention Scenario:
Total]]</f>
        <v>16991525.096207142</v>
      </c>
    </row>
    <row r="390" spans="2:22" customFormat="1">
      <c r="B390" s="55">
        <v>10</v>
      </c>
      <c r="C390" s="126">
        <f t="shared" si="84"/>
        <v>938900</v>
      </c>
      <c r="D390" s="126">
        <f t="shared" si="85"/>
        <v>841000</v>
      </c>
      <c r="E390" s="122">
        <f t="shared" si="86"/>
        <v>0.56999999999999995</v>
      </c>
      <c r="F390" s="122">
        <f t="shared" si="87"/>
        <v>7.0000000000000007E-2</v>
      </c>
      <c r="G390" s="126">
        <f>Table656768697377[[#This Row],[Employed Persons:
Males]]*Table656768697377[[#This Row],[Smoking Prevalence:
Males]]</f>
        <v>535173</v>
      </c>
      <c r="H390" s="126">
        <f>Table656768697377[[#This Row],[Employed Persons:
Females]]*Table656768697377[[#This Row],[Smoking Prevalence:
Females]]</f>
        <v>58870.000000000007</v>
      </c>
      <c r="I390" s="51">
        <f>$C$16*Table656768697377[[#This Row],[Employed Smokers:
Males]]*D$29</f>
        <v>227236749.39857146</v>
      </c>
      <c r="J390" s="15">
        <f>$C$16*Table656768697377[[#This Row],[Employed Smokers:
Females]]*E$29</f>
        <v>16112859.16666667</v>
      </c>
      <c r="K390" s="15">
        <f>Table656768697377[[#This Row],[Smoking Breaks (Costs):
Males]]+Table656768697377[[#This Row],[Smoking Breaks (Costs):
Females]]</f>
        <v>243349608.56523812</v>
      </c>
      <c r="L390" s="132">
        <v>-3.0000000000000001E-3</v>
      </c>
      <c r="M390" s="136">
        <f>M389*(1+Table656768697377[[#This Row],[Relative Change in Smoking Prevalence:
Cigarette Package Warnings]])</f>
        <v>0.52860999453849589</v>
      </c>
      <c r="N390" s="136">
        <f>N389*(1+Table656768697377[[#This Row],[Relative Change in Smoking Prevalence:
Cigarette Package Warnings]])</f>
        <v>6.4917016873148617E-2</v>
      </c>
      <c r="O390" s="139">
        <f>Table656768697377[[#This Row],[Employed Persons:
Males]]*Table656768697377[[#This Row],[Smoking Prevalence Associated with Intervention: Males]]</f>
        <v>496311.92387219379</v>
      </c>
      <c r="P390" s="139">
        <f>Table656768697377[[#This Row],[Employed Persons:
Females]]*Table656768697377[[#This Row],[Smoking Prevalence Associated with Intervention: Females]]</f>
        <v>54595.21119031799</v>
      </c>
      <c r="Q390" s="142">
        <f t="shared" si="88"/>
        <v>210736169.92723581</v>
      </c>
      <c r="R390" s="142">
        <f t="shared" si="89"/>
        <v>14942839.291388106</v>
      </c>
      <c r="S390" s="142">
        <f>Table656768697377[[#This Row],[Smoking Breaks (Costs) - Intervention Scenario:
Males]]+Table656768697377[[#This Row],[Smoking Breaks (Costs) - Intervention Scenario:
Females]]</f>
        <v>225679009.21862391</v>
      </c>
      <c r="T390" s="145">
        <f>Table656768697377[[#This Row],[Smoking Breaks (Costs):
Males]]-Table656768697377[[#This Row],[Smoking Breaks (Costs) - Intervention Scenario:
Males]]</f>
        <v>16500579.471335649</v>
      </c>
      <c r="U390" s="145">
        <f>Table656768697377[[#This Row],[Smoking Breaks (Costs):
Females]]-Table656768697377[[#This Row],[Smoking Breaks (Costs) - Intervention Scenario:
Females]]</f>
        <v>1170019.8752785642</v>
      </c>
      <c r="V390" s="145">
        <f>Table656768697377[[#This Row],[Smoking Breaks (Costs):
Total]]-Table656768697377[[#This Row],[Smoking Breaks (Costs) - Intervention Scenario:
Total]]</f>
        <v>17670599.346614212</v>
      </c>
    </row>
    <row r="391" spans="2:22" customFormat="1">
      <c r="B391" s="54">
        <v>11</v>
      </c>
      <c r="C391" s="125">
        <f t="shared" si="84"/>
        <v>938900</v>
      </c>
      <c r="D391" s="125">
        <f t="shared" si="85"/>
        <v>841000</v>
      </c>
      <c r="E391" s="121">
        <f t="shared" si="86"/>
        <v>0.56999999999999995</v>
      </c>
      <c r="F391" s="121">
        <f t="shared" si="87"/>
        <v>7.0000000000000007E-2</v>
      </c>
      <c r="G391" s="125">
        <f>Table656768697377[[#This Row],[Employed Persons:
Males]]*Table656768697377[[#This Row],[Smoking Prevalence:
Males]]</f>
        <v>535173</v>
      </c>
      <c r="H391" s="125">
        <f>Table656768697377[[#This Row],[Employed Persons:
Females]]*Table656768697377[[#This Row],[Smoking Prevalence:
Females]]</f>
        <v>58870.000000000007</v>
      </c>
      <c r="I391" s="50">
        <f>$C$16*Table656768697377[[#This Row],[Employed Smokers:
Males]]*D$29</f>
        <v>227236749.39857146</v>
      </c>
      <c r="J391" s="15">
        <f>$C$16*Table656768697377[[#This Row],[Employed Smokers:
Females]]*E$29</f>
        <v>16112859.16666667</v>
      </c>
      <c r="K391" s="15">
        <f>Table656768697377[[#This Row],[Smoking Breaks (Costs):
Males]]+Table656768697377[[#This Row],[Smoking Breaks (Costs):
Females]]</f>
        <v>243349608.56523812</v>
      </c>
      <c r="L391" s="132">
        <v>-3.0000000000000001E-3</v>
      </c>
      <c r="M391" s="136">
        <f>M390*(1+Table656768697377[[#This Row],[Relative Change in Smoking Prevalence:
Cigarette Package Warnings]])</f>
        <v>0.52702416455488044</v>
      </c>
      <c r="N391" s="136">
        <f>N390*(1+Table656768697377[[#This Row],[Relative Change in Smoking Prevalence:
Cigarette Package Warnings]])</f>
        <v>6.4722265822529171E-2</v>
      </c>
      <c r="O391" s="139">
        <f>Table656768697377[[#This Row],[Employed Persons:
Males]]*Table656768697377[[#This Row],[Smoking Prevalence Associated with Intervention: Males]]</f>
        <v>494822.98810057726</v>
      </c>
      <c r="P391" s="139">
        <f>Table656768697377[[#This Row],[Employed Persons:
Females]]*Table656768697377[[#This Row],[Smoking Prevalence Associated with Intervention: Females]]</f>
        <v>54431.425556747032</v>
      </c>
      <c r="Q391" s="142">
        <f t="shared" si="88"/>
        <v>210103961.41745412</v>
      </c>
      <c r="R391" s="142">
        <f t="shared" si="89"/>
        <v>14898010.773513941</v>
      </c>
      <c r="S391" s="142">
        <f>Table656768697377[[#This Row],[Smoking Breaks (Costs) - Intervention Scenario:
Males]]+Table656768697377[[#This Row],[Smoking Breaks (Costs) - Intervention Scenario:
Females]]</f>
        <v>225001972.19096807</v>
      </c>
      <c r="T391" s="145">
        <f>Table656768697377[[#This Row],[Smoking Breaks (Costs):
Males]]-Table656768697377[[#This Row],[Smoking Breaks (Costs) - Intervention Scenario:
Males]]</f>
        <v>17132787.981117338</v>
      </c>
      <c r="U391" s="145">
        <f>Table656768697377[[#This Row],[Smoking Breaks (Costs):
Females]]-Table656768697377[[#This Row],[Smoking Breaks (Costs) - Intervention Scenario:
Females]]</f>
        <v>1214848.3931527287</v>
      </c>
      <c r="V391" s="145">
        <f>Table656768697377[[#This Row],[Smoking Breaks (Costs):
Total]]-Table656768697377[[#This Row],[Smoking Breaks (Costs) - Intervention Scenario:
Total]]</f>
        <v>18347636.374270052</v>
      </c>
    </row>
    <row r="392" spans="2:22" customFormat="1">
      <c r="B392" s="55">
        <v>12</v>
      </c>
      <c r="C392" s="126">
        <f t="shared" si="84"/>
        <v>938900</v>
      </c>
      <c r="D392" s="126">
        <f t="shared" si="85"/>
        <v>841000</v>
      </c>
      <c r="E392" s="122">
        <f t="shared" si="86"/>
        <v>0.56999999999999995</v>
      </c>
      <c r="F392" s="122">
        <f t="shared" si="87"/>
        <v>7.0000000000000007E-2</v>
      </c>
      <c r="G392" s="126">
        <f>Table656768697377[[#This Row],[Employed Persons:
Males]]*Table656768697377[[#This Row],[Smoking Prevalence:
Males]]</f>
        <v>535173</v>
      </c>
      <c r="H392" s="126">
        <f>Table656768697377[[#This Row],[Employed Persons:
Females]]*Table656768697377[[#This Row],[Smoking Prevalence:
Females]]</f>
        <v>58870.000000000007</v>
      </c>
      <c r="I392" s="51">
        <f>$C$16*Table656768697377[[#This Row],[Employed Smokers:
Males]]*D$29</f>
        <v>227236749.39857146</v>
      </c>
      <c r="J392" s="15">
        <f>$C$16*Table656768697377[[#This Row],[Employed Smokers:
Females]]*E$29</f>
        <v>16112859.16666667</v>
      </c>
      <c r="K392" s="15">
        <f>Table656768697377[[#This Row],[Smoking Breaks (Costs):
Males]]+Table656768697377[[#This Row],[Smoking Breaks (Costs):
Females]]</f>
        <v>243349608.56523812</v>
      </c>
      <c r="L392" s="132">
        <v>-3.0000000000000001E-3</v>
      </c>
      <c r="M392" s="136">
        <f>M391*(1+Table656768697377[[#This Row],[Relative Change in Smoking Prevalence:
Cigarette Package Warnings]])</f>
        <v>0.52544309206121576</v>
      </c>
      <c r="N392" s="136">
        <f>N391*(1+Table656768697377[[#This Row],[Relative Change in Smoking Prevalence:
Cigarette Package Warnings]])</f>
        <v>6.4528099025061583E-2</v>
      </c>
      <c r="O392" s="139">
        <f>Table656768697377[[#This Row],[Employed Persons:
Males]]*Table656768697377[[#This Row],[Smoking Prevalence Associated with Intervention: Males]]</f>
        <v>493338.51913627546</v>
      </c>
      <c r="P392" s="139">
        <f>Table656768697377[[#This Row],[Employed Persons:
Females]]*Table656768697377[[#This Row],[Smoking Prevalence Associated with Intervention: Females]]</f>
        <v>54268.131280076792</v>
      </c>
      <c r="Q392" s="142">
        <f t="shared" si="88"/>
        <v>209473649.53320175</v>
      </c>
      <c r="R392" s="142">
        <f t="shared" si="89"/>
        <v>14853316.741193399</v>
      </c>
      <c r="S392" s="142">
        <f>Table656768697377[[#This Row],[Smoking Breaks (Costs) - Intervention Scenario:
Males]]+Table656768697377[[#This Row],[Smoking Breaks (Costs) - Intervention Scenario:
Females]]</f>
        <v>224326966.27439517</v>
      </c>
      <c r="T392" s="145">
        <f>Table656768697377[[#This Row],[Smoking Breaks (Costs):
Males]]-Table656768697377[[#This Row],[Smoking Breaks (Costs) - Intervention Scenario:
Males]]</f>
        <v>17763099.865369707</v>
      </c>
      <c r="U392" s="145">
        <f>Table656768697377[[#This Row],[Smoking Breaks (Costs):
Females]]-Table656768697377[[#This Row],[Smoking Breaks (Costs) - Intervention Scenario:
Females]]</f>
        <v>1259542.4254732709</v>
      </c>
      <c r="V392" s="145">
        <f>Table656768697377[[#This Row],[Smoking Breaks (Costs):
Total]]-Table656768697377[[#This Row],[Smoking Breaks (Costs) - Intervention Scenario:
Total]]</f>
        <v>19022642.29084295</v>
      </c>
    </row>
    <row r="393" spans="2:22" customFormat="1">
      <c r="B393" s="54">
        <v>13</v>
      </c>
      <c r="C393" s="125">
        <f t="shared" si="84"/>
        <v>938900</v>
      </c>
      <c r="D393" s="125">
        <f t="shared" si="85"/>
        <v>841000</v>
      </c>
      <c r="E393" s="121">
        <f t="shared" si="86"/>
        <v>0.56999999999999995</v>
      </c>
      <c r="F393" s="121">
        <f t="shared" si="87"/>
        <v>7.0000000000000007E-2</v>
      </c>
      <c r="G393" s="125">
        <f>Table656768697377[[#This Row],[Employed Persons:
Males]]*Table656768697377[[#This Row],[Smoking Prevalence:
Males]]</f>
        <v>535173</v>
      </c>
      <c r="H393" s="125">
        <f>Table656768697377[[#This Row],[Employed Persons:
Females]]*Table656768697377[[#This Row],[Smoking Prevalence:
Females]]</f>
        <v>58870.000000000007</v>
      </c>
      <c r="I393" s="50">
        <f>$C$16*Table656768697377[[#This Row],[Employed Smokers:
Males]]*D$29</f>
        <v>227236749.39857146</v>
      </c>
      <c r="J393" s="15">
        <f>$C$16*Table656768697377[[#This Row],[Employed Smokers:
Females]]*E$29</f>
        <v>16112859.16666667</v>
      </c>
      <c r="K393" s="15">
        <f>Table656768697377[[#This Row],[Smoking Breaks (Costs):
Males]]+Table656768697377[[#This Row],[Smoking Breaks (Costs):
Females]]</f>
        <v>243349608.56523812</v>
      </c>
      <c r="L393" s="132">
        <v>-3.0000000000000001E-3</v>
      </c>
      <c r="M393" s="136">
        <f>M392*(1+Table656768697377[[#This Row],[Relative Change in Smoking Prevalence:
Cigarette Package Warnings]])</f>
        <v>0.52386676278503208</v>
      </c>
      <c r="N393" s="136">
        <f>N392*(1+Table656768697377[[#This Row],[Relative Change in Smoking Prevalence:
Cigarette Package Warnings]])</f>
        <v>6.4334514727986403E-2</v>
      </c>
      <c r="O393" s="139">
        <f>Table656768697377[[#This Row],[Employed Persons:
Males]]*Table656768697377[[#This Row],[Smoking Prevalence Associated with Intervention: Males]]</f>
        <v>491858.5035788666</v>
      </c>
      <c r="P393" s="139">
        <f>Table656768697377[[#This Row],[Employed Persons:
Females]]*Table656768697377[[#This Row],[Smoking Prevalence Associated with Intervention: Females]]</f>
        <v>54105.326886236566</v>
      </c>
      <c r="Q393" s="142">
        <f t="shared" si="88"/>
        <v>208845228.58460212</v>
      </c>
      <c r="R393" s="142">
        <f t="shared" si="89"/>
        <v>14808756.790969821</v>
      </c>
      <c r="S393" s="142">
        <f>Table656768697377[[#This Row],[Smoking Breaks (Costs) - Intervention Scenario:
Males]]+Table656768697377[[#This Row],[Smoking Breaks (Costs) - Intervention Scenario:
Females]]</f>
        <v>223653985.37557194</v>
      </c>
      <c r="T393" s="145">
        <f>Table656768697377[[#This Row],[Smoking Breaks (Costs):
Males]]-Table656768697377[[#This Row],[Smoking Breaks (Costs) - Intervention Scenario:
Males]]</f>
        <v>18391520.813969344</v>
      </c>
      <c r="U393" s="145">
        <f>Table656768697377[[#This Row],[Smoking Breaks (Costs):
Females]]-Table656768697377[[#This Row],[Smoking Breaks (Costs) - Intervention Scenario:
Females]]</f>
        <v>1304102.3756968491</v>
      </c>
      <c r="V393" s="145">
        <f>Table656768697377[[#This Row],[Smoking Breaks (Costs):
Total]]-Table656768697377[[#This Row],[Smoking Breaks (Costs) - Intervention Scenario:
Total]]</f>
        <v>19695623.189666182</v>
      </c>
    </row>
    <row r="394" spans="2:22" customFormat="1">
      <c r="B394" s="55">
        <v>14</v>
      </c>
      <c r="C394" s="126">
        <f t="shared" si="84"/>
        <v>938900</v>
      </c>
      <c r="D394" s="126">
        <f t="shared" si="85"/>
        <v>841000</v>
      </c>
      <c r="E394" s="122">
        <f t="shared" si="86"/>
        <v>0.56999999999999995</v>
      </c>
      <c r="F394" s="122">
        <f t="shared" si="87"/>
        <v>7.0000000000000007E-2</v>
      </c>
      <c r="G394" s="126">
        <f>Table656768697377[[#This Row],[Employed Persons:
Males]]*Table656768697377[[#This Row],[Smoking Prevalence:
Males]]</f>
        <v>535173</v>
      </c>
      <c r="H394" s="126">
        <f>Table656768697377[[#This Row],[Employed Persons:
Females]]*Table656768697377[[#This Row],[Smoking Prevalence:
Females]]</f>
        <v>58870.000000000007</v>
      </c>
      <c r="I394" s="51">
        <f>$C$16*Table656768697377[[#This Row],[Employed Smokers:
Males]]*D$29</f>
        <v>227236749.39857146</v>
      </c>
      <c r="J394" s="15">
        <f>$C$16*Table656768697377[[#This Row],[Employed Smokers:
Females]]*E$29</f>
        <v>16112859.16666667</v>
      </c>
      <c r="K394" s="15">
        <f>Table656768697377[[#This Row],[Smoking Breaks (Costs):
Males]]+Table656768697377[[#This Row],[Smoking Breaks (Costs):
Females]]</f>
        <v>243349608.56523812</v>
      </c>
      <c r="L394" s="132">
        <v>-3.0000000000000001E-3</v>
      </c>
      <c r="M394" s="136">
        <f>M393*(1+Table656768697377[[#This Row],[Relative Change in Smoking Prevalence:
Cigarette Package Warnings]])</f>
        <v>0.52229516249667696</v>
      </c>
      <c r="N394" s="136">
        <f>N393*(1+Table656768697377[[#This Row],[Relative Change in Smoking Prevalence:
Cigarette Package Warnings]])</f>
        <v>6.4141511183802444E-2</v>
      </c>
      <c r="O394" s="139">
        <f>Table656768697377[[#This Row],[Employed Persons:
Males]]*Table656768697377[[#This Row],[Smoking Prevalence Associated with Intervention: Males]]</f>
        <v>490382.92806812999</v>
      </c>
      <c r="P394" s="139">
        <f>Table656768697377[[#This Row],[Employed Persons:
Females]]*Table656768697377[[#This Row],[Smoking Prevalence Associated with Intervention: Females]]</f>
        <v>53943.010905577852</v>
      </c>
      <c r="Q394" s="142">
        <f t="shared" si="88"/>
        <v>208218692.89884833</v>
      </c>
      <c r="R394" s="142">
        <f t="shared" si="89"/>
        <v>14764330.52059691</v>
      </c>
      <c r="S394" s="142">
        <f>Table656768697377[[#This Row],[Smoking Breaks (Costs) - Intervention Scenario:
Males]]+Table656768697377[[#This Row],[Smoking Breaks (Costs) - Intervention Scenario:
Females]]</f>
        <v>222983023.41944525</v>
      </c>
      <c r="T394" s="145">
        <f>Table656768697377[[#This Row],[Smoking Breaks (Costs):
Males]]-Table656768697377[[#This Row],[Smoking Breaks (Costs) - Intervention Scenario:
Males]]</f>
        <v>19018056.499723136</v>
      </c>
      <c r="U394" s="145">
        <f>Table656768697377[[#This Row],[Smoking Breaks (Costs):
Females]]-Table656768697377[[#This Row],[Smoking Breaks (Costs) - Intervention Scenario:
Females]]</f>
        <v>1348528.6460697595</v>
      </c>
      <c r="V394" s="145">
        <f>Table656768697377[[#This Row],[Smoking Breaks (Costs):
Total]]-Table656768697377[[#This Row],[Smoking Breaks (Costs) - Intervention Scenario:
Total]]</f>
        <v>20366585.145792872</v>
      </c>
    </row>
    <row r="395" spans="2:22" customFormat="1">
      <c r="B395" s="56">
        <v>15</v>
      </c>
      <c r="C395" s="127">
        <f t="shared" si="84"/>
        <v>938900</v>
      </c>
      <c r="D395" s="127">
        <f t="shared" si="85"/>
        <v>841000</v>
      </c>
      <c r="E395" s="123">
        <f t="shared" si="86"/>
        <v>0.56999999999999995</v>
      </c>
      <c r="F395" s="123">
        <f t="shared" si="87"/>
        <v>7.0000000000000007E-2</v>
      </c>
      <c r="G395" s="127">
        <f>Table656768697377[[#This Row],[Employed Persons:
Males]]*Table656768697377[[#This Row],[Smoking Prevalence:
Males]]</f>
        <v>535173</v>
      </c>
      <c r="H395" s="127">
        <f>Table656768697377[[#This Row],[Employed Persons:
Females]]*Table656768697377[[#This Row],[Smoking Prevalence:
Females]]</f>
        <v>58870.000000000007</v>
      </c>
      <c r="I395" s="52">
        <f>$C$16*Table656768697377[[#This Row],[Employed Smokers:
Males]]*D$29</f>
        <v>227236749.39857146</v>
      </c>
      <c r="J395" s="15">
        <f>$C$16*Table656768697377[[#This Row],[Employed Smokers:
Females]]*E$29</f>
        <v>16112859.16666667</v>
      </c>
      <c r="K395" s="15">
        <f>Table656768697377[[#This Row],[Smoking Breaks (Costs):
Males]]+Table656768697377[[#This Row],[Smoking Breaks (Costs):
Females]]</f>
        <v>243349608.56523812</v>
      </c>
      <c r="L395" s="132">
        <v>-3.0000000000000001E-3</v>
      </c>
      <c r="M395" s="136">
        <f>M394*(1+Table656768697377[[#This Row],[Relative Change in Smoking Prevalence:
Cigarette Package Warnings]])</f>
        <v>0.52072827700918689</v>
      </c>
      <c r="N395" s="136">
        <f>N394*(1+Table656768697377[[#This Row],[Relative Change in Smoking Prevalence:
Cigarette Package Warnings]])</f>
        <v>6.3949086650251036E-2</v>
      </c>
      <c r="O395" s="139">
        <f>Table656768697377[[#This Row],[Employed Persons:
Males]]*Table656768697377[[#This Row],[Smoking Prevalence Associated with Intervention: Males]]</f>
        <v>488911.7792839256</v>
      </c>
      <c r="P395" s="139">
        <f>Table656768697377[[#This Row],[Employed Persons:
Females]]*Table656768697377[[#This Row],[Smoking Prevalence Associated with Intervention: Females]]</f>
        <v>53781.181872861118</v>
      </c>
      <c r="Q395" s="142">
        <f t="shared" si="88"/>
        <v>207594036.82015175</v>
      </c>
      <c r="R395" s="142">
        <f t="shared" si="89"/>
        <v>14720037.529035117</v>
      </c>
      <c r="S395" s="142">
        <f>Table656768697377[[#This Row],[Smoking Breaks (Costs) - Intervention Scenario:
Males]]+Table656768697377[[#This Row],[Smoking Breaks (Costs) - Intervention Scenario:
Females]]</f>
        <v>222314074.34918687</v>
      </c>
      <c r="T395" s="145">
        <f>Table656768697377[[#This Row],[Smoking Breaks (Costs):
Males]]-Table656768697377[[#This Row],[Smoking Breaks (Costs) - Intervention Scenario:
Males]]</f>
        <v>19642712.578419715</v>
      </c>
      <c r="U395" s="145">
        <f>Table656768697377[[#This Row],[Smoking Breaks (Costs):
Females]]-Table656768697377[[#This Row],[Smoking Breaks (Costs) - Intervention Scenario:
Females]]</f>
        <v>1392821.6376315523</v>
      </c>
      <c r="V395" s="145">
        <f>Table656768697377[[#This Row],[Smoking Breaks (Costs):
Total]]-Table656768697377[[#This Row],[Smoking Breaks (Costs) - Intervention Scenario:
Total]]</f>
        <v>21035534.216051251</v>
      </c>
    </row>
    <row r="399" spans="2:22" ht="21">
      <c r="B399" s="81" t="s">
        <v>119</v>
      </c>
    </row>
    <row r="400" spans="2:22" ht="15" customHeight="1">
      <c r="B400" s="81"/>
    </row>
    <row r="401" spans="2:8" ht="24" customHeight="1">
      <c r="B401" s="83" t="s">
        <v>194</v>
      </c>
    </row>
    <row r="402" spans="2:8" ht="15" customHeight="1">
      <c r="B402" s="81"/>
    </row>
    <row r="403" spans="2:8" ht="45">
      <c r="B403" s="14" t="s">
        <v>120</v>
      </c>
      <c r="C403" s="82" t="s">
        <v>123</v>
      </c>
      <c r="D403" s="82" t="s">
        <v>195</v>
      </c>
      <c r="E403" s="82" t="s">
        <v>196</v>
      </c>
      <c r="F403" s="82" t="s">
        <v>197</v>
      </c>
      <c r="G403" s="155" t="s">
        <v>202</v>
      </c>
      <c r="H403" s="155" t="s">
        <v>203</v>
      </c>
    </row>
    <row r="404" spans="2:8">
      <c r="B404" s="6" t="s">
        <v>242</v>
      </c>
      <c r="C404" s="13">
        <v>-0.3298622129436326</v>
      </c>
      <c r="D404" s="12">
        <f>SUM(K51:K55)</f>
        <v>381149989.31904763</v>
      </c>
      <c r="E404" s="12">
        <f>SUM(S51:S55)</f>
        <v>312029657.90326756</v>
      </c>
      <c r="F404" s="12">
        <f>SUM(V51:V55)</f>
        <v>69120331.415780038</v>
      </c>
      <c r="G404" s="154">
        <v>4748445.9023322966</v>
      </c>
      <c r="H404" s="154">
        <f>Table5078[[#This Row],[Savings in Excess Absenteeism Costs:
First 5 Years]]/Table5078[[#This Row],[Intervention/Policy Costs (Financial)]]</f>
        <v>14.556411263278827</v>
      </c>
    </row>
    <row r="405" spans="2:8">
      <c r="B405" s="6" t="s">
        <v>282</v>
      </c>
      <c r="C405" s="13">
        <v>-0.182</v>
      </c>
      <c r="D405" s="12">
        <f>SUM(K74:K78)</f>
        <v>381149989.31904763</v>
      </c>
      <c r="E405" s="12">
        <f>SUM(S74:S78)</f>
        <v>341494095.58580244</v>
      </c>
      <c r="F405" s="12">
        <f>SUM(V74:V78)</f>
        <v>39655893.733245134</v>
      </c>
      <c r="G405" s="154">
        <v>1076643.9836525819</v>
      </c>
      <c r="H405" s="154">
        <f>Table5078[[#This Row],[Savings in Excess Absenteeism Costs:
First 5 Years]]/Table5078[[#This Row],[Intervention/Policy Costs (Financial)]]</f>
        <v>36.832875430845803</v>
      </c>
    </row>
    <row r="406" spans="2:8">
      <c r="B406" s="6" t="s">
        <v>77</v>
      </c>
      <c r="C406" s="13">
        <v>-5.3999999999999999E-2</v>
      </c>
      <c r="D406" s="12">
        <f>SUM(K97:K101)</f>
        <v>381149989.31904763</v>
      </c>
      <c r="E406" s="12">
        <f>SUM(S97:S101)</f>
        <v>368977124.79788464</v>
      </c>
      <c r="F406" s="12">
        <f>SUM(V97:V101)</f>
        <v>12172864.521162987</v>
      </c>
      <c r="G406" s="154">
        <v>1821517.172807036</v>
      </c>
      <c r="H406" s="154">
        <f>Table5078[[#This Row],[Savings in Excess Absenteeism Costs:
First 5 Years]]/Table5078[[#This Row],[Intervention/Policy Costs (Financial)]]</f>
        <v>6.682816227531954</v>
      </c>
    </row>
    <row r="407" spans="2:8">
      <c r="B407" s="6" t="s">
        <v>121</v>
      </c>
      <c r="C407" s="13">
        <v>-0.1</v>
      </c>
      <c r="D407" s="12">
        <f>SUM(K120:K124)</f>
        <v>381149989.31904763</v>
      </c>
      <c r="E407" s="12">
        <f>SUM(S120:S124)</f>
        <v>358881755.27993357</v>
      </c>
      <c r="F407" s="12">
        <f>SUM(V120:V124)</f>
        <v>22268234.039114043</v>
      </c>
      <c r="G407" s="154">
        <v>920267.0235148943</v>
      </c>
      <c r="H407" s="154">
        <f>Table5078[[#This Row],[Savings in Excess Absenteeism Costs:
First 5 Years]]/Table5078[[#This Row],[Intervention/Policy Costs (Financial)]]</f>
        <v>24.19757903968145</v>
      </c>
    </row>
    <row r="408" spans="2:8">
      <c r="B408" s="6" t="s">
        <v>122</v>
      </c>
      <c r="C408" s="13">
        <v>-0.06</v>
      </c>
      <c r="D408" s="12">
        <f>SUM(K143:K147)</f>
        <v>381149989.31904763</v>
      </c>
      <c r="E408" s="12">
        <f>SUM(S143:S147)</f>
        <v>367646165.68112803</v>
      </c>
      <c r="F408" s="12">
        <f>SUM(V143:V147)</f>
        <v>13503823.637919605</v>
      </c>
      <c r="G408" s="154">
        <v>930017.7223577844</v>
      </c>
      <c r="H408" s="154">
        <f>Table5078[[#This Row],[Savings in Excess Absenteeism Costs:
First 5 Years]]/Table5078[[#This Row],[Intervention/Policy Costs (Financial)]]</f>
        <v>14.519963774114606</v>
      </c>
    </row>
    <row r="409" spans="2:8" ht="21">
      <c r="B409" s="81"/>
    </row>
    <row r="410" spans="2:8" ht="21">
      <c r="B410" s="81"/>
    </row>
    <row r="411" spans="2:8" ht="18.75">
      <c r="B411" s="83" t="s">
        <v>193</v>
      </c>
    </row>
    <row r="412" spans="2:8" ht="21">
      <c r="B412" s="81"/>
    </row>
    <row r="413" spans="2:8" ht="45">
      <c r="B413" s="14" t="s">
        <v>120</v>
      </c>
      <c r="C413" s="82" t="s">
        <v>124</v>
      </c>
      <c r="D413" s="82" t="s">
        <v>205</v>
      </c>
      <c r="E413" s="82" t="s">
        <v>206</v>
      </c>
      <c r="F413" s="82" t="s">
        <v>207</v>
      </c>
      <c r="G413" s="155" t="s">
        <v>202</v>
      </c>
      <c r="H413" s="155" t="s">
        <v>203</v>
      </c>
    </row>
    <row r="414" spans="2:8">
      <c r="B414" s="6" t="s">
        <v>242</v>
      </c>
      <c r="C414" s="13">
        <v>-0.12411482254697299</v>
      </c>
      <c r="D414" s="12">
        <f>SUM(K56:K65)</f>
        <v>762299978.63809538</v>
      </c>
      <c r="E414" s="12">
        <f>SUM(S56:S65)</f>
        <v>506258031.41252327</v>
      </c>
      <c r="F414" s="12">
        <f>SUM(V56:V65)</f>
        <v>256041947.22557196</v>
      </c>
      <c r="G414" s="15">
        <v>5273707.05598957</v>
      </c>
      <c r="H414" s="154">
        <f>Table505279[[#This Row],[Savings in Excess Absenteeism Costs:
Years 6-16]]/Table505279[[#This Row],[Intervention/Policy Costs (Financial)]]</f>
        <v>48.550657916194716</v>
      </c>
    </row>
    <row r="415" spans="2:8">
      <c r="B415" s="6" t="s">
        <v>282</v>
      </c>
      <c r="C415" s="84">
        <v>-9.1000000000000025E-2</v>
      </c>
      <c r="D415" s="85">
        <f>SUM(K79:K88)</f>
        <v>762299978.63809538</v>
      </c>
      <c r="E415" s="85">
        <f>SUM(S79:S88)</f>
        <v>602453625.84556842</v>
      </c>
      <c r="F415" s="85">
        <f>SUM(V79:V88)</f>
        <v>159846352.79252678</v>
      </c>
      <c r="G415" s="15">
        <v>1521686.7758493207</v>
      </c>
      <c r="H415" s="154">
        <f>Table505279[[#This Row],[Savings in Excess Absenteeism Costs:
Years 6-16]]/Table505279[[#This Row],[Intervention/Policy Costs (Financial)]]</f>
        <v>105.0455030098487</v>
      </c>
    </row>
    <row r="416" spans="2:8">
      <c r="B416" s="6" t="s">
        <v>77</v>
      </c>
      <c r="C416" s="84">
        <v>-8.0000000000000002E-3</v>
      </c>
      <c r="D416" s="85">
        <f>SUM(K102:K111)</f>
        <v>762299978.63809538</v>
      </c>
      <c r="E416" s="85">
        <f>SUM(S102:S111)</f>
        <v>718846120.09032798</v>
      </c>
      <c r="F416" s="85">
        <f>SUM(V102:V111)</f>
        <v>43453858.547767326</v>
      </c>
      <c r="G416" s="15">
        <v>1794451.8797159838</v>
      </c>
      <c r="H416" s="154">
        <f>Table505279[[#This Row],[Savings in Excess Absenteeism Costs:
Years 6-16]]/Table505279[[#This Row],[Intervention/Policy Costs (Financial)]]</f>
        <v>24.215672227803051</v>
      </c>
    </row>
    <row r="417" spans="2:8">
      <c r="B417" s="6" t="s">
        <v>121</v>
      </c>
      <c r="C417" s="84">
        <v>-1.999999999999999E-2</v>
      </c>
      <c r="D417" s="85">
        <f>SUM(K125:K134)</f>
        <v>762299978.63809538</v>
      </c>
      <c r="E417" s="85">
        <f>SUM(S125:S134)</f>
        <v>681524453.72404802</v>
      </c>
      <c r="F417" s="85">
        <f>SUM(V125:V134)</f>
        <v>80775524.914047241</v>
      </c>
      <c r="G417" s="15">
        <v>997746.24927485816</v>
      </c>
      <c r="H417" s="154">
        <f>Table505279[[#This Row],[Savings in Excess Absenteeism Costs:
Years 6-16]]/Table505279[[#This Row],[Intervention/Policy Costs (Financial)]]</f>
        <v>80.957984029259208</v>
      </c>
    </row>
    <row r="418" spans="2:8">
      <c r="B418" s="6" t="s">
        <v>122</v>
      </c>
      <c r="C418" s="84">
        <v>-0.03</v>
      </c>
      <c r="D418" s="85">
        <f>SUM(K148:K157)</f>
        <v>762299978.63809538</v>
      </c>
      <c r="E418" s="85">
        <f>SUM(S148:S157)</f>
        <v>705911363.09509337</v>
      </c>
      <c r="F418" s="85">
        <f>SUM(V148:V157)</f>
        <v>56388615.54300192</v>
      </c>
      <c r="G418" s="15">
        <v>959822.15114940715</v>
      </c>
      <c r="H418" s="154">
        <f>Table505279[[#This Row],[Savings in Excess Absenteeism Costs:
Years 6-16]]/Table505279[[#This Row],[Intervention/Policy Costs (Financial)]]</f>
        <v>58.749024989135094</v>
      </c>
    </row>
    <row r="419" spans="2:8" ht="21">
      <c r="B419" s="81"/>
    </row>
    <row r="420" spans="2:8" ht="21">
      <c r="B420" s="81"/>
    </row>
    <row r="421" spans="2:8" ht="18.75">
      <c r="B421" s="83" t="s">
        <v>204</v>
      </c>
    </row>
    <row r="422" spans="2:8" ht="21">
      <c r="B422" s="81"/>
    </row>
    <row r="423" spans="2:8" ht="45">
      <c r="B423" s="14" t="s">
        <v>120</v>
      </c>
      <c r="C423" s="82" t="s">
        <v>125</v>
      </c>
      <c r="D423" s="82" t="s">
        <v>208</v>
      </c>
      <c r="E423" s="82" t="s">
        <v>209</v>
      </c>
      <c r="F423" s="82" t="s">
        <v>210</v>
      </c>
      <c r="G423" s="155" t="s">
        <v>202</v>
      </c>
      <c r="H423" s="155" t="s">
        <v>203</v>
      </c>
    </row>
    <row r="424" spans="2:8">
      <c r="B424" s="6" t="s">
        <v>242</v>
      </c>
      <c r="C424" s="13">
        <v>-0.45397703549060553</v>
      </c>
      <c r="D424" s="12">
        <f>SUM(K51:K65)</f>
        <v>1143449967.9571433</v>
      </c>
      <c r="E424" s="12">
        <f>SUM(S51:S65)</f>
        <v>818287689.31579089</v>
      </c>
      <c r="F424" s="12">
        <f>SUM(V51:V65)</f>
        <v>325162278.641352</v>
      </c>
      <c r="G424" s="154">
        <v>10022152.958321866</v>
      </c>
      <c r="H424" s="154">
        <f>Table50525380[[#This Row],[Savings in Excess Absenteeism Costs:
After 15 Years]]/Table50525380[[#This Row],[Intervention/Policy Costs (Financial)]]</f>
        <v>32.444354021892515</v>
      </c>
    </row>
    <row r="425" spans="2:8">
      <c r="B425" s="6" t="s">
        <v>282</v>
      </c>
      <c r="C425" s="84">
        <v>-0.27300000000000002</v>
      </c>
      <c r="D425" s="85">
        <f>SUM(K74:K88)</f>
        <v>1143449967.9571433</v>
      </c>
      <c r="E425" s="85">
        <f>SUM(S74:S88)</f>
        <v>943947721.43137085</v>
      </c>
      <c r="F425" s="85">
        <f>SUM(V74:V88)</f>
        <v>199502246.52577192</v>
      </c>
      <c r="G425" s="154">
        <v>2598330.7595019024</v>
      </c>
      <c r="H425" s="154">
        <f>Table50525380[[#This Row],[Savings in Excess Absenteeism Costs:
After 15 Years]]/Table50525380[[#This Row],[Intervention/Policy Costs (Financial)]]</f>
        <v>76.780927830764824</v>
      </c>
    </row>
    <row r="426" spans="2:8">
      <c r="B426" s="6" t="s">
        <v>77</v>
      </c>
      <c r="C426" s="84">
        <v>-6.2E-2</v>
      </c>
      <c r="D426" s="85">
        <f>SUM(K97:K111)</f>
        <v>1143449967.9571433</v>
      </c>
      <c r="E426" s="85">
        <f>SUM(S97:S111)</f>
        <v>1087823244.8882124</v>
      </c>
      <c r="F426" s="85">
        <f>SUM(V97:V111)</f>
        <v>55626723.068930313</v>
      </c>
      <c r="G426" s="154">
        <v>3615969.0525230188</v>
      </c>
      <c r="H426" s="154">
        <f>Table50525380[[#This Row],[Savings in Excess Absenteeism Costs:
After 15 Years]]/Table50525380[[#This Row],[Intervention/Policy Costs (Financial)]]</f>
        <v>15.383628084459719</v>
      </c>
    </row>
    <row r="427" spans="2:8">
      <c r="B427" s="6" t="s">
        <v>121</v>
      </c>
      <c r="C427" s="84">
        <v>-0.12</v>
      </c>
      <c r="D427" s="85">
        <f>SUM(K120:K134)</f>
        <v>1143449967.9571433</v>
      </c>
      <c r="E427" s="85">
        <f>SUM(S120:S134)</f>
        <v>1040406209.0039815</v>
      </c>
      <c r="F427" s="85">
        <f>SUM(V120:V134)</f>
        <v>103043758.95316128</v>
      </c>
      <c r="G427" s="154">
        <v>1918013.2727897526</v>
      </c>
      <c r="H427" s="154">
        <f>Table50525380[[#This Row],[Savings in Excess Absenteeism Costs:
After 15 Years]]/Table50525380[[#This Row],[Intervention/Policy Costs (Financial)]]</f>
        <v>53.72421578881152</v>
      </c>
    </row>
    <row r="428" spans="2:8">
      <c r="B428" s="6" t="s">
        <v>122</v>
      </c>
      <c r="C428" s="84">
        <v>-0.09</v>
      </c>
      <c r="D428" s="85">
        <f>SUM(K143:K157)</f>
        <v>1143449967.9571433</v>
      </c>
      <c r="E428" s="85">
        <f>SUM(S143:S157)</f>
        <v>1073557528.7762214</v>
      </c>
      <c r="F428" s="85">
        <f>SUM(V143:V157)</f>
        <v>69892439.180921525</v>
      </c>
      <c r="G428" s="154">
        <v>1889839.8735071917</v>
      </c>
      <c r="H428" s="154">
        <f>Table50525380[[#This Row],[Savings in Excess Absenteeism Costs:
After 15 Years]]/Table50525380[[#This Row],[Intervention/Policy Costs (Financial)]]</f>
        <v>36.983259883925584</v>
      </c>
    </row>
    <row r="431" spans="2:8" ht="18.75">
      <c r="B431" s="83" t="s">
        <v>211</v>
      </c>
    </row>
    <row r="432" spans="2:8" ht="21">
      <c r="B432" s="81"/>
    </row>
    <row r="433" spans="2:8" ht="45">
      <c r="B433" s="14" t="s">
        <v>120</v>
      </c>
      <c r="C433" s="82" t="s">
        <v>123</v>
      </c>
      <c r="D433" s="82" t="s">
        <v>214</v>
      </c>
      <c r="E433" s="82" t="s">
        <v>215</v>
      </c>
      <c r="F433" s="82" t="s">
        <v>216</v>
      </c>
      <c r="G433" s="155" t="s">
        <v>202</v>
      </c>
      <c r="H433" s="155" t="s">
        <v>203</v>
      </c>
    </row>
    <row r="434" spans="2:8">
      <c r="B434" s="6" t="s">
        <v>242</v>
      </c>
      <c r="C434" s="13">
        <v>-0.3298622129436326</v>
      </c>
      <c r="D434" s="12">
        <f>SUM(K170:K174)</f>
        <v>369422297.34000003</v>
      </c>
      <c r="E434" s="12">
        <f>SUM(S170:S174)</f>
        <v>302428745.3523978</v>
      </c>
      <c r="F434" s="12">
        <f>SUM(V170:V174)</f>
        <v>66993551.987602219</v>
      </c>
      <c r="G434" s="154">
        <v>4748445.9023322966</v>
      </c>
      <c r="H434" s="154">
        <f>Table507812[[#This Row],[Savings in Excess Presenteeism Costs:
First 5 Years]]/Table507812[[#This Row],[Intervention/Policy Costs (Financial)]]</f>
        <v>14.108521685947178</v>
      </c>
    </row>
    <row r="435" spans="2:8">
      <c r="B435" s="6" t="s">
        <v>282</v>
      </c>
      <c r="C435" s="13">
        <v>-0.182</v>
      </c>
      <c r="D435" s="12">
        <f>SUM(K193:K197)</f>
        <v>369422297.34000003</v>
      </c>
      <c r="E435" s="12">
        <f>SUM(S193:S197)</f>
        <v>330986584.95239317</v>
      </c>
      <c r="F435" s="12">
        <f>SUM(V193:V197)</f>
        <v>38435712.387606874</v>
      </c>
      <c r="G435" s="154">
        <v>1076643.9836525819</v>
      </c>
      <c r="H435" s="154">
        <f>Table507812[[#This Row],[Savings in Excess Presenteeism Costs:
First 5 Years]]/Table507812[[#This Row],[Intervention/Policy Costs (Financial)]]</f>
        <v>35.699556186819827</v>
      </c>
    </row>
    <row r="436" spans="2:8">
      <c r="B436" s="6" t="s">
        <v>77</v>
      </c>
      <c r="C436" s="13">
        <v>-5.3999999999999999E-2</v>
      </c>
      <c r="D436" s="12">
        <f>SUM(K216:K220)</f>
        <v>369422297.34000003</v>
      </c>
      <c r="E436" s="12">
        <f>SUM(S216:S220)</f>
        <v>357623982.49641132</v>
      </c>
      <c r="F436" s="12">
        <f>SUM(V216:V220)</f>
        <v>11798314.843588769</v>
      </c>
      <c r="G436" s="154">
        <v>1821517.172807036</v>
      </c>
      <c r="H436" s="154">
        <f>Table507812[[#This Row],[Savings in Excess Presenteeism Costs:
First 5 Years]]/Table507812[[#This Row],[Intervention/Policy Costs (Financial)]]</f>
        <v>6.4771911128386792</v>
      </c>
    </row>
    <row r="437" spans="2:8">
      <c r="B437" s="6" t="s">
        <v>121</v>
      </c>
      <c r="C437" s="13">
        <v>-0.1</v>
      </c>
      <c r="D437" s="12">
        <f>SUM(K239:K243)</f>
        <v>369422297.34000003</v>
      </c>
      <c r="E437" s="12">
        <f>SUM(S239:S243)</f>
        <v>347839239.73285872</v>
      </c>
      <c r="F437" s="12">
        <f>SUM(V239:V243)</f>
        <v>21583057.607141353</v>
      </c>
      <c r="G437" s="154">
        <v>920267.0235148943</v>
      </c>
      <c r="H437" s="154">
        <f>Table507812[[#This Row],[Savings in Excess Presenteeism Costs:
First 5 Years]]/Table507812[[#This Row],[Intervention/Policy Costs (Financial)]]</f>
        <v>23.453038146152846</v>
      </c>
    </row>
    <row r="438" spans="2:8">
      <c r="B438" s="6" t="s">
        <v>122</v>
      </c>
      <c r="C438" s="13">
        <v>-0.06</v>
      </c>
      <c r="D438" s="12">
        <f>SUM(K262:K266)</f>
        <v>369422297.34000003</v>
      </c>
      <c r="E438" s="12">
        <f>SUM(S262:S266)</f>
        <v>356333975.96786255</v>
      </c>
      <c r="F438" s="12">
        <f>SUM(V262:V266)</f>
        <v>13088321.372137502</v>
      </c>
      <c r="G438" s="154">
        <v>930017.7223577844</v>
      </c>
      <c r="H438" s="154">
        <f>Table507812[[#This Row],[Savings in Excess Presenteeism Costs:
First 5 Years]]/Table507812[[#This Row],[Intervention/Policy Costs (Financial)]]</f>
        <v>14.073195657988045</v>
      </c>
    </row>
    <row r="439" spans="2:8" ht="21">
      <c r="B439" s="81"/>
    </row>
    <row r="440" spans="2:8" ht="21">
      <c r="B440" s="81"/>
    </row>
    <row r="441" spans="2:8" ht="18.75">
      <c r="B441" s="83" t="s">
        <v>212</v>
      </c>
    </row>
    <row r="442" spans="2:8" ht="21">
      <c r="B442" s="81"/>
    </row>
    <row r="443" spans="2:8" ht="45">
      <c r="B443" s="14" t="s">
        <v>120</v>
      </c>
      <c r="C443" s="82" t="s">
        <v>124</v>
      </c>
      <c r="D443" s="82" t="s">
        <v>217</v>
      </c>
      <c r="E443" s="82" t="s">
        <v>218</v>
      </c>
      <c r="F443" s="82" t="s">
        <v>219</v>
      </c>
      <c r="G443" s="155" t="s">
        <v>202</v>
      </c>
      <c r="H443" s="155" t="s">
        <v>203</v>
      </c>
    </row>
    <row r="444" spans="2:8">
      <c r="B444" s="6" t="s">
        <v>242</v>
      </c>
      <c r="C444" s="13">
        <v>-0.12411482254697299</v>
      </c>
      <c r="D444" s="12">
        <f>SUM(K175:K184)</f>
        <v>738844594.68000019</v>
      </c>
      <c r="E444" s="12">
        <f>SUM(S175:S184)</f>
        <v>490680861.21521491</v>
      </c>
      <c r="F444" s="12">
        <f>SUM(V175:V184)</f>
        <v>248163733.46478516</v>
      </c>
      <c r="G444" s="15">
        <v>5273707.05598957</v>
      </c>
      <c r="H444" s="154">
        <f>Table50527914[[#This Row],[Savings in Excess Presenteeism Costs:
Years 6-16]]/Table50527914[[#This Row],[Intervention/Policy Costs (Financial)]]</f>
        <v>47.056791518773345</v>
      </c>
    </row>
    <row r="445" spans="2:8">
      <c r="B445" s="6" t="s">
        <v>282</v>
      </c>
      <c r="C445" s="84">
        <v>-9.1000000000000025E-2</v>
      </c>
      <c r="D445" s="12">
        <f>SUM(K198:K207)</f>
        <v>738844594.68000019</v>
      </c>
      <c r="E445" s="12">
        <f>SUM(S198:S207)</f>
        <v>583916591.20416641</v>
      </c>
      <c r="F445" s="12">
        <f>SUM(V198:V207)</f>
        <v>154928003.47583377</v>
      </c>
      <c r="G445" s="15">
        <v>1521686.7758493207</v>
      </c>
      <c r="H445" s="154">
        <f>Table50527914[[#This Row],[Savings in Excess Presenteeism Costs:
Years 6-16]]/Table50527914[[#This Row],[Intervention/Policy Costs (Financial)]]</f>
        <v>101.81333368646882</v>
      </c>
    </row>
    <row r="446" spans="2:8">
      <c r="B446" s="6" t="s">
        <v>77</v>
      </c>
      <c r="C446" s="84">
        <v>-8.0000000000000002E-3</v>
      </c>
      <c r="D446" s="12">
        <f>SUM(K221:K230)</f>
        <v>738844594.68000019</v>
      </c>
      <c r="E446" s="12">
        <f>SUM(S221:S230)</f>
        <v>696727777.93370259</v>
      </c>
      <c r="F446" s="12">
        <f>SUM(V221:V230)</f>
        <v>42116816.746297628</v>
      </c>
      <c r="G446" s="15">
        <v>1794451.8797159838</v>
      </c>
      <c r="H446" s="154">
        <f>Table50527914[[#This Row],[Savings in Excess Presenteeism Costs:
Years 6-16]]/Table50527914[[#This Row],[Intervention/Policy Costs (Financial)]]</f>
        <v>23.470574620793762</v>
      </c>
    </row>
    <row r="447" spans="2:8">
      <c r="B447" s="6" t="s">
        <v>121</v>
      </c>
      <c r="C447" s="84">
        <v>-1.999999999999999E-2</v>
      </c>
      <c r="D447" s="12">
        <f>SUM(K244:K253)</f>
        <v>738844594.68000019</v>
      </c>
      <c r="E447" s="12">
        <f>SUM(S244:S253)</f>
        <v>660554470.53253889</v>
      </c>
      <c r="F447" s="12">
        <f>SUM(V244:V253)</f>
        <v>78290124.147461206</v>
      </c>
      <c r="G447" s="15">
        <v>997746.24927485816</v>
      </c>
      <c r="H447" s="154">
        <f>Table50527914[[#This Row],[Savings in Excess Presenteeism Costs:
Years 6-16]]/Table50527914[[#This Row],[Intervention/Policy Costs (Financial)]]</f>
        <v>78.466969136051262</v>
      </c>
    </row>
    <row r="448" spans="2:8">
      <c r="B448" s="6" t="s">
        <v>122</v>
      </c>
      <c r="C448" s="84">
        <v>-0.03</v>
      </c>
      <c r="D448" s="12">
        <f>SUM(K267:K276)</f>
        <v>738844594.68000019</v>
      </c>
      <c r="E448" s="12">
        <f>SUM(S267:S276)</f>
        <v>684191013.46139812</v>
      </c>
      <c r="F448" s="12">
        <f>SUM(V267:V276)</f>
        <v>54653581.218601972</v>
      </c>
      <c r="G448" s="15">
        <v>959822.15114940715</v>
      </c>
      <c r="H448" s="154">
        <f>Table50527914[[#This Row],[Savings in Excess Presenteeism Costs:
Years 6-16]]/Table50527914[[#This Row],[Intervention/Policy Costs (Financial)]]</f>
        <v>56.941362681777207</v>
      </c>
    </row>
    <row r="449" spans="2:8" ht="21">
      <c r="B449" s="81"/>
    </row>
    <row r="450" spans="2:8" ht="21">
      <c r="B450" s="81"/>
    </row>
    <row r="451" spans="2:8" ht="18.75">
      <c r="B451" s="83" t="s">
        <v>213</v>
      </c>
    </row>
    <row r="452" spans="2:8" ht="21">
      <c r="B452" s="81"/>
    </row>
    <row r="453" spans="2:8" ht="45">
      <c r="B453" s="14" t="s">
        <v>120</v>
      </c>
      <c r="C453" s="82" t="s">
        <v>125</v>
      </c>
      <c r="D453" s="82" t="s">
        <v>220</v>
      </c>
      <c r="E453" s="82" t="s">
        <v>221</v>
      </c>
      <c r="F453" s="82" t="s">
        <v>222</v>
      </c>
      <c r="G453" s="155" t="s">
        <v>202</v>
      </c>
      <c r="H453" s="155" t="s">
        <v>203</v>
      </c>
    </row>
    <row r="454" spans="2:8">
      <c r="B454" s="6" t="s">
        <v>242</v>
      </c>
      <c r="C454" s="13">
        <v>-0.45397703549060553</v>
      </c>
      <c r="D454" s="12">
        <f>SUM(K170:K184)</f>
        <v>1108266892.0200005</v>
      </c>
      <c r="E454" s="12">
        <f>SUM(S170:S184)</f>
        <v>793109606.56761265</v>
      </c>
      <c r="F454" s="12">
        <f>SUM(V170:V184)</f>
        <v>315157285.45238745</v>
      </c>
      <c r="G454" s="154">
        <v>10022152.958321866</v>
      </c>
      <c r="H454" s="154">
        <f>Table5052538015[[#This Row],[Savings in Excess Presenteeism Costs:
After 15 Years]]/Table5052538015[[#This Row],[Intervention/Policy Costs (Financial)]]</f>
        <v>31.446066205834299</v>
      </c>
    </row>
    <row r="455" spans="2:8">
      <c r="B455" s="6" t="s">
        <v>282</v>
      </c>
      <c r="C455" s="84">
        <v>-0.27300000000000002</v>
      </c>
      <c r="D455" s="12">
        <f>SUM(K193:K207)</f>
        <v>1108266892.0200005</v>
      </c>
      <c r="E455" s="12">
        <f>SUM(S193:S207)</f>
        <v>914903176.15655947</v>
      </c>
      <c r="F455" s="12">
        <f>SUM(V193:V207)</f>
        <v>193363715.86344063</v>
      </c>
      <c r="G455" s="154">
        <v>2598330.7595019024</v>
      </c>
      <c r="H455" s="154">
        <f>Table5052538015[[#This Row],[Savings in Excess Presenteeism Costs:
After 15 Years]]/Table5052538015[[#This Row],[Intervention/Policy Costs (Financial)]]</f>
        <v>74.418437743664427</v>
      </c>
    </row>
    <row r="456" spans="2:8">
      <c r="B456" s="6" t="s">
        <v>77</v>
      </c>
      <c r="C456" s="84">
        <v>-6.2E-2</v>
      </c>
      <c r="D456" s="12">
        <f>SUM(K216:K230)</f>
        <v>1108266892.0200005</v>
      </c>
      <c r="E456" s="12">
        <f>SUM(S216:S230)</f>
        <v>1054351760.4301139</v>
      </c>
      <c r="F456" s="12">
        <f>SUM(V216:V230)</f>
        <v>53915131.589886397</v>
      </c>
      <c r="G456" s="154">
        <v>3615969.0525230188</v>
      </c>
      <c r="H456" s="154">
        <f>Table5052538015[[#This Row],[Savings in Excess Presenteeism Costs:
After 15 Years]]/Table5052538015[[#This Row],[Intervention/Policy Costs (Financial)]]</f>
        <v>14.910285681860984</v>
      </c>
    </row>
    <row r="457" spans="2:8">
      <c r="B457" s="6" t="s">
        <v>121</v>
      </c>
      <c r="C457" s="84">
        <v>-0.12</v>
      </c>
      <c r="D457" s="12">
        <f>SUM(K239:K253)</f>
        <v>1108266892.0200005</v>
      </c>
      <c r="E457" s="12">
        <f>SUM(S239:S253)</f>
        <v>1008393710.2653975</v>
      </c>
      <c r="F457" s="12">
        <f>SUM(V239:V253)</f>
        <v>99873181.754602566</v>
      </c>
      <c r="G457" s="154">
        <v>1918013.2727897526</v>
      </c>
      <c r="H457" s="154">
        <f>Table5052538015[[#This Row],[Savings in Excess Presenteeism Costs:
After 15 Years]]/Table5052538015[[#This Row],[Intervention/Policy Costs (Financial)]]</f>
        <v>52.071162995309678</v>
      </c>
    </row>
    <row r="458" spans="2:8">
      <c r="B458" s="6" t="s">
        <v>122</v>
      </c>
      <c r="C458" s="84">
        <v>-0.09</v>
      </c>
      <c r="D458" s="12">
        <f>SUM(K262:K276)</f>
        <v>1108266892.0200005</v>
      </c>
      <c r="E458" s="12">
        <f>SUM(S262:S275)</f>
        <v>973027222.2774595</v>
      </c>
      <c r="F458" s="12">
        <f>SUM(V262:V276)</f>
        <v>67741902.590739474</v>
      </c>
      <c r="G458" s="154">
        <v>1889839.8735071917</v>
      </c>
      <c r="H458" s="154">
        <f>Table5052538015[[#This Row],[Savings in Excess Presenteeism Costs:
After 15 Years]]/Table5052538015[[#This Row],[Intervention/Policy Costs (Financial)]]</f>
        <v>35.845313425958722</v>
      </c>
    </row>
    <row r="461" spans="2:8" ht="18.75">
      <c r="B461" s="83" t="s">
        <v>224</v>
      </c>
    </row>
    <row r="462" spans="2:8" ht="21">
      <c r="B462" s="81"/>
    </row>
    <row r="463" spans="2:8" ht="45">
      <c r="B463" s="14" t="s">
        <v>120</v>
      </c>
      <c r="C463" s="82" t="s">
        <v>123</v>
      </c>
      <c r="D463" s="82" t="s">
        <v>226</v>
      </c>
      <c r="E463" s="82" t="s">
        <v>227</v>
      </c>
      <c r="F463" s="82" t="s">
        <v>228</v>
      </c>
      <c r="G463" s="155" t="s">
        <v>202</v>
      </c>
      <c r="H463" s="155" t="s">
        <v>203</v>
      </c>
    </row>
    <row r="464" spans="2:8">
      <c r="B464" s="6" t="s">
        <v>242</v>
      </c>
      <c r="C464" s="13">
        <v>-0.3298622129436326</v>
      </c>
      <c r="D464" s="12">
        <f>SUM(K289:K293)</f>
        <v>1216748042.8261905</v>
      </c>
      <c r="E464" s="12">
        <f>SUM(S289:S293)</f>
        <v>996094677.15273881</v>
      </c>
      <c r="F464" s="12">
        <f>SUM(V289:V293)</f>
        <v>220653365.67345169</v>
      </c>
      <c r="G464" s="154">
        <v>4748445.9023322966</v>
      </c>
      <c r="H464" s="154">
        <f>Table50781237[[#This Row],[Savings in Excess Smoking Breaks, Costs:
First 5 Years]]/Table50781237[[#This Row],[Intervention/Policy Costs (Financial)]]</f>
        <v>46.46854364815934</v>
      </c>
    </row>
    <row r="465" spans="2:8">
      <c r="B465" s="6" t="s">
        <v>282</v>
      </c>
      <c r="C465" s="13">
        <v>-0.182</v>
      </c>
      <c r="D465" s="12">
        <f>SUM(K312:K316)</f>
        <v>1216748042.8261905</v>
      </c>
      <c r="E465" s="12">
        <f>SUM(S312:S316)</f>
        <v>1090154228.2162156</v>
      </c>
      <c r="F465" s="12">
        <f>SUM(V312:V316)</f>
        <v>126593814.60997495</v>
      </c>
      <c r="G465" s="154">
        <v>1076643.9836525819</v>
      </c>
      <c r="H465" s="154">
        <f>Table50781237[[#This Row],[Savings in Excess Smoking Breaks, Costs:
First 5 Years]]/Table50781237[[#This Row],[Intervention/Policy Costs (Financial)]]</f>
        <v>117.58187156770015</v>
      </c>
    </row>
    <row r="466" spans="2:8">
      <c r="B466" s="6" t="s">
        <v>77</v>
      </c>
      <c r="C466" s="13">
        <v>-5.3999999999999999E-2</v>
      </c>
      <c r="D466" s="12">
        <f>SUM(K335:K339)</f>
        <v>1216748042.8261905</v>
      </c>
      <c r="E466" s="12">
        <f>SUM(S335:S339)</f>
        <v>1177888513.7778625</v>
      </c>
      <c r="F466" s="12">
        <f>SUM(V335:V339)</f>
        <v>38859529.048327923</v>
      </c>
      <c r="G466" s="154">
        <v>1821517.172807036</v>
      </c>
      <c r="H466" s="154">
        <f>Table50781237[[#This Row],[Savings in Excess Smoking Breaks, Costs:
First 5 Years]]/Table50781237[[#This Row],[Intervention/Policy Costs (Financial)]]</f>
        <v>21.33360564942889</v>
      </c>
    </row>
    <row r="467" spans="2:8">
      <c r="B467" s="6" t="s">
        <v>121</v>
      </c>
      <c r="C467" s="13">
        <v>-0.1</v>
      </c>
      <c r="D467" s="12">
        <f>SUM(K358:K362)</f>
        <v>1216748042.8261905</v>
      </c>
      <c r="E467" s="12">
        <f>SUM(S358:S362)</f>
        <v>1145660988.0090189</v>
      </c>
      <c r="F467" s="12">
        <f>SUM(V358:V362)</f>
        <v>71087054.817171782</v>
      </c>
      <c r="G467" s="154">
        <v>920267.0235148943</v>
      </c>
      <c r="H467" s="154">
        <f>Table50781237[[#This Row],[Savings in Excess Smoking Breaks, Costs:
First 5 Years]]/Table50781237[[#This Row],[Intervention/Policy Costs (Financial)]]</f>
        <v>77.246117703598514</v>
      </c>
    </row>
    <row r="468" spans="2:8">
      <c r="B468" s="6" t="s">
        <v>122</v>
      </c>
      <c r="C468" s="13">
        <v>-0.06</v>
      </c>
      <c r="D468" s="12">
        <f>SUM(K381:K385)</f>
        <v>1216748042.8261905</v>
      </c>
      <c r="E468" s="12">
        <f>SUM(S381:S385)</f>
        <v>1173639682.7512934</v>
      </c>
      <c r="F468" s="12">
        <f>SUM(V381:V385)</f>
        <v>43108360.07489717</v>
      </c>
      <c r="G468" s="154">
        <v>930017.7223577844</v>
      </c>
      <c r="H468" s="154">
        <f>Table50781237[[#This Row],[Savings in Excess Smoking Breaks, Costs:
First 5 Years]]/Table50781237[[#This Row],[Intervention/Policy Costs (Financial)]]</f>
        <v>46.352192048135059</v>
      </c>
    </row>
    <row r="469" spans="2:8" ht="21">
      <c r="B469" s="81"/>
    </row>
    <row r="470" spans="2:8" ht="21">
      <c r="B470" s="81"/>
    </row>
    <row r="471" spans="2:8" ht="18.75">
      <c r="B471" s="83" t="s">
        <v>223</v>
      </c>
    </row>
    <row r="472" spans="2:8" ht="21">
      <c r="B472" s="81"/>
    </row>
    <row r="473" spans="2:8" ht="45">
      <c r="B473" s="14" t="s">
        <v>120</v>
      </c>
      <c r="C473" s="82" t="s">
        <v>124</v>
      </c>
      <c r="D473" s="82" t="s">
        <v>229</v>
      </c>
      <c r="E473" s="82" t="s">
        <v>230</v>
      </c>
      <c r="F473" s="82" t="s">
        <v>231</v>
      </c>
      <c r="G473" s="155" t="s">
        <v>202</v>
      </c>
      <c r="H473" s="155" t="s">
        <v>203</v>
      </c>
    </row>
    <row r="474" spans="2:8">
      <c r="B474" s="6" t="s">
        <v>242</v>
      </c>
      <c r="C474" s="13">
        <v>-0.12411482254697299</v>
      </c>
      <c r="D474" s="12">
        <f>SUM(K294:K303)</f>
        <v>2433496085.6523805</v>
      </c>
      <c r="E474" s="12">
        <f>SUM(S294:S303)</f>
        <v>1616131407.9707475</v>
      </c>
      <c r="F474" s="12">
        <f>SUM(V294:V303)</f>
        <v>817364677.68163371</v>
      </c>
      <c r="G474" s="15">
        <v>5273707.05598957</v>
      </c>
      <c r="H474" s="154">
        <f>Table5052791438[[#This Row],[Savings in Smoking Breaks, Costs:
Years 6-16]]/Table5052791438[[#This Row],[Intervention/Policy Costs (Financial)]]</f>
        <v>154.98863873246779</v>
      </c>
    </row>
    <row r="475" spans="2:8">
      <c r="B475" s="6" t="s">
        <v>282</v>
      </c>
      <c r="C475" s="84">
        <v>-9.1000000000000025E-2</v>
      </c>
      <c r="D475" s="12">
        <f>SUM(K317:K326)</f>
        <v>2433496085.6523805</v>
      </c>
      <c r="E475" s="12">
        <f>SUM(S317:S326)</f>
        <v>1923217344.0454688</v>
      </c>
      <c r="F475" s="12">
        <f>SUM(V317:V326)</f>
        <v>510278741.60691249</v>
      </c>
      <c r="G475" s="15">
        <v>1521686.7758493207</v>
      </c>
      <c r="H475" s="154">
        <f>Table5052791438[[#This Row],[Savings in Smoking Breaks, Costs:
Years 6-16]]/Table5052791438[[#This Row],[Intervention/Policy Costs (Financial)]]</f>
        <v>335.33756730067091</v>
      </c>
    </row>
    <row r="476" spans="2:8">
      <c r="B476" s="6" t="s">
        <v>77</v>
      </c>
      <c r="C476" s="84">
        <v>-8.0000000000000002E-3</v>
      </c>
      <c r="D476" s="12">
        <f>SUM(K340:K349)</f>
        <v>2433496085.6523805</v>
      </c>
      <c r="E476" s="12">
        <f>SUM(S340:S349)</f>
        <v>2294777998.7498937</v>
      </c>
      <c r="F476" s="12">
        <f>SUM(V340:V349)</f>
        <v>138718086.9024879</v>
      </c>
      <c r="G476" s="15">
        <v>1794451.8797159838</v>
      </c>
      <c r="H476" s="154">
        <f>Table5052791438[[#This Row],[Savings in Smoking Breaks, Costs:
Years 6-16]]/Table5052791438[[#This Row],[Intervention/Policy Costs (Financial)]]</f>
        <v>77.303876727217371</v>
      </c>
    </row>
    <row r="477" spans="2:8">
      <c r="B477" s="6" t="s">
        <v>121</v>
      </c>
      <c r="C477" s="84">
        <v>-1.999999999999999E-2</v>
      </c>
      <c r="D477" s="12">
        <f>SUM(K363:K372)</f>
        <v>2433496085.6523805</v>
      </c>
      <c r="E477" s="12">
        <f>SUM(S363:S372)</f>
        <v>2175635756.1190767</v>
      </c>
      <c r="F477" s="12">
        <f>SUM(V363:V372)</f>
        <v>257860329.53330454</v>
      </c>
      <c r="G477" s="15">
        <v>997746.24927485816</v>
      </c>
      <c r="H477" s="154">
        <f>Table5052791438[[#This Row],[Savings in Smoking Breaks, Costs:
Years 6-16]]/Table5052791438[[#This Row],[Intervention/Policy Costs (Financial)]]</f>
        <v>258.44279517032737</v>
      </c>
    </row>
    <row r="478" spans="2:8">
      <c r="B478" s="6" t="s">
        <v>122</v>
      </c>
      <c r="C478" s="84">
        <v>-0.03</v>
      </c>
      <c r="D478" s="12">
        <f>SUM(K386:K395)</f>
        <v>2433496085.6523805</v>
      </c>
      <c r="E478" s="12">
        <f>SUM(S386:S395)</f>
        <v>2253486274.4958749</v>
      </c>
      <c r="F478" s="12">
        <f>SUM(V386:V395)</f>
        <v>180009811.15650618</v>
      </c>
      <c r="G478" s="15">
        <v>959822.15114940715</v>
      </c>
      <c r="H478" s="154">
        <f>Table5052791438[[#This Row],[Savings in Smoking Breaks, Costs:
Years 6-16]]/Table5052791438[[#This Row],[Intervention/Policy Costs (Financial)]]</f>
        <v>187.54496438839286</v>
      </c>
    </row>
    <row r="479" spans="2:8" ht="21">
      <c r="B479" s="81"/>
    </row>
    <row r="480" spans="2:8" ht="21">
      <c r="B480" s="81"/>
    </row>
    <row r="481" spans="2:8" ht="18.75">
      <c r="B481" s="83" t="s">
        <v>225</v>
      </c>
    </row>
    <row r="482" spans="2:8" ht="21">
      <c r="B482" s="81"/>
    </row>
    <row r="483" spans="2:8" ht="45">
      <c r="B483" s="14" t="s">
        <v>120</v>
      </c>
      <c r="C483" s="82" t="s">
        <v>125</v>
      </c>
      <c r="D483" s="82" t="s">
        <v>232</v>
      </c>
      <c r="E483" s="82" t="s">
        <v>233</v>
      </c>
      <c r="F483" s="82" t="s">
        <v>234</v>
      </c>
      <c r="G483" s="155" t="s">
        <v>202</v>
      </c>
      <c r="H483" s="155" t="s">
        <v>203</v>
      </c>
    </row>
    <row r="484" spans="2:8">
      <c r="B484" s="6" t="s">
        <v>242</v>
      </c>
      <c r="C484" s="13">
        <v>-0.45397703549060553</v>
      </c>
      <c r="D484" s="12">
        <f>SUM(K289:K303)</f>
        <v>3650244128.4785705</v>
      </c>
      <c r="E484" s="12">
        <f>SUM(S289:S303)</f>
        <v>2612226085.1234865</v>
      </c>
      <c r="F484" s="12">
        <f>SUM(V289:V303)</f>
        <v>1038018043.3550855</v>
      </c>
      <c r="G484" s="154">
        <v>10022152.958321866</v>
      </c>
      <c r="H484" s="154">
        <f>Table505253801539[[#This Row],[Savings in Smoking Breaks, Costs:
After 15 Years]]/Table505253801539[[#This Row],[Intervention/Policy Costs (Financial)]]</f>
        <v>103.57236091604152</v>
      </c>
    </row>
    <row r="485" spans="2:8">
      <c r="B485" s="6" t="s">
        <v>282</v>
      </c>
      <c r="C485" s="84">
        <v>-0.27300000000000002</v>
      </c>
      <c r="D485" s="12">
        <f>SUM(K312:K326)</f>
        <v>3650244128.4785705</v>
      </c>
      <c r="E485" s="12">
        <f>SUM(S312:S326)</f>
        <v>3013371572.2616844</v>
      </c>
      <c r="F485" s="12">
        <f>SUM(V312:V326)</f>
        <v>636872556.21688747</v>
      </c>
      <c r="G485" s="154">
        <v>2598330.7595019024</v>
      </c>
      <c r="H485" s="154">
        <f>Table505253801539[[#This Row],[Savings in Smoking Breaks, Costs:
After 15 Years]]/Table505253801539[[#This Row],[Intervention/Policy Costs (Financial)]]</f>
        <v>245.1083465366724</v>
      </c>
    </row>
    <row r="486" spans="2:8">
      <c r="B486" s="6" t="s">
        <v>77</v>
      </c>
      <c r="C486" s="84">
        <v>-6.2E-2</v>
      </c>
      <c r="D486" s="12">
        <f>SUM(K335:K349)</f>
        <v>3650244128.4785705</v>
      </c>
      <c r="E486" s="12">
        <f>SUM(S335:S349)</f>
        <v>3472666512.5277557</v>
      </c>
      <c r="F486" s="12">
        <f>SUM(V335:V349)</f>
        <v>177577615.95081583</v>
      </c>
      <c r="G486" s="154">
        <v>3615969.0525230188</v>
      </c>
      <c r="H486" s="154">
        <f>Table505253801539[[#This Row],[Savings in Smoking Breaks, Costs:
After 15 Years]]/Table505253801539[[#This Row],[Intervention/Policy Costs (Financial)]]</f>
        <v>49.109274269621366</v>
      </c>
    </row>
    <row r="487" spans="2:8">
      <c r="B487" s="6" t="s">
        <v>121</v>
      </c>
      <c r="C487" s="84">
        <v>-0.12</v>
      </c>
      <c r="D487" s="12">
        <f>SUM(K358:K372)</f>
        <v>3650244128.4785705</v>
      </c>
      <c r="E487" s="12">
        <f>SUM(S358:S372)</f>
        <v>3321296744.1280956</v>
      </c>
      <c r="F487" s="12">
        <f>SUM(V358:V372)</f>
        <v>328947384.35047626</v>
      </c>
      <c r="G487" s="154">
        <v>1918013.2727897526</v>
      </c>
      <c r="H487" s="154">
        <f>Table505253801539[[#This Row],[Savings in Smoking Breaks, Costs:
After 15 Years]]/Table505253801539[[#This Row],[Intervention/Policy Costs (Financial)]]</f>
        <v>171.50422732582132</v>
      </c>
    </row>
    <row r="488" spans="2:8">
      <c r="B488" s="6" t="s">
        <v>122</v>
      </c>
      <c r="C488" s="84">
        <v>-0.09</v>
      </c>
      <c r="D488" s="12">
        <f>SUM(K381:K395)</f>
        <v>3650244128.4785705</v>
      </c>
      <c r="E488" s="12">
        <f>SUM(S381:S395)</f>
        <v>3427125957.2471681</v>
      </c>
      <c r="F488" s="12">
        <f>SUM(V381:V395)</f>
        <v>223118171.23140335</v>
      </c>
      <c r="G488" s="154">
        <v>1889839.8735071917</v>
      </c>
      <c r="H488" s="154">
        <f>Table505253801539[[#This Row],[Savings in Smoking Breaks, Costs:
After 15 Years]]/Table505253801539[[#This Row],[Intervention/Policy Costs (Financial)]]</f>
        <v>118.06194501407015</v>
      </c>
    </row>
  </sheetData>
  <pageMargins left="0.7" right="0.7" top="0.75" bottom="0.75" header="0.3" footer="0.3"/>
  <pageSetup paperSize="9" orientation="portrait" r:id="rId1"/>
  <ignoredErrors>
    <ignoredError sqref="M74:M88 N74:N88" calculatedColumn="1"/>
  </ignoredErrors>
  <tableParts count="2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798024CC5A1C4AB5016A49BC9FBBC3" ma:contentTypeVersion="10" ma:contentTypeDescription="Create a new document." ma:contentTypeScope="" ma:versionID="e427afb8667268ed5b9e58fa71f4dac3">
  <xsd:schema xmlns:xsd="http://www.w3.org/2001/XMLSchema" xmlns:xs="http://www.w3.org/2001/XMLSchema" xmlns:p="http://schemas.microsoft.com/office/2006/metadata/properties" xmlns:ns1="http://schemas.microsoft.com/sharepoint/v3" xmlns:ns2="93abf1c5-233a-4182-95ba-d49c063894df" xmlns:ns3="fda9f608-abd2-47e9-b2c2-edad86d7ca44" targetNamespace="http://schemas.microsoft.com/office/2006/metadata/properties" ma:root="true" ma:fieldsID="e440f4755fbdc125c9d9c6808defcb50" ns1:_="" ns2:_="" ns3:_="">
    <xsd:import namespace="http://schemas.microsoft.com/sharepoint/v3"/>
    <xsd:import namespace="93abf1c5-233a-4182-95ba-d49c063894df"/>
    <xsd:import namespace="fda9f608-abd2-47e9-b2c2-edad86d7ca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1:_ip_UnifiedCompliancePolicyProperties" minOccurs="0"/>
                <xsd:element ref="ns1:_ip_UnifiedCompliancePolicyUIAc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description="" ma:hidden="true" ma:internalName="_ip_UnifiedCompliancePolicyProperties">
      <xsd:simpleType>
        <xsd:restriction base="dms:Note"/>
      </xsd:simpleType>
    </xsd:element>
    <xsd:element name="_ip_UnifiedCompliancePolicyUIAction" ma:index="16"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abf1c5-233a-4182-95ba-d49c063894d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a9f608-abd2-47e9-b2c2-edad86d7ca4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5741F2-4BF1-4E68-9009-52487C897C8E}">
  <ds:schemaRefs>
    <ds:schemaRef ds:uri="http://schemas.openxmlformats.org/package/2006/metadata/core-properties"/>
    <ds:schemaRef ds:uri="fda9f608-abd2-47e9-b2c2-edad86d7ca44"/>
    <ds:schemaRef ds:uri="http://schemas.microsoft.com/office/2006/documentManagement/types"/>
    <ds:schemaRef ds:uri="http://schemas.microsoft.com/office/infopath/2007/PartnerControls"/>
    <ds:schemaRef ds:uri="93abf1c5-233a-4182-95ba-d49c063894df"/>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3D8C893-7403-4084-B7CA-394F7284A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abf1c5-233a-4182-95ba-d49c063894df"/>
    <ds:schemaRef ds:uri="fda9f608-abd2-47e9-b2c2-edad86d7c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46B15-91BB-47DA-8A6E-231A2CADFF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Intervention Impacts</vt:lpstr>
      <vt:lpstr>Intervention Costs</vt:lpstr>
      <vt:lpstr>Healthcare Expenditures</vt:lpstr>
      <vt:lpstr>Mortality</vt:lpstr>
      <vt:lpstr>Mortality Costs</vt:lpstr>
      <vt:lpstr>Years of Life Lost</vt:lpstr>
      <vt:lpstr>Years Lived with Disability</vt:lpstr>
      <vt:lpstr>Disability-Adjusted Life Years</vt:lpstr>
      <vt:lpstr>Workplace Smoking Costs</vt:lpstr>
      <vt:lpstr>Health Outcomes (Breakdown)</vt:lpstr>
      <vt:lpstr>Total Economic Costs</vt:lpstr>
      <vt:lpstr>Cigarette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Freeman, Andrew</dc:creator>
  <cp:lastModifiedBy>Lika Gamgebeli</cp:lastModifiedBy>
  <cp:lastPrinted>2017-04-28T13:56:29Z</cp:lastPrinted>
  <dcterms:created xsi:type="dcterms:W3CDTF">2017-04-27T17:46:08Z</dcterms:created>
  <dcterms:modified xsi:type="dcterms:W3CDTF">2018-02-09T15:08:31Z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0x010100E2798024CC5A1C4AB5016A49BC9FBBC3</vt:lpwstr>
  </property>
</Properties>
</file>