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24226"/>
  <mc:AlternateContent xmlns:mc="http://schemas.openxmlformats.org/markup-compatibility/2006">
    <mc:Choice Requires="x15">
      <x15ac:absPath xmlns:x15ac="http://schemas.microsoft.com/office/spreadsheetml/2010/11/ac" url="C:\Users\r.kakulia\Desktop\"/>
    </mc:Choice>
  </mc:AlternateContent>
  <bookViews>
    <workbookView xWindow="0" yWindow="0" windowWidth="7470" windowHeight="2760" tabRatio="714"/>
  </bookViews>
  <sheets>
    <sheet name="ფინანსური ცხრილი" sheetId="10" r:id="rId1"/>
    <sheet name="F.T ENG" sheetId="8" r:id="rId2"/>
    <sheet name="LS" sheetId="11" r:id="rId3"/>
    <sheet name="Sheet1" sheetId="12" r:id="rId4"/>
  </sheets>
  <definedNames>
    <definedName name="_Toc499105478" localSheetId="1">'F.T ENG'!$A$3</definedName>
    <definedName name="_Toc499105478" localSheetId="0">'ფინანსური ცხრილი'!$A$4</definedName>
    <definedName name="_Toc499105479" localSheetId="1">'F.T ENG'!$A$4</definedName>
    <definedName name="_Toc499105479" localSheetId="0">'ფინანსური ცხრილი'!$A$5</definedName>
    <definedName name="_Toc499105480" localSheetId="1">'F.T ENG'!$A$8</definedName>
    <definedName name="_Toc499105480" localSheetId="0">'ფინანსური ცხრილი'!$A$9</definedName>
    <definedName name="_Toc499105481" localSheetId="1">'F.T ENG'!$A$14</definedName>
    <definedName name="_Toc499105481" localSheetId="0">'ფინანსური ცხრილი'!$A$16</definedName>
    <definedName name="_Toc499105482" localSheetId="1">'F.T ENG'!$A$18</definedName>
    <definedName name="_Toc499105482" localSheetId="0">'ფინანსური ცხრილი'!$A$25</definedName>
    <definedName name="_Toc499105483" localSheetId="1">'F.T ENG'!$A$29</definedName>
    <definedName name="_Toc499105483" localSheetId="0">'ფინანსური ცხრილი'!$A$35</definedName>
    <definedName name="_Toc499105484" localSheetId="1">'F.T ENG'!$A$38</definedName>
    <definedName name="_Toc499105484" localSheetId="0">'ფინანსური ცხრილი'!$A$41</definedName>
    <definedName name="_Toc499105485" localSheetId="1">'F.T ENG'!$A$41</definedName>
    <definedName name="_Toc499105485" localSheetId="0">'ფინანსური ცხრილი'!$A$44</definedName>
    <definedName name="_Toc499105486" localSheetId="1">'F.T ENG'!$A$47</definedName>
    <definedName name="_Toc499105486" localSheetId="0">'ფინანსური ცხრილი'!$A$49</definedName>
    <definedName name="_Toc499105487" localSheetId="1">'F.T ENG'!$A$52</definedName>
    <definedName name="_Toc499105487" localSheetId="0">'ფინანსური ცხრილი'!$A$55</definedName>
    <definedName name="_Toc499105490" localSheetId="1">'F.T ENG'!$A$67</definedName>
    <definedName name="_Toc499105490" localSheetId="0">'ფინანსური ცხრილი'!$A$69</definedName>
    <definedName name="_Toc499105491" localSheetId="1">'F.T ENG'!$A$71</definedName>
    <definedName name="_Toc499105491" localSheetId="0">'ფინანსური ცხრილი'!$A$78</definedName>
    <definedName name="_Toc499105492" localSheetId="1">'F.T ENG'!$A$79</definedName>
    <definedName name="_Toc499105492" localSheetId="0">'ფინანსური ცხრილი'!$A$85</definedName>
    <definedName name="_Toc499105493" localSheetId="1">'F.T ENG'!$A$84</definedName>
    <definedName name="_Toc499105493" localSheetId="0">'ფინანსური ცხრილი'!$A$90</definedName>
    <definedName name="_Toc499105494" localSheetId="1">'F.T ENG'!$A$92</definedName>
    <definedName name="_Toc499105494" localSheetId="0">'ფინანსური ცხრილი'!$A$100</definedName>
    <definedName name="_Toc499105495" localSheetId="1">'F.T ENG'!$A$97</definedName>
    <definedName name="_Toc499105495" localSheetId="0">'ფინანსური ცხრილი'!$A$105</definedName>
    <definedName name="_Toc499105496" localSheetId="1">'F.T ENG'!$A$98</definedName>
    <definedName name="_Toc499105496" localSheetId="0">'ფინანსური ცხრილი'!$A$106</definedName>
    <definedName name="_Toc499105497" localSheetId="1">'F.T ENG'!$A$104</definedName>
    <definedName name="_Toc499105497" localSheetId="0">'ფინანსური ცხრილი'!$A$112</definedName>
    <definedName name="_Toc499105498" localSheetId="1">'F.T ENG'!$A$110</definedName>
    <definedName name="_Toc499105498" localSheetId="0">'ფინანსური ცხრილი'!$A$118</definedName>
    <definedName name="_Toc499105499" localSheetId="1">'F.T ENG'!$A$114</definedName>
    <definedName name="_Toc499105499" localSheetId="0">'ფინანსური ცხრილი'!$A$121</definedName>
    <definedName name="_Toc499105500" localSheetId="1">'F.T ENG'!$A$120</definedName>
    <definedName name="_Toc499105500" localSheetId="0">'ფინანსური ცხრილი'!$A$127</definedName>
    <definedName name="_Toc499105501" localSheetId="1">'F.T ENG'!$A$126</definedName>
    <definedName name="_Toc499105501" localSheetId="0">'ფინანსური ცხრილი'!$A$131</definedName>
    <definedName name="_Toc499105502" localSheetId="1">'F.T ENG'!$A$133</definedName>
    <definedName name="_Toc499105502" localSheetId="0">'ფინანსური ცხრილი'!$A$138</definedName>
    <definedName name="_Toc499105503" localSheetId="1">'F.T ENG'!$A$140</definedName>
    <definedName name="_Toc499105503" localSheetId="0">'ფინანსური ცხრილი'!$A$143</definedName>
    <definedName name="_Toc499105504" localSheetId="1">'F.T ENG'!$A$141</definedName>
    <definedName name="_Toc499105504" localSheetId="0">'ფინანსური ცხრილი'!$A$144</definedName>
    <definedName name="_Toc499105505" localSheetId="1">'F.T ENG'!$A$146</definedName>
    <definedName name="_Toc499105505" localSheetId="0">'ფინანსური ცხრილი'!$A$154</definedName>
    <definedName name="_Toc499105506" localSheetId="1">'F.T ENG'!$A$152</definedName>
    <definedName name="_Toc499105506" localSheetId="0">'ფინანსური ცხრილი'!$A$155</definedName>
    <definedName name="_Toc499105507" localSheetId="1">'F.T ENG'!$A$158</definedName>
    <definedName name="_Toc499105507" localSheetId="0">'ფინანსური ცხრილი'!$A$159</definedName>
    <definedName name="_Toc499105508" localSheetId="1">'F.T ENG'!$A$160</definedName>
    <definedName name="_Toc499105508" localSheetId="0">'ფინანსური ცხრილი'!$A$161</definedName>
    <definedName name="_Toc499105509" localSheetId="1">'F.T ENG'!$A$167</definedName>
    <definedName name="_Toc499105509" localSheetId="0">'ფინანსური ცხრილი'!$A$164</definedName>
    <definedName name="_Toc499105510" localSheetId="1">'F.T ENG'!$A$170</definedName>
    <definedName name="_Toc499105510" localSheetId="0">'ფინანსური ცხრილი'!$A$167</definedName>
    <definedName name="_Toc499105511" localSheetId="1">'F.T ENG'!$A$171</definedName>
    <definedName name="_Toc499105511" localSheetId="0">'ფინანსური ცხრილი'!$A$168</definedName>
    <definedName name="_Toc499105512" localSheetId="1">'F.T ENG'!$A$178</definedName>
    <definedName name="_Toc499105512" localSheetId="0">'ფინანსური ცხრილი'!$A$173</definedName>
    <definedName name="_Toc499105513" localSheetId="1">'F.T ENG'!$A$182</definedName>
    <definedName name="_Toc499105513" localSheetId="0">'ფინანსური ცხრილი'!$A$177</definedName>
    <definedName name="_Toc499105514" localSheetId="1">'F.T ENG'!$A$189</definedName>
    <definedName name="_Toc499105514" localSheetId="0">'ფინანსური ცხრილი'!$A$181</definedName>
  </definedName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G58" i="10" l="1"/>
  <c r="I58" i="10"/>
  <c r="O58" i="10"/>
  <c r="U58" i="10"/>
  <c r="AA58" i="10"/>
  <c r="AC58" i="10"/>
  <c r="D56" i="10"/>
  <c r="D55" i="10"/>
  <c r="E57" i="10"/>
  <c r="E55" i="10"/>
  <c r="F55" i="10"/>
  <c r="G59" i="10"/>
  <c r="G55" i="10"/>
  <c r="H55" i="10"/>
  <c r="I55" i="10"/>
  <c r="J55" i="10"/>
  <c r="K55" i="10"/>
  <c r="L55" i="10"/>
  <c r="M55" i="10"/>
  <c r="N55" i="10"/>
  <c r="O55" i="10"/>
  <c r="P55" i="10"/>
  <c r="Q55" i="10"/>
  <c r="R55" i="10"/>
  <c r="S55" i="10"/>
  <c r="T55" i="10"/>
  <c r="U55" i="10"/>
  <c r="V55" i="10"/>
  <c r="W55" i="10"/>
  <c r="X55" i="10"/>
  <c r="Y55" i="10"/>
  <c r="Z55" i="10"/>
  <c r="AA55" i="10"/>
  <c r="AC55" i="10"/>
  <c r="AC19" i="10"/>
  <c r="E62" i="10"/>
  <c r="G62" i="10"/>
  <c r="H62" i="10"/>
  <c r="J62" i="10"/>
  <c r="K62" i="10"/>
  <c r="M62" i="10"/>
  <c r="N62" i="10"/>
  <c r="P62" i="10"/>
  <c r="Q62" i="10"/>
  <c r="R62" i="10"/>
  <c r="S62" i="10"/>
  <c r="T62" i="10"/>
  <c r="V62" i="10"/>
  <c r="W62" i="10"/>
  <c r="X62" i="10"/>
  <c r="Y62" i="10"/>
  <c r="Z62" i="10"/>
  <c r="D62" i="10"/>
  <c r="Z90" i="10"/>
  <c r="Y90" i="10"/>
  <c r="X90" i="10"/>
  <c r="W90" i="10"/>
  <c r="V90" i="10"/>
  <c r="T90" i="10"/>
  <c r="S90" i="10"/>
  <c r="R90" i="10"/>
  <c r="Q90" i="10"/>
  <c r="P90" i="10"/>
  <c r="N90" i="10"/>
  <c r="M90" i="10"/>
  <c r="L90" i="10"/>
  <c r="K90" i="10"/>
  <c r="J90" i="10"/>
  <c r="H90" i="10"/>
  <c r="G90" i="10"/>
  <c r="F90" i="10"/>
  <c r="E90" i="10"/>
  <c r="S16" i="10"/>
  <c r="E16" i="10"/>
  <c r="F16" i="10"/>
  <c r="G16" i="10"/>
  <c r="H16" i="10"/>
  <c r="J16" i="10"/>
  <c r="K16" i="10"/>
  <c r="L16" i="10"/>
  <c r="M16" i="10"/>
  <c r="N16" i="10"/>
  <c r="P16" i="10"/>
  <c r="Q16" i="10"/>
  <c r="R16" i="10"/>
  <c r="T16" i="10"/>
  <c r="V16" i="10"/>
  <c r="W16" i="10"/>
  <c r="X16" i="10"/>
  <c r="Y16" i="10"/>
  <c r="Z16" i="10"/>
  <c r="D16" i="10"/>
  <c r="AB23" i="10"/>
  <c r="AB22" i="10"/>
  <c r="AB21" i="10"/>
  <c r="AB20" i="10"/>
  <c r="AA23" i="10"/>
  <c r="AA22" i="10"/>
  <c r="AA21" i="10"/>
  <c r="AA20" i="10"/>
  <c r="U23" i="10"/>
  <c r="U22" i="10"/>
  <c r="U21" i="10"/>
  <c r="U20" i="10"/>
  <c r="O23" i="10"/>
  <c r="O22" i="10"/>
  <c r="O21" i="10"/>
  <c r="O20" i="10"/>
  <c r="I23" i="10"/>
  <c r="AC23" i="10"/>
  <c r="I22" i="10"/>
  <c r="I21" i="10"/>
  <c r="I20" i="10"/>
  <c r="AC20" i="10"/>
  <c r="AB24" i="10"/>
  <c r="AB19" i="10"/>
  <c r="AB17" i="10"/>
  <c r="AA24" i="10"/>
  <c r="AA19" i="10"/>
  <c r="AA17" i="10"/>
  <c r="U24" i="10"/>
  <c r="U19" i="10"/>
  <c r="U17" i="10"/>
  <c r="O24" i="10"/>
  <c r="O19" i="10"/>
  <c r="O17" i="10"/>
  <c r="I24" i="10"/>
  <c r="I19" i="10"/>
  <c r="I17" i="10"/>
  <c r="AC21" i="10"/>
  <c r="AB16" i="10"/>
  <c r="AC17" i="10"/>
  <c r="AC22" i="10"/>
  <c r="AC24" i="10"/>
  <c r="AB77" i="10"/>
  <c r="AA77" i="10"/>
  <c r="U77" i="10"/>
  <c r="O77" i="10"/>
  <c r="I77" i="10"/>
  <c r="AB76" i="10"/>
  <c r="AA76" i="10"/>
  <c r="U76" i="10"/>
  <c r="O76" i="10"/>
  <c r="I76" i="10"/>
  <c r="AB75" i="10"/>
  <c r="AA75" i="10"/>
  <c r="U75" i="10"/>
  <c r="O75" i="10"/>
  <c r="I75" i="10"/>
  <c r="Z74" i="10"/>
  <c r="Y74" i="10"/>
  <c r="X74" i="10"/>
  <c r="W74" i="10"/>
  <c r="V74" i="10"/>
  <c r="T74" i="10"/>
  <c r="S74" i="10"/>
  <c r="R74" i="10"/>
  <c r="Q74" i="10"/>
  <c r="P74" i="10"/>
  <c r="N74" i="10"/>
  <c r="M74" i="10"/>
  <c r="L74" i="10"/>
  <c r="K74" i="10"/>
  <c r="J74" i="10"/>
  <c r="H74" i="10"/>
  <c r="G74" i="10"/>
  <c r="F74" i="10"/>
  <c r="E74" i="10"/>
  <c r="D74" i="10"/>
  <c r="Z70" i="10"/>
  <c r="Y70" i="10"/>
  <c r="X70" i="10"/>
  <c r="W70" i="10"/>
  <c r="V70" i="10"/>
  <c r="T70" i="10"/>
  <c r="S70" i="10"/>
  <c r="R70" i="10"/>
  <c r="Q70" i="10"/>
  <c r="P70" i="10"/>
  <c r="N70" i="10"/>
  <c r="M70" i="10"/>
  <c r="L70" i="10"/>
  <c r="K70" i="10"/>
  <c r="J70" i="10"/>
  <c r="H70" i="10"/>
  <c r="G70" i="10"/>
  <c r="F70" i="10"/>
  <c r="E70" i="10"/>
  <c r="D70" i="10"/>
  <c r="AB73" i="10"/>
  <c r="AA73" i="10"/>
  <c r="U73" i="10"/>
  <c r="O73" i="10"/>
  <c r="I73" i="10"/>
  <c r="AB72" i="10"/>
  <c r="AA72" i="10"/>
  <c r="U72" i="10"/>
  <c r="O72" i="10"/>
  <c r="I72" i="10"/>
  <c r="AB71" i="10"/>
  <c r="AA71" i="10"/>
  <c r="U71" i="10"/>
  <c r="O71" i="10"/>
  <c r="I71" i="10"/>
  <c r="D69" i="10"/>
  <c r="S69" i="10"/>
  <c r="J69" i="10"/>
  <c r="X69" i="10"/>
  <c r="M69" i="10"/>
  <c r="C69" i="10"/>
  <c r="K69" i="10"/>
  <c r="P69" i="10"/>
  <c r="T69" i="10"/>
  <c r="Y69" i="10"/>
  <c r="H69" i="10"/>
  <c r="R69" i="10"/>
  <c r="W69" i="10"/>
  <c r="F69" i="10"/>
  <c r="G69" i="10"/>
  <c r="L69" i="10"/>
  <c r="Q69" i="10"/>
  <c r="V69" i="10"/>
  <c r="Z69" i="10"/>
  <c r="E69" i="10"/>
  <c r="N69" i="10"/>
  <c r="AC71" i="10"/>
  <c r="AA70" i="10"/>
  <c r="O74" i="10"/>
  <c r="AC77" i="10"/>
  <c r="AC76" i="10"/>
  <c r="I74" i="10"/>
  <c r="AC75" i="10"/>
  <c r="AB74" i="10"/>
  <c r="AA74" i="10"/>
  <c r="U74" i="10"/>
  <c r="I70" i="10"/>
  <c r="O70" i="10"/>
  <c r="AC73" i="10"/>
  <c r="U70" i="10"/>
  <c r="AB70" i="10"/>
  <c r="AC72" i="10"/>
  <c r="AA69" i="10"/>
  <c r="U69" i="10"/>
  <c r="O69" i="10"/>
  <c r="AC70" i="10"/>
  <c r="I69" i="10"/>
  <c r="AC74" i="10"/>
  <c r="AB188" i="10"/>
  <c r="AB187" i="10"/>
  <c r="AB186" i="10"/>
  <c r="AB185" i="10"/>
  <c r="AB184" i="10"/>
  <c r="AB183" i="10"/>
  <c r="AB182" i="10"/>
  <c r="AB181" i="10"/>
  <c r="AB180" i="10"/>
  <c r="AB179" i="10"/>
  <c r="AB178" i="10"/>
  <c r="AB177" i="10"/>
  <c r="AB176" i="10"/>
  <c r="AB175" i="10"/>
  <c r="AB174" i="10"/>
  <c r="AB173" i="10"/>
  <c r="AB172" i="10"/>
  <c r="AB171" i="10"/>
  <c r="AB170" i="10"/>
  <c r="AB169" i="10"/>
  <c r="AB168" i="10"/>
  <c r="AB167" i="10"/>
  <c r="AB166" i="10"/>
  <c r="AB165" i="10"/>
  <c r="AB160" i="10"/>
  <c r="AB158" i="10"/>
  <c r="AB156" i="10"/>
  <c r="AB154" i="10"/>
  <c r="AB153" i="10"/>
  <c r="AB152" i="10"/>
  <c r="AB151" i="10"/>
  <c r="AB150" i="10"/>
  <c r="AB149" i="10"/>
  <c r="AB148" i="10"/>
  <c r="AB147" i="10"/>
  <c r="AB146" i="10"/>
  <c r="AB142" i="10"/>
  <c r="AB141" i="10"/>
  <c r="AB140" i="10"/>
  <c r="AB139" i="10"/>
  <c r="AB135" i="10"/>
  <c r="AB134" i="10"/>
  <c r="AB133" i="10"/>
  <c r="AB132" i="10"/>
  <c r="AB130" i="10"/>
  <c r="AB129" i="10"/>
  <c r="AB128" i="10"/>
  <c r="AB125" i="10"/>
  <c r="AB124" i="10"/>
  <c r="AB123" i="10"/>
  <c r="AB117" i="10"/>
  <c r="AB116" i="10"/>
  <c r="AB115" i="10"/>
  <c r="AB114" i="10"/>
  <c r="AB113" i="10"/>
  <c r="AB110" i="10"/>
  <c r="AB108" i="10"/>
  <c r="AB107" i="10"/>
  <c r="AB104" i="10"/>
  <c r="AB103" i="10"/>
  <c r="AB102" i="10"/>
  <c r="AB101" i="10"/>
  <c r="AB98" i="10"/>
  <c r="AB96" i="10"/>
  <c r="AB94" i="10"/>
  <c r="AB93" i="10"/>
  <c r="AB92" i="10"/>
  <c r="AB91" i="10"/>
  <c r="AB89" i="10"/>
  <c r="AB84" i="10"/>
  <c r="AB83" i="10"/>
  <c r="AB82" i="10"/>
  <c r="AB81" i="10"/>
  <c r="AB80" i="10"/>
  <c r="AB79" i="10"/>
  <c r="AB68" i="10"/>
  <c r="AB67" i="10"/>
  <c r="AB66" i="10"/>
  <c r="AB65" i="10"/>
  <c r="AB64" i="10"/>
  <c r="AB63" i="10"/>
  <c r="AB60" i="10"/>
  <c r="AB59" i="10"/>
  <c r="AB58" i="10"/>
  <c r="AB57" i="10"/>
  <c r="AB54" i="10"/>
  <c r="AB53" i="10"/>
  <c r="AB52" i="10"/>
  <c r="AB50" i="10"/>
  <c r="AB48" i="10"/>
  <c r="AB47" i="10"/>
  <c r="AB46" i="10"/>
  <c r="AB42" i="10"/>
  <c r="AB40" i="10"/>
  <c r="AB38" i="10"/>
  <c r="AB37" i="10"/>
  <c r="AB34" i="10"/>
  <c r="AB33" i="10"/>
  <c r="AB32" i="10"/>
  <c r="AB31" i="10"/>
  <c r="AB30" i="10"/>
  <c r="AB29" i="10"/>
  <c r="AB28" i="10"/>
  <c r="AB27" i="10"/>
  <c r="AB26" i="10"/>
  <c r="AB18" i="10"/>
  <c r="AB15" i="10"/>
  <c r="AB14" i="10"/>
  <c r="AB13" i="10"/>
  <c r="AB12" i="10"/>
  <c r="AB11" i="10"/>
  <c r="AB10" i="10"/>
  <c r="AB8" i="10"/>
  <c r="AB6" i="10"/>
  <c r="AC181" i="10"/>
  <c r="AC180" i="10"/>
  <c r="AC179" i="10"/>
  <c r="AC178" i="10"/>
  <c r="AC177" i="10"/>
  <c r="AC176" i="10"/>
  <c r="AC175" i="10"/>
  <c r="AC174" i="10"/>
  <c r="AC173" i="10"/>
  <c r="AC172" i="10"/>
  <c r="AC171" i="10"/>
  <c r="AC170" i="10"/>
  <c r="AC169" i="10"/>
  <c r="AC168" i="10"/>
  <c r="AC167" i="10"/>
  <c r="AC154" i="10"/>
  <c r="AC91" i="10"/>
  <c r="AC68" i="10"/>
  <c r="Y189" i="10"/>
  <c r="S189" i="10"/>
  <c r="M189" i="10"/>
  <c r="G164" i="10"/>
  <c r="G161" i="10"/>
  <c r="G159" i="10"/>
  <c r="G155" i="10"/>
  <c r="G131" i="10"/>
  <c r="G127" i="10"/>
  <c r="G121" i="10"/>
  <c r="G118" i="10"/>
  <c r="G112" i="10"/>
  <c r="G106" i="10"/>
  <c r="G100" i="10"/>
  <c r="G85" i="10"/>
  <c r="G78" i="10"/>
  <c r="G44" i="10"/>
  <c r="G41" i="10"/>
  <c r="G35" i="10"/>
  <c r="G25" i="10"/>
  <c r="G9" i="10"/>
  <c r="G5" i="10"/>
  <c r="G61" i="10"/>
  <c r="G144" i="10"/>
  <c r="G143" i="10"/>
  <c r="G138" i="10"/>
  <c r="G105" i="10"/>
  <c r="L137" i="10"/>
  <c r="F137" i="10"/>
  <c r="F134" i="10"/>
  <c r="L134" i="10"/>
  <c r="AA53" i="10"/>
  <c r="U53" i="10"/>
  <c r="O53" i="10"/>
  <c r="I53" i="10"/>
  <c r="I52" i="10"/>
  <c r="AA52" i="10"/>
  <c r="U52" i="10"/>
  <c r="O52" i="10"/>
  <c r="AC53" i="10"/>
  <c r="AC52" i="10"/>
  <c r="Z145" i="10"/>
  <c r="X145" i="10"/>
  <c r="X144" i="10"/>
  <c r="W145" i="10"/>
  <c r="V145" i="10"/>
  <c r="T145" i="10"/>
  <c r="T144" i="10"/>
  <c r="R145" i="10"/>
  <c r="R144" i="10"/>
  <c r="Q145" i="10"/>
  <c r="Q144" i="10"/>
  <c r="P145" i="10"/>
  <c r="P144" i="10"/>
  <c r="N145" i="10"/>
  <c r="L145" i="10"/>
  <c r="L144" i="10"/>
  <c r="K145" i="10"/>
  <c r="K144" i="10"/>
  <c r="J145" i="10"/>
  <c r="J144" i="10"/>
  <c r="H145" i="10"/>
  <c r="H144" i="10"/>
  <c r="F145" i="10"/>
  <c r="F144" i="10"/>
  <c r="E145" i="10"/>
  <c r="D145" i="10"/>
  <c r="AB145" i="10"/>
  <c r="Z144" i="10"/>
  <c r="W144" i="10"/>
  <c r="V144" i="10"/>
  <c r="N144" i="10"/>
  <c r="Z106" i="10"/>
  <c r="X106" i="10"/>
  <c r="W106" i="10"/>
  <c r="T106" i="10"/>
  <c r="R106" i="10"/>
  <c r="Q106" i="10"/>
  <c r="N106" i="10"/>
  <c r="L106" i="10"/>
  <c r="K106" i="10"/>
  <c r="E106" i="10"/>
  <c r="F106" i="10"/>
  <c r="H106" i="10"/>
  <c r="Z78" i="10"/>
  <c r="X78" i="10"/>
  <c r="W78" i="10"/>
  <c r="V78" i="10"/>
  <c r="T78" i="10"/>
  <c r="R78" i="10"/>
  <c r="Q78" i="10"/>
  <c r="P78" i="10"/>
  <c r="N78" i="10"/>
  <c r="L78" i="10"/>
  <c r="K78" i="10"/>
  <c r="J78" i="10"/>
  <c r="E78" i="10"/>
  <c r="F78" i="10"/>
  <c r="H78" i="10"/>
  <c r="D78" i="10"/>
  <c r="AB78" i="10"/>
  <c r="H41" i="10"/>
  <c r="F41" i="10"/>
  <c r="W9" i="10"/>
  <c r="X9" i="10"/>
  <c r="Z9" i="10"/>
  <c r="V9" i="10"/>
  <c r="Q9" i="10"/>
  <c r="R9" i="10"/>
  <c r="T9" i="10"/>
  <c r="P9" i="10"/>
  <c r="K9" i="10"/>
  <c r="L9" i="10"/>
  <c r="N9" i="10"/>
  <c r="J9" i="10"/>
  <c r="F9" i="10"/>
  <c r="D9" i="10"/>
  <c r="AA11" i="10"/>
  <c r="U11" i="10"/>
  <c r="O11" i="10"/>
  <c r="I11" i="10"/>
  <c r="AB9" i="10"/>
  <c r="AB62" i="10"/>
  <c r="AB69" i="10"/>
  <c r="AC11" i="10"/>
  <c r="E144" i="10"/>
  <c r="I145" i="10"/>
  <c r="U145" i="10"/>
  <c r="AA145" i="10"/>
  <c r="D144" i="10"/>
  <c r="AB144" i="10"/>
  <c r="AA146" i="10"/>
  <c r="AA147" i="10"/>
  <c r="AA148" i="10"/>
  <c r="AA149" i="10"/>
  <c r="AA150" i="10"/>
  <c r="AA151" i="10"/>
  <c r="AA152" i="10"/>
  <c r="AA153" i="10"/>
  <c r="U146" i="10"/>
  <c r="U147" i="10"/>
  <c r="U148" i="10"/>
  <c r="U149" i="10"/>
  <c r="U150" i="10"/>
  <c r="U151" i="10"/>
  <c r="U152" i="10"/>
  <c r="U153" i="10"/>
  <c r="O146" i="10"/>
  <c r="O147" i="10"/>
  <c r="O148" i="10"/>
  <c r="O149" i="10"/>
  <c r="O150" i="10"/>
  <c r="O151" i="10"/>
  <c r="O152" i="10"/>
  <c r="O153" i="10"/>
  <c r="I146" i="10"/>
  <c r="AC146" i="10"/>
  <c r="I147" i="10"/>
  <c r="AC147" i="10"/>
  <c r="I148" i="10"/>
  <c r="AC148" i="10"/>
  <c r="I150" i="10"/>
  <c r="I151" i="10"/>
  <c r="I152" i="10"/>
  <c r="I153" i="10"/>
  <c r="I149" i="10"/>
  <c r="AC149" i="10"/>
  <c r="Z193" i="11"/>
  <c r="Z192" i="11"/>
  <c r="I192" i="11"/>
  <c r="I194" i="11"/>
  <c r="Z159" i="11"/>
  <c r="S159" i="11"/>
  <c r="N159" i="11"/>
  <c r="I159" i="11"/>
  <c r="Z137" i="10"/>
  <c r="V137" i="10"/>
  <c r="T137" i="10"/>
  <c r="P137" i="10"/>
  <c r="N137" i="10"/>
  <c r="J137" i="10"/>
  <c r="H137" i="10"/>
  <c r="D137" i="10"/>
  <c r="AA133" i="10"/>
  <c r="AA134" i="10"/>
  <c r="AA135" i="10"/>
  <c r="AA136" i="10"/>
  <c r="AA132" i="10"/>
  <c r="U136" i="10"/>
  <c r="O136" i="10"/>
  <c r="D136" i="10"/>
  <c r="AB136" i="10"/>
  <c r="U135" i="10"/>
  <c r="L135" i="10"/>
  <c r="O135" i="10"/>
  <c r="I135" i="10"/>
  <c r="U134" i="10"/>
  <c r="O134" i="10"/>
  <c r="I134" i="10"/>
  <c r="U133" i="10"/>
  <c r="O133" i="10"/>
  <c r="I133" i="10"/>
  <c r="U132" i="10"/>
  <c r="O132" i="10"/>
  <c r="I132" i="10"/>
  <c r="V120" i="10"/>
  <c r="AA120" i="10"/>
  <c r="P120" i="10"/>
  <c r="U120" i="10"/>
  <c r="J120" i="10"/>
  <c r="O120" i="10"/>
  <c r="D120" i="10"/>
  <c r="V119" i="10"/>
  <c r="AA119" i="10"/>
  <c r="P119" i="10"/>
  <c r="U119" i="10"/>
  <c r="J119" i="10"/>
  <c r="O119" i="10"/>
  <c r="D119" i="10"/>
  <c r="U115" i="10"/>
  <c r="O115" i="10"/>
  <c r="I115" i="10"/>
  <c r="X112" i="11"/>
  <c r="S112" i="11"/>
  <c r="N112" i="11"/>
  <c r="I112" i="11"/>
  <c r="X111" i="11"/>
  <c r="S111" i="11"/>
  <c r="N111" i="11"/>
  <c r="I111" i="11"/>
  <c r="X110" i="11"/>
  <c r="S110" i="11"/>
  <c r="N110" i="11"/>
  <c r="I110" i="11"/>
  <c r="X102" i="11"/>
  <c r="X103" i="11"/>
  <c r="X104" i="11"/>
  <c r="X105" i="11"/>
  <c r="X106" i="11"/>
  <c r="X101" i="11"/>
  <c r="AC152" i="10"/>
  <c r="AC134" i="10"/>
  <c r="AC132" i="10"/>
  <c r="AC135" i="10"/>
  <c r="AC151" i="10"/>
  <c r="AC133" i="10"/>
  <c r="AC150" i="10"/>
  <c r="AB119" i="10"/>
  <c r="AB120" i="10"/>
  <c r="AB137" i="10"/>
  <c r="AC153" i="10"/>
  <c r="I120" i="10"/>
  <c r="AC120" i="10"/>
  <c r="U137" i="10"/>
  <c r="O137" i="10"/>
  <c r="I137" i="10"/>
  <c r="AA137" i="10"/>
  <c r="I136" i="10"/>
  <c r="AC136" i="10"/>
  <c r="I119" i="10"/>
  <c r="AC119" i="10"/>
  <c r="AC137" i="10"/>
  <c r="S102" i="11"/>
  <c r="S103" i="11"/>
  <c r="S104" i="11"/>
  <c r="S105" i="11"/>
  <c r="S106" i="11"/>
  <c r="S101" i="11"/>
  <c r="U89" i="10"/>
  <c r="O89" i="10"/>
  <c r="I89" i="10"/>
  <c r="U88" i="10"/>
  <c r="O88" i="10"/>
  <c r="D88" i="10"/>
  <c r="AB88" i="10"/>
  <c r="U87" i="10"/>
  <c r="O87" i="10"/>
  <c r="F87" i="10"/>
  <c r="D87" i="10"/>
  <c r="AB87" i="10"/>
  <c r="U86" i="10"/>
  <c r="O86" i="10"/>
  <c r="F86" i="10"/>
  <c r="D86" i="10"/>
  <c r="AB86" i="10"/>
  <c r="Z91" i="11"/>
  <c r="I91" i="11"/>
  <c r="N91" i="11"/>
  <c r="X89" i="11"/>
  <c r="S89" i="11"/>
  <c r="N89" i="11"/>
  <c r="I89" i="11"/>
  <c r="X88" i="11"/>
  <c r="S88" i="11"/>
  <c r="N88" i="11"/>
  <c r="I88" i="11"/>
  <c r="X87" i="11"/>
  <c r="S87" i="11"/>
  <c r="N87" i="11"/>
  <c r="I87" i="11"/>
  <c r="X86" i="11"/>
  <c r="S86" i="11"/>
  <c r="N86" i="11"/>
  <c r="I86" i="11"/>
  <c r="X85" i="11"/>
  <c r="S85" i="11"/>
  <c r="N85" i="11"/>
  <c r="I85" i="11"/>
  <c r="AA79" i="10"/>
  <c r="U79" i="10"/>
  <c r="O79" i="10"/>
  <c r="I79" i="10"/>
  <c r="Y91" i="11"/>
  <c r="AC79" i="10"/>
  <c r="I88" i="10"/>
  <c r="I86" i="10"/>
  <c r="I87" i="10"/>
  <c r="Z76" i="11"/>
  <c r="X76" i="11"/>
  <c r="S76" i="11"/>
  <c r="N76" i="11"/>
  <c r="I76" i="11"/>
  <c r="Z77" i="11"/>
  <c r="AA66" i="10"/>
  <c r="U66" i="10"/>
  <c r="O66" i="10"/>
  <c r="I66" i="10"/>
  <c r="AC66" i="10"/>
  <c r="Y76" i="11"/>
  <c r="U67" i="10"/>
  <c r="L68" i="10"/>
  <c r="L62" i="10"/>
  <c r="F68" i="10"/>
  <c r="F62" i="10"/>
  <c r="F68" i="11"/>
  <c r="O67" i="10"/>
  <c r="I67" i="10"/>
  <c r="AB56" i="10"/>
  <c r="AC67" i="10"/>
  <c r="E62" i="11"/>
  <c r="U48" i="10"/>
  <c r="O48" i="10"/>
  <c r="I48" i="10"/>
  <c r="U47" i="10"/>
  <c r="O47" i="10"/>
  <c r="U34" i="10"/>
  <c r="O34" i="10"/>
  <c r="E34" i="10"/>
  <c r="I26" i="11"/>
  <c r="S23" i="11"/>
  <c r="X18" i="11"/>
  <c r="S18" i="11"/>
  <c r="N18" i="11"/>
  <c r="I18" i="11"/>
  <c r="S19" i="11"/>
  <c r="N19" i="11"/>
  <c r="I19" i="11"/>
  <c r="X20" i="11"/>
  <c r="S20" i="11"/>
  <c r="N20" i="11"/>
  <c r="I20" i="11"/>
  <c r="U10" i="10"/>
  <c r="O10" i="10"/>
  <c r="H10" i="10"/>
  <c r="Z228" i="11"/>
  <c r="X228" i="11"/>
  <c r="S228" i="11"/>
  <c r="N228" i="11"/>
  <c r="I228" i="11"/>
  <c r="Z227" i="11"/>
  <c r="X227" i="11"/>
  <c r="S227" i="11"/>
  <c r="N227" i="11"/>
  <c r="I227" i="11"/>
  <c r="Z226" i="11"/>
  <c r="X226" i="11"/>
  <c r="S226" i="11"/>
  <c r="N226" i="11"/>
  <c r="I226" i="11"/>
  <c r="Z225" i="11"/>
  <c r="X225" i="11"/>
  <c r="S225" i="11"/>
  <c r="N225" i="11"/>
  <c r="I225" i="11"/>
  <c r="Z224" i="11"/>
  <c r="X224" i="11"/>
  <c r="S224" i="11"/>
  <c r="N224" i="11"/>
  <c r="I224" i="11"/>
  <c r="Z223" i="11"/>
  <c r="X223" i="11"/>
  <c r="S223" i="11"/>
  <c r="N223" i="11"/>
  <c r="I223" i="11"/>
  <c r="Z222" i="11"/>
  <c r="X222" i="11"/>
  <c r="S222" i="11"/>
  <c r="N222" i="11"/>
  <c r="I222" i="11"/>
  <c r="Z221" i="11"/>
  <c r="X221" i="11"/>
  <c r="S221" i="11"/>
  <c r="N221" i="11"/>
  <c r="I221" i="11"/>
  <c r="W220" i="11"/>
  <c r="V220" i="11"/>
  <c r="U220" i="11"/>
  <c r="T220" i="11"/>
  <c r="R220" i="11"/>
  <c r="Q220" i="11"/>
  <c r="P220" i="11"/>
  <c r="O220" i="11"/>
  <c r="M220" i="11"/>
  <c r="L220" i="11"/>
  <c r="K220" i="11"/>
  <c r="J220" i="11"/>
  <c r="H220" i="11"/>
  <c r="G220" i="11"/>
  <c r="F220" i="11"/>
  <c r="E220" i="11"/>
  <c r="D220" i="11"/>
  <c r="Z219" i="11"/>
  <c r="X219" i="11"/>
  <c r="S219" i="11"/>
  <c r="N219" i="11"/>
  <c r="I219" i="11"/>
  <c r="Z218" i="11"/>
  <c r="X218" i="11"/>
  <c r="S218" i="11"/>
  <c r="N218" i="11"/>
  <c r="I218" i="11"/>
  <c r="Z217" i="11"/>
  <c r="X217" i="11"/>
  <c r="S217" i="11"/>
  <c r="N217" i="11"/>
  <c r="I217" i="11"/>
  <c r="Z216" i="11"/>
  <c r="X216" i="11"/>
  <c r="S216" i="11"/>
  <c r="N216" i="11"/>
  <c r="I216" i="11"/>
  <c r="Z215" i="11"/>
  <c r="X215" i="11"/>
  <c r="S215" i="11"/>
  <c r="N215" i="11"/>
  <c r="I215" i="11"/>
  <c r="Z214" i="11"/>
  <c r="X214" i="11"/>
  <c r="S214" i="11"/>
  <c r="N214" i="11"/>
  <c r="I214" i="11"/>
  <c r="Z213" i="11"/>
  <c r="X213" i="11"/>
  <c r="S213" i="11"/>
  <c r="N213" i="11"/>
  <c r="I213" i="11"/>
  <c r="W212" i="11"/>
  <c r="V212" i="11"/>
  <c r="U212" i="11"/>
  <c r="T212" i="11"/>
  <c r="T200" i="11"/>
  <c r="T207" i="11"/>
  <c r="T199" i="11"/>
  <c r="R212" i="11"/>
  <c r="Q212" i="11"/>
  <c r="P212" i="11"/>
  <c r="P200" i="11"/>
  <c r="P207" i="11"/>
  <c r="P199" i="11"/>
  <c r="O212" i="11"/>
  <c r="M212" i="11"/>
  <c r="L212" i="11"/>
  <c r="K212" i="11"/>
  <c r="J212" i="11"/>
  <c r="H212" i="11"/>
  <c r="G212" i="11"/>
  <c r="F212" i="11"/>
  <c r="E212" i="11"/>
  <c r="Z212" i="11"/>
  <c r="D212" i="11"/>
  <c r="Z211" i="11"/>
  <c r="X211" i="11"/>
  <c r="S211" i="11"/>
  <c r="N211" i="11"/>
  <c r="I211" i="11"/>
  <c r="Z210" i="11"/>
  <c r="X210" i="11"/>
  <c r="S210" i="11"/>
  <c r="L210" i="11"/>
  <c r="L207" i="11"/>
  <c r="G210" i="11"/>
  <c r="I210" i="11"/>
  <c r="Z209" i="11"/>
  <c r="X209" i="11"/>
  <c r="S209" i="11"/>
  <c r="N209" i="11"/>
  <c r="I209" i="11"/>
  <c r="Z208" i="11"/>
  <c r="X208" i="11"/>
  <c r="S208" i="11"/>
  <c r="N208" i="11"/>
  <c r="I208" i="11"/>
  <c r="W207" i="11"/>
  <c r="V207" i="11"/>
  <c r="U207" i="11"/>
  <c r="R207" i="11"/>
  <c r="Q207" i="11"/>
  <c r="O207" i="11"/>
  <c r="M207" i="11"/>
  <c r="K207" i="11"/>
  <c r="K200" i="11"/>
  <c r="K199" i="11"/>
  <c r="J207" i="11"/>
  <c r="H207" i="11"/>
  <c r="F207" i="11"/>
  <c r="E207" i="11"/>
  <c r="D207" i="11"/>
  <c r="Z206" i="11"/>
  <c r="X206" i="11"/>
  <c r="S206" i="11"/>
  <c r="N206" i="11"/>
  <c r="I206" i="11"/>
  <c r="Z205" i="11"/>
  <c r="X205" i="11"/>
  <c r="S205" i="11"/>
  <c r="N205" i="11"/>
  <c r="I205" i="11"/>
  <c r="Z204" i="11"/>
  <c r="X204" i="11"/>
  <c r="S204" i="11"/>
  <c r="N204" i="11"/>
  <c r="I204" i="11"/>
  <c r="Z203" i="11"/>
  <c r="X203" i="11"/>
  <c r="S203" i="11"/>
  <c r="N203" i="11"/>
  <c r="I203" i="11"/>
  <c r="Z202" i="11"/>
  <c r="X202" i="11"/>
  <c r="S202" i="11"/>
  <c r="N202" i="11"/>
  <c r="I202" i="11"/>
  <c r="Z201" i="11"/>
  <c r="X201" i="11"/>
  <c r="S201" i="11"/>
  <c r="N201" i="11"/>
  <c r="I201" i="11"/>
  <c r="W200" i="11"/>
  <c r="V200" i="11"/>
  <c r="U200" i="11"/>
  <c r="R200" i="11"/>
  <c r="R199" i="11"/>
  <c r="Q200" i="11"/>
  <c r="O200" i="11"/>
  <c r="M200" i="11"/>
  <c r="M199" i="11"/>
  <c r="L200" i="11"/>
  <c r="J200" i="11"/>
  <c r="H200" i="11"/>
  <c r="G200" i="11"/>
  <c r="F200" i="11"/>
  <c r="E200" i="11"/>
  <c r="Z200" i="11"/>
  <c r="D200" i="11"/>
  <c r="Z198" i="11"/>
  <c r="X198" i="11"/>
  <c r="S198" i="11"/>
  <c r="N198" i="11"/>
  <c r="I198" i="11"/>
  <c r="Z197" i="11"/>
  <c r="X197" i="11"/>
  <c r="S197" i="11"/>
  <c r="N197" i="11"/>
  <c r="I197" i="11"/>
  <c r="Z196" i="11"/>
  <c r="X196" i="11"/>
  <c r="S196" i="11"/>
  <c r="N196" i="11"/>
  <c r="I196" i="11"/>
  <c r="W195" i="11"/>
  <c r="V195" i="11"/>
  <c r="U195" i="11"/>
  <c r="T195" i="11"/>
  <c r="R195" i="11"/>
  <c r="Q195" i="11"/>
  <c r="P195" i="11"/>
  <c r="O195" i="11"/>
  <c r="L195" i="11"/>
  <c r="K195" i="11"/>
  <c r="J195" i="11"/>
  <c r="H195" i="11"/>
  <c r="G195" i="11"/>
  <c r="F195" i="11"/>
  <c r="E195" i="11"/>
  <c r="D195" i="11"/>
  <c r="Z194" i="11"/>
  <c r="X194" i="11"/>
  <c r="S194" i="11"/>
  <c r="N194" i="11"/>
  <c r="X193" i="11"/>
  <c r="S193" i="11"/>
  <c r="N193" i="11"/>
  <c r="Y193" i="11"/>
  <c r="G193" i="11"/>
  <c r="G190" i="11"/>
  <c r="G187" i="11"/>
  <c r="X192" i="11"/>
  <c r="S192" i="11"/>
  <c r="N192" i="11"/>
  <c r="Y192" i="11"/>
  <c r="Z191" i="11"/>
  <c r="X191" i="11"/>
  <c r="S191" i="11"/>
  <c r="N191" i="11"/>
  <c r="I191" i="11"/>
  <c r="Z190" i="11"/>
  <c r="X190" i="11"/>
  <c r="S190" i="11"/>
  <c r="N190" i="11"/>
  <c r="I190" i="11"/>
  <c r="Z189" i="11"/>
  <c r="X189" i="11"/>
  <c r="S189" i="11"/>
  <c r="N189" i="11"/>
  <c r="I189" i="11"/>
  <c r="Z188" i="11"/>
  <c r="X188" i="11"/>
  <c r="S188" i="11"/>
  <c r="N188" i="11"/>
  <c r="I188" i="11"/>
  <c r="W187" i="11"/>
  <c r="V187" i="11"/>
  <c r="U187" i="11"/>
  <c r="T187" i="11"/>
  <c r="R187" i="11"/>
  <c r="Q187" i="11"/>
  <c r="P187" i="11"/>
  <c r="O187" i="11"/>
  <c r="M187" i="11"/>
  <c r="L187" i="11"/>
  <c r="K187" i="11"/>
  <c r="J187" i="11"/>
  <c r="H187" i="11"/>
  <c r="F187" i="11"/>
  <c r="E187" i="11"/>
  <c r="D187" i="11"/>
  <c r="Z186" i="11"/>
  <c r="X186" i="11"/>
  <c r="S186" i="11"/>
  <c r="N186" i="11"/>
  <c r="I186" i="11"/>
  <c r="Z185" i="11"/>
  <c r="X185" i="11"/>
  <c r="S185" i="11"/>
  <c r="N185" i="11"/>
  <c r="I185" i="11"/>
  <c r="T184" i="11"/>
  <c r="X184" i="11"/>
  <c r="R184" i="11"/>
  <c r="Q184" i="11"/>
  <c r="P184" i="11"/>
  <c r="O184" i="11"/>
  <c r="M184" i="11"/>
  <c r="L184" i="11"/>
  <c r="K184" i="11"/>
  <c r="J184" i="11"/>
  <c r="H184" i="11"/>
  <c r="G184" i="11"/>
  <c r="F184" i="11"/>
  <c r="E184" i="11"/>
  <c r="D184" i="11"/>
  <c r="Z183" i="11"/>
  <c r="X183" i="11"/>
  <c r="S183" i="11"/>
  <c r="N183" i="11"/>
  <c r="I183" i="11"/>
  <c r="Z182" i="11"/>
  <c r="X182" i="11"/>
  <c r="S182" i="11"/>
  <c r="N182" i="11"/>
  <c r="I182" i="11"/>
  <c r="X181" i="11"/>
  <c r="S181" i="11"/>
  <c r="N181" i="11"/>
  <c r="E181" i="11"/>
  <c r="X180" i="11"/>
  <c r="S180" i="11"/>
  <c r="N180" i="11"/>
  <c r="E180" i="11"/>
  <c r="Z180" i="11"/>
  <c r="T179" i="11"/>
  <c r="X179" i="11"/>
  <c r="O179" i="11"/>
  <c r="O177" i="11"/>
  <c r="J179" i="11"/>
  <c r="J177" i="11"/>
  <c r="E179" i="11"/>
  <c r="I179" i="11"/>
  <c r="Z178" i="11"/>
  <c r="X178" i="11"/>
  <c r="S178" i="11"/>
  <c r="N178" i="11"/>
  <c r="I178" i="11"/>
  <c r="W177" i="11"/>
  <c r="V177" i="11"/>
  <c r="U177" i="11"/>
  <c r="R177" i="11"/>
  <c r="Q177" i="11"/>
  <c r="P177" i="11"/>
  <c r="M177" i="11"/>
  <c r="L177" i="11"/>
  <c r="L164" i="11"/>
  <c r="L170" i="11"/>
  <c r="L163" i="11"/>
  <c r="K177" i="11"/>
  <c r="H177" i="11"/>
  <c r="G177" i="11"/>
  <c r="F177" i="11"/>
  <c r="D177" i="11"/>
  <c r="Z176" i="11"/>
  <c r="X176" i="11"/>
  <c r="S176" i="11"/>
  <c r="N176" i="11"/>
  <c r="I176" i="11"/>
  <c r="Z175" i="11"/>
  <c r="X175" i="11"/>
  <c r="S175" i="11"/>
  <c r="N175" i="11"/>
  <c r="I175" i="11"/>
  <c r="X174" i="11"/>
  <c r="S174" i="11"/>
  <c r="N174" i="11"/>
  <c r="E174" i="11"/>
  <c r="Z174" i="11"/>
  <c r="Z173" i="11"/>
  <c r="X173" i="11"/>
  <c r="S173" i="11"/>
  <c r="N173" i="11"/>
  <c r="I173" i="11"/>
  <c r="Z172" i="11"/>
  <c r="X172" i="11"/>
  <c r="S172" i="11"/>
  <c r="N172" i="11"/>
  <c r="I172" i="11"/>
  <c r="Z171" i="11"/>
  <c r="X171" i="11"/>
  <c r="S171" i="11"/>
  <c r="N171" i="11"/>
  <c r="I171" i="11"/>
  <c r="W170" i="11"/>
  <c r="V170" i="11"/>
  <c r="U170" i="11"/>
  <c r="T170" i="11"/>
  <c r="R170" i="11"/>
  <c r="Q170" i="11"/>
  <c r="P170" i="11"/>
  <c r="O170" i="11"/>
  <c r="M170" i="11"/>
  <c r="K170" i="11"/>
  <c r="J170" i="11"/>
  <c r="H170" i="11"/>
  <c r="G170" i="11"/>
  <c r="F170" i="11"/>
  <c r="D170" i="11"/>
  <c r="D164" i="11"/>
  <c r="D163" i="11"/>
  <c r="Y169" i="11"/>
  <c r="X168" i="11"/>
  <c r="S168" i="11"/>
  <c r="N168" i="11"/>
  <c r="E168" i="11"/>
  <c r="I168" i="11"/>
  <c r="Z167" i="11"/>
  <c r="X167" i="11"/>
  <c r="S167" i="11"/>
  <c r="N167" i="11"/>
  <c r="I167" i="11"/>
  <c r="Z166" i="11"/>
  <c r="X166" i="11"/>
  <c r="S166" i="11"/>
  <c r="N166" i="11"/>
  <c r="I166" i="11"/>
  <c r="Z165" i="11"/>
  <c r="X165" i="11"/>
  <c r="S165" i="11"/>
  <c r="N165" i="11"/>
  <c r="I165" i="11"/>
  <c r="W164" i="11"/>
  <c r="V164" i="11"/>
  <c r="V163" i="11"/>
  <c r="U164" i="11"/>
  <c r="T164" i="11"/>
  <c r="R164" i="11"/>
  <c r="Q164" i="11"/>
  <c r="P164" i="11"/>
  <c r="O164" i="11"/>
  <c r="M164" i="11"/>
  <c r="K164" i="11"/>
  <c r="J164" i="11"/>
  <c r="H164" i="11"/>
  <c r="G164" i="11"/>
  <c r="F164" i="11"/>
  <c r="E164" i="11"/>
  <c r="Z162" i="11"/>
  <c r="X162" i="11"/>
  <c r="S162" i="11"/>
  <c r="N162" i="11"/>
  <c r="I162" i="11"/>
  <c r="Z161" i="11"/>
  <c r="X161" i="11"/>
  <c r="S161" i="11"/>
  <c r="N161" i="11"/>
  <c r="I161" i="11"/>
  <c r="T160" i="11"/>
  <c r="X160" i="11"/>
  <c r="O160" i="11"/>
  <c r="S160" i="11"/>
  <c r="J160" i="11"/>
  <c r="N160" i="11"/>
  <c r="E160" i="11"/>
  <c r="E155" i="11"/>
  <c r="X159" i="11"/>
  <c r="Y159" i="11"/>
  <c r="Z158" i="11"/>
  <c r="X158" i="11"/>
  <c r="S158" i="11"/>
  <c r="N158" i="11"/>
  <c r="I158" i="11"/>
  <c r="Z157" i="11"/>
  <c r="X157" i="11"/>
  <c r="S157" i="11"/>
  <c r="N157" i="11"/>
  <c r="I157" i="11"/>
  <c r="Z156" i="11"/>
  <c r="X156" i="11"/>
  <c r="S156" i="11"/>
  <c r="N156" i="11"/>
  <c r="I156" i="11"/>
  <c r="W155" i="11"/>
  <c r="V155" i="11"/>
  <c r="U155" i="11"/>
  <c r="R155" i="11"/>
  <c r="Q155" i="11"/>
  <c r="P155" i="11"/>
  <c r="M155" i="11"/>
  <c r="L155" i="11"/>
  <c r="K155" i="11"/>
  <c r="H155" i="11"/>
  <c r="G155" i="11"/>
  <c r="F155" i="11"/>
  <c r="D155" i="11"/>
  <c r="W154" i="11"/>
  <c r="W147" i="11"/>
  <c r="T154" i="11"/>
  <c r="R154" i="11"/>
  <c r="R147" i="11"/>
  <c r="O154" i="11"/>
  <c r="M154" i="11"/>
  <c r="M147" i="11"/>
  <c r="J154" i="11"/>
  <c r="J147" i="11"/>
  <c r="H154" i="11"/>
  <c r="E154" i="11"/>
  <c r="X153" i="11"/>
  <c r="S153" i="11"/>
  <c r="N153" i="11"/>
  <c r="E153" i="11"/>
  <c r="I153" i="11"/>
  <c r="D153" i="11"/>
  <c r="D147" i="11"/>
  <c r="Z152" i="11"/>
  <c r="X152" i="11"/>
  <c r="S152" i="11"/>
  <c r="L152" i="11"/>
  <c r="L147" i="11"/>
  <c r="I152" i="11"/>
  <c r="Z151" i="11"/>
  <c r="X151" i="11"/>
  <c r="S151" i="11"/>
  <c r="N151" i="11"/>
  <c r="G151" i="11"/>
  <c r="G147" i="11"/>
  <c r="Z150" i="11"/>
  <c r="X150" i="11"/>
  <c r="S150" i="11"/>
  <c r="N150" i="11"/>
  <c r="I150" i="11"/>
  <c r="Z149" i="11"/>
  <c r="X149" i="11"/>
  <c r="S149" i="11"/>
  <c r="N149" i="11"/>
  <c r="I149" i="11"/>
  <c r="Z148" i="11"/>
  <c r="X148" i="11"/>
  <c r="S148" i="11"/>
  <c r="N148" i="11"/>
  <c r="I148" i="11"/>
  <c r="V147" i="11"/>
  <c r="U147" i="11"/>
  <c r="Q147" i="11"/>
  <c r="P147" i="11"/>
  <c r="K147" i="11"/>
  <c r="F147" i="11"/>
  <c r="Z146" i="11"/>
  <c r="X146" i="11"/>
  <c r="S146" i="11"/>
  <c r="N146" i="11"/>
  <c r="I146" i="11"/>
  <c r="Y146" i="11"/>
  <c r="Z145" i="11"/>
  <c r="X145" i="11"/>
  <c r="S145" i="11"/>
  <c r="N145" i="11"/>
  <c r="I145" i="11"/>
  <c r="Z144" i="11"/>
  <c r="X144" i="11"/>
  <c r="S144" i="11"/>
  <c r="N144" i="11"/>
  <c r="I144" i="11"/>
  <c r="Z143" i="11"/>
  <c r="X143" i="11"/>
  <c r="S143" i="11"/>
  <c r="N143" i="11"/>
  <c r="I143" i="11"/>
  <c r="Z142" i="11"/>
  <c r="X142" i="11"/>
  <c r="S142" i="11"/>
  <c r="N142" i="11"/>
  <c r="I142" i="11"/>
  <c r="Y142" i="11"/>
  <c r="Z141" i="11"/>
  <c r="X141" i="11"/>
  <c r="S141" i="11"/>
  <c r="N141" i="11"/>
  <c r="I141" i="11"/>
  <c r="W140" i="11"/>
  <c r="V140" i="11"/>
  <c r="U140" i="11"/>
  <c r="T140" i="11"/>
  <c r="R140" i="11"/>
  <c r="Q140" i="11"/>
  <c r="P140" i="11"/>
  <c r="O140" i="11"/>
  <c r="M140" i="11"/>
  <c r="L140" i="11"/>
  <c r="K140" i="11"/>
  <c r="J140" i="11"/>
  <c r="H140" i="11"/>
  <c r="G140" i="11"/>
  <c r="F140" i="11"/>
  <c r="E140" i="11"/>
  <c r="T139" i="11"/>
  <c r="O139" i="11"/>
  <c r="S139" i="11"/>
  <c r="J139" i="11"/>
  <c r="E139" i="11"/>
  <c r="Z138" i="11"/>
  <c r="S138" i="11"/>
  <c r="N138" i="11"/>
  <c r="I138" i="11"/>
  <c r="Z137" i="11"/>
  <c r="X137" i="11"/>
  <c r="S137" i="11"/>
  <c r="N137" i="11"/>
  <c r="I137" i="11"/>
  <c r="Z136" i="11"/>
  <c r="X136" i="11"/>
  <c r="S136" i="11"/>
  <c r="N136" i="11"/>
  <c r="I136" i="11"/>
  <c r="X135" i="11"/>
  <c r="S135" i="11"/>
  <c r="N135" i="11"/>
  <c r="E135" i="11"/>
  <c r="Z135" i="11"/>
  <c r="Z134" i="11"/>
  <c r="X134" i="11"/>
  <c r="S134" i="11"/>
  <c r="N134" i="11"/>
  <c r="W133" i="11"/>
  <c r="V133" i="11"/>
  <c r="U133" i="11"/>
  <c r="R133" i="11"/>
  <c r="Q133" i="11"/>
  <c r="P133" i="11"/>
  <c r="M133" i="11"/>
  <c r="L133" i="11"/>
  <c r="K133" i="11"/>
  <c r="H133" i="11"/>
  <c r="G133" i="11"/>
  <c r="F133" i="11"/>
  <c r="D133" i="11"/>
  <c r="T132" i="11"/>
  <c r="X132" i="11"/>
  <c r="O132" i="11"/>
  <c r="S132" i="11"/>
  <c r="J132" i="11"/>
  <c r="N132" i="11"/>
  <c r="E132" i="11"/>
  <c r="I132" i="11"/>
  <c r="T131" i="11"/>
  <c r="X131" i="11"/>
  <c r="O131" i="11"/>
  <c r="S131" i="11"/>
  <c r="J131" i="11"/>
  <c r="N131" i="11"/>
  <c r="E131" i="11"/>
  <c r="I131" i="11"/>
  <c r="Z130" i="11"/>
  <c r="X130" i="11"/>
  <c r="S130" i="11"/>
  <c r="N130" i="11"/>
  <c r="I130" i="11"/>
  <c r="Z129" i="11"/>
  <c r="X129" i="11"/>
  <c r="S129" i="11"/>
  <c r="N129" i="11"/>
  <c r="I129" i="11"/>
  <c r="W128" i="11"/>
  <c r="V128" i="11"/>
  <c r="U128" i="11"/>
  <c r="R128" i="11"/>
  <c r="Q128" i="11"/>
  <c r="P128" i="11"/>
  <c r="M128" i="11"/>
  <c r="L128" i="11"/>
  <c r="K128" i="11"/>
  <c r="H128" i="11"/>
  <c r="G128" i="11"/>
  <c r="F128" i="11"/>
  <c r="D128" i="11"/>
  <c r="Z127" i="11"/>
  <c r="X127" i="11"/>
  <c r="S127" i="11"/>
  <c r="N127" i="11"/>
  <c r="I127" i="11"/>
  <c r="Z126" i="11"/>
  <c r="X126" i="11"/>
  <c r="S126" i="11"/>
  <c r="N126" i="11"/>
  <c r="I126" i="11"/>
  <c r="Z125" i="11"/>
  <c r="X125" i="11"/>
  <c r="S125" i="11"/>
  <c r="N125" i="11"/>
  <c r="I125" i="11"/>
  <c r="W124" i="11"/>
  <c r="W121" i="11"/>
  <c r="T124" i="11"/>
  <c r="T121" i="11"/>
  <c r="R124" i="11"/>
  <c r="R121" i="11"/>
  <c r="O124" i="11"/>
  <c r="M124" i="11"/>
  <c r="M121" i="11"/>
  <c r="J124" i="11"/>
  <c r="J121" i="11"/>
  <c r="H124" i="11"/>
  <c r="H121" i="11"/>
  <c r="E124" i="11"/>
  <c r="Z123" i="11"/>
  <c r="X123" i="11"/>
  <c r="S123" i="11"/>
  <c r="N123" i="11"/>
  <c r="I123" i="11"/>
  <c r="Z122" i="11"/>
  <c r="X122" i="11"/>
  <c r="S122" i="11"/>
  <c r="N122" i="11"/>
  <c r="I122" i="11"/>
  <c r="V121" i="11"/>
  <c r="U121" i="11"/>
  <c r="Q121" i="11"/>
  <c r="P121" i="11"/>
  <c r="L121" i="11"/>
  <c r="K121" i="11"/>
  <c r="G121" i="11"/>
  <c r="F121" i="11"/>
  <c r="D121" i="11"/>
  <c r="W120" i="11"/>
  <c r="T120" i="11"/>
  <c r="X120" i="11"/>
  <c r="R120" i="11"/>
  <c r="O120" i="11"/>
  <c r="M120" i="11"/>
  <c r="J120" i="11"/>
  <c r="N120" i="11"/>
  <c r="H120" i="11"/>
  <c r="H114" i="11"/>
  <c r="E120" i="11"/>
  <c r="X119" i="11"/>
  <c r="S119" i="11"/>
  <c r="N119" i="11"/>
  <c r="I119" i="11"/>
  <c r="T118" i="11"/>
  <c r="X118" i="11"/>
  <c r="O118" i="11"/>
  <c r="J118" i="11"/>
  <c r="N118" i="11"/>
  <c r="E118" i="11"/>
  <c r="Z117" i="11"/>
  <c r="X117" i="11"/>
  <c r="S117" i="11"/>
  <c r="N117" i="11"/>
  <c r="I117" i="11"/>
  <c r="Z116" i="11"/>
  <c r="X116" i="11"/>
  <c r="S116" i="11"/>
  <c r="N116" i="11"/>
  <c r="I116" i="11"/>
  <c r="Z115" i="11"/>
  <c r="X115" i="11"/>
  <c r="S115" i="11"/>
  <c r="N115" i="11"/>
  <c r="I115" i="11"/>
  <c r="Y115" i="11"/>
  <c r="W114" i="11"/>
  <c r="V114" i="11"/>
  <c r="U114" i="11"/>
  <c r="Q114" i="11"/>
  <c r="P114" i="11"/>
  <c r="M114" i="11"/>
  <c r="L114" i="11"/>
  <c r="K114" i="11"/>
  <c r="G114" i="11"/>
  <c r="F114" i="11"/>
  <c r="D114" i="11"/>
  <c r="Z112" i="11"/>
  <c r="Z111" i="11"/>
  <c r="Y111" i="11"/>
  <c r="Z110" i="11"/>
  <c r="Z109" i="11"/>
  <c r="X109" i="11"/>
  <c r="S109" i="11"/>
  <c r="N109" i="11"/>
  <c r="I109" i="11"/>
  <c r="Z108" i="11"/>
  <c r="X108" i="11"/>
  <c r="S108" i="11"/>
  <c r="N108" i="11"/>
  <c r="I108" i="11"/>
  <c r="W107" i="11"/>
  <c r="V107" i="11"/>
  <c r="U107" i="11"/>
  <c r="T107" i="11"/>
  <c r="R107" i="11"/>
  <c r="Q107" i="11"/>
  <c r="P107" i="11"/>
  <c r="O107" i="11"/>
  <c r="M107" i="11"/>
  <c r="L107" i="11"/>
  <c r="K107" i="11"/>
  <c r="J107" i="11"/>
  <c r="H107" i="11"/>
  <c r="G107" i="11"/>
  <c r="F107" i="11"/>
  <c r="E107" i="11"/>
  <c r="Z107" i="11"/>
  <c r="D107" i="11"/>
  <c r="Z106" i="11"/>
  <c r="N106" i="11"/>
  <c r="I106" i="11"/>
  <c r="Z105" i="11"/>
  <c r="N105" i="11"/>
  <c r="I105" i="11"/>
  <c r="N104" i="11"/>
  <c r="E104" i="11"/>
  <c r="I104" i="11"/>
  <c r="Z103" i="11"/>
  <c r="N103" i="11"/>
  <c r="I103" i="11"/>
  <c r="Z102" i="11"/>
  <c r="N102" i="11"/>
  <c r="I102" i="11"/>
  <c r="Z101" i="11"/>
  <c r="N101" i="11"/>
  <c r="I101" i="11"/>
  <c r="Z99" i="11"/>
  <c r="X99" i="11"/>
  <c r="S99" i="11"/>
  <c r="N99" i="11"/>
  <c r="I99" i="11"/>
  <c r="W98" i="11"/>
  <c r="V98" i="11"/>
  <c r="U98" i="11"/>
  <c r="T98" i="11"/>
  <c r="R98" i="11"/>
  <c r="Q98" i="11"/>
  <c r="P98" i="11"/>
  <c r="O98" i="11"/>
  <c r="M98" i="11"/>
  <c r="K98" i="11"/>
  <c r="J98" i="11"/>
  <c r="H98" i="11"/>
  <c r="G98" i="11"/>
  <c r="F98" i="11"/>
  <c r="D98" i="11"/>
  <c r="Z97" i="11"/>
  <c r="X97" i="11"/>
  <c r="S97" i="11"/>
  <c r="N97" i="11"/>
  <c r="I97" i="11"/>
  <c r="X96" i="11"/>
  <c r="S96" i="11"/>
  <c r="N96" i="11"/>
  <c r="E96" i="11"/>
  <c r="I96" i="11"/>
  <c r="Y96" i="11"/>
  <c r="X95" i="11"/>
  <c r="S95" i="11"/>
  <c r="N95" i="11"/>
  <c r="E95" i="11"/>
  <c r="G95" i="11"/>
  <c r="I95" i="11"/>
  <c r="Y95" i="11"/>
  <c r="Z95" i="11"/>
  <c r="X94" i="11"/>
  <c r="S94" i="11"/>
  <c r="N94" i="11"/>
  <c r="G94" i="11"/>
  <c r="E94" i="11"/>
  <c r="Z93" i="11"/>
  <c r="X93" i="11"/>
  <c r="S93" i="11"/>
  <c r="N93" i="11"/>
  <c r="I93" i="11"/>
  <c r="W92" i="11"/>
  <c r="V92" i="11"/>
  <c r="U92" i="11"/>
  <c r="T92" i="11"/>
  <c r="R92" i="11"/>
  <c r="Q92" i="11"/>
  <c r="P92" i="11"/>
  <c r="O92" i="11"/>
  <c r="M92" i="11"/>
  <c r="L92" i="11"/>
  <c r="K92" i="11"/>
  <c r="J92" i="11"/>
  <c r="H92" i="11"/>
  <c r="F92" i="11"/>
  <c r="D92" i="11"/>
  <c r="Z90" i="11"/>
  <c r="X90" i="11"/>
  <c r="S90" i="11"/>
  <c r="N90" i="11"/>
  <c r="I90" i="11"/>
  <c r="Z89" i="11"/>
  <c r="Y89" i="11"/>
  <c r="Z88" i="11"/>
  <c r="Z87" i="11"/>
  <c r="Z86" i="11"/>
  <c r="Z85" i="11"/>
  <c r="Y85" i="11"/>
  <c r="Z84" i="11"/>
  <c r="X84" i="11"/>
  <c r="S84" i="11"/>
  <c r="N84" i="11"/>
  <c r="I84" i="11"/>
  <c r="W83" i="11"/>
  <c r="V83" i="11"/>
  <c r="U83" i="11"/>
  <c r="T83" i="11"/>
  <c r="R83" i="11"/>
  <c r="Q83" i="11"/>
  <c r="P83" i="11"/>
  <c r="O83" i="11"/>
  <c r="M83" i="11"/>
  <c r="L83" i="11"/>
  <c r="K83" i="11"/>
  <c r="J83" i="11"/>
  <c r="H83" i="11"/>
  <c r="G83" i="11"/>
  <c r="F83" i="11"/>
  <c r="E83" i="11"/>
  <c r="D83" i="11"/>
  <c r="X82" i="11"/>
  <c r="S82" i="11"/>
  <c r="N82" i="11"/>
  <c r="I82" i="11"/>
  <c r="Z81" i="11"/>
  <c r="X81" i="11"/>
  <c r="S81" i="11"/>
  <c r="L81" i="11"/>
  <c r="N81" i="11"/>
  <c r="L78" i="11"/>
  <c r="G81" i="11"/>
  <c r="I81" i="11"/>
  <c r="Z80" i="11"/>
  <c r="X80" i="11"/>
  <c r="S80" i="11"/>
  <c r="N80" i="11"/>
  <c r="I80" i="11"/>
  <c r="Z79" i="11"/>
  <c r="X79" i="11"/>
  <c r="S79" i="11"/>
  <c r="N79" i="11"/>
  <c r="I79" i="11"/>
  <c r="W78" i="11"/>
  <c r="V78" i="11"/>
  <c r="U78" i="11"/>
  <c r="T78" i="11"/>
  <c r="R78" i="11"/>
  <c r="Q78" i="11"/>
  <c r="P78" i="11"/>
  <c r="O78" i="11"/>
  <c r="M78" i="11"/>
  <c r="K78" i="11"/>
  <c r="J78" i="11"/>
  <c r="H78" i="11"/>
  <c r="F78" i="11"/>
  <c r="E78" i="11"/>
  <c r="D78" i="11"/>
  <c r="X77" i="11"/>
  <c r="S77" i="11"/>
  <c r="L77" i="11"/>
  <c r="N77" i="11"/>
  <c r="G77" i="11"/>
  <c r="I77" i="11"/>
  <c r="Z75" i="11"/>
  <c r="X75" i="11"/>
  <c r="S75" i="11"/>
  <c r="N75" i="11"/>
  <c r="I75" i="11"/>
  <c r="Z74" i="11"/>
  <c r="X74" i="11"/>
  <c r="S74" i="11"/>
  <c r="N74" i="11"/>
  <c r="I74" i="11"/>
  <c r="Z73" i="11"/>
  <c r="X73" i="11"/>
  <c r="S73" i="11"/>
  <c r="N73" i="11"/>
  <c r="I73" i="11"/>
  <c r="Z72" i="11"/>
  <c r="X72" i="11"/>
  <c r="S72" i="11"/>
  <c r="N72" i="11"/>
  <c r="I72" i="11"/>
  <c r="W71" i="11"/>
  <c r="V71" i="11"/>
  <c r="U71" i="11"/>
  <c r="T71" i="11"/>
  <c r="R71" i="11"/>
  <c r="Q71" i="11"/>
  <c r="P71" i="11"/>
  <c r="O71" i="11"/>
  <c r="M71" i="11"/>
  <c r="K71" i="11"/>
  <c r="J71" i="11"/>
  <c r="H71" i="11"/>
  <c r="F71" i="11"/>
  <c r="E71" i="11"/>
  <c r="D71" i="11"/>
  <c r="Z69" i="11"/>
  <c r="X69" i="11"/>
  <c r="S69" i="11"/>
  <c r="N69" i="11"/>
  <c r="I69" i="11"/>
  <c r="Z68" i="11"/>
  <c r="X68" i="11"/>
  <c r="S68" i="11"/>
  <c r="N68" i="11"/>
  <c r="I68" i="11"/>
  <c r="X67" i="11"/>
  <c r="S67" i="11"/>
  <c r="N67" i="11"/>
  <c r="E67" i="11"/>
  <c r="Z67" i="11"/>
  <c r="Z66" i="11"/>
  <c r="X66" i="11"/>
  <c r="S66" i="11"/>
  <c r="N66" i="11"/>
  <c r="I66" i="11"/>
  <c r="Z65" i="11"/>
  <c r="X65" i="11"/>
  <c r="S65" i="11"/>
  <c r="N65" i="11"/>
  <c r="I65" i="11"/>
  <c r="Z64" i="11"/>
  <c r="X64" i="11"/>
  <c r="S64" i="11"/>
  <c r="N64" i="11"/>
  <c r="I64" i="11"/>
  <c r="X63" i="11"/>
  <c r="S63" i="11"/>
  <c r="N63" i="11"/>
  <c r="F63" i="11"/>
  <c r="I63" i="11"/>
  <c r="X62" i="11"/>
  <c r="S62" i="11"/>
  <c r="N62" i="11"/>
  <c r="I62" i="11"/>
  <c r="Z62" i="11"/>
  <c r="Z61" i="11"/>
  <c r="X61" i="11"/>
  <c r="S61" i="11"/>
  <c r="N61" i="11"/>
  <c r="I61" i="11"/>
  <c r="W60" i="11"/>
  <c r="V60" i="11"/>
  <c r="U60" i="11"/>
  <c r="T60" i="11"/>
  <c r="R60" i="11"/>
  <c r="Q60" i="11"/>
  <c r="P60" i="11"/>
  <c r="O60" i="11"/>
  <c r="M60" i="11"/>
  <c r="L60" i="11"/>
  <c r="K60" i="11"/>
  <c r="J60" i="11"/>
  <c r="H60" i="11"/>
  <c r="G60" i="11"/>
  <c r="D60" i="11"/>
  <c r="Z59" i="11"/>
  <c r="X59" i="11"/>
  <c r="S59" i="11"/>
  <c r="N59" i="11"/>
  <c r="I59" i="11"/>
  <c r="Z58" i="11"/>
  <c r="X58" i="11"/>
  <c r="S58" i="11"/>
  <c r="N58" i="11"/>
  <c r="I58" i="11"/>
  <c r="Y58" i="11"/>
  <c r="X57" i="11"/>
  <c r="S57" i="11"/>
  <c r="N57" i="11"/>
  <c r="E57" i="11"/>
  <c r="F57" i="11"/>
  <c r="I57" i="11"/>
  <c r="Y57" i="11"/>
  <c r="E54" i="11"/>
  <c r="D57" i="11"/>
  <c r="D53" i="11"/>
  <c r="Z56" i="11"/>
  <c r="X56" i="11"/>
  <c r="S56" i="11"/>
  <c r="N56" i="11"/>
  <c r="I56" i="11"/>
  <c r="Z55" i="11"/>
  <c r="X55" i="11"/>
  <c r="S55" i="11"/>
  <c r="N55" i="11"/>
  <c r="I55" i="11"/>
  <c r="W54" i="11"/>
  <c r="V54" i="11"/>
  <c r="U54" i="11"/>
  <c r="T54" i="11"/>
  <c r="R54" i="11"/>
  <c r="Q54" i="11"/>
  <c r="P54" i="11"/>
  <c r="O54" i="11"/>
  <c r="M54" i="11"/>
  <c r="L54" i="11"/>
  <c r="K54" i="11"/>
  <c r="J54" i="11"/>
  <c r="H54" i="11"/>
  <c r="G54" i="11"/>
  <c r="F54" i="11"/>
  <c r="Z53" i="11"/>
  <c r="X53" i="11"/>
  <c r="S53" i="11"/>
  <c r="N53" i="11"/>
  <c r="I53" i="11"/>
  <c r="Z52" i="11"/>
  <c r="X52" i="11"/>
  <c r="S52" i="11"/>
  <c r="N52" i="11"/>
  <c r="I52" i="11"/>
  <c r="Z51" i="11"/>
  <c r="X51" i="11"/>
  <c r="S51" i="11"/>
  <c r="N51" i="11"/>
  <c r="Z50" i="11"/>
  <c r="X50" i="11"/>
  <c r="S50" i="11"/>
  <c r="N50" i="11"/>
  <c r="I50" i="11"/>
  <c r="X49" i="11"/>
  <c r="S49" i="11"/>
  <c r="N49" i="11"/>
  <c r="E49" i="11"/>
  <c r="D49" i="11"/>
  <c r="Z48" i="11"/>
  <c r="X48" i="11"/>
  <c r="S48" i="11"/>
  <c r="N48" i="11"/>
  <c r="I48" i="11"/>
  <c r="W47" i="11"/>
  <c r="V47" i="11"/>
  <c r="U47" i="11"/>
  <c r="T47" i="11"/>
  <c r="R47" i="11"/>
  <c r="Q47" i="11"/>
  <c r="P47" i="11"/>
  <c r="O47" i="11"/>
  <c r="M47" i="11"/>
  <c r="L47" i="11"/>
  <c r="K47" i="11"/>
  <c r="J47" i="11"/>
  <c r="H47" i="11"/>
  <c r="G47" i="11"/>
  <c r="F47" i="11"/>
  <c r="T46" i="11"/>
  <c r="X46" i="11"/>
  <c r="O46" i="11"/>
  <c r="J46" i="11"/>
  <c r="N46" i="11"/>
  <c r="F46" i="11"/>
  <c r="F43" i="11"/>
  <c r="E46" i="11"/>
  <c r="D46" i="11"/>
  <c r="Z45" i="11"/>
  <c r="X45" i="11"/>
  <c r="S45" i="11"/>
  <c r="N45" i="11"/>
  <c r="I45" i="11"/>
  <c r="D45" i="11"/>
  <c r="D43" i="11"/>
  <c r="Z44" i="11"/>
  <c r="X44" i="11"/>
  <c r="S44" i="11"/>
  <c r="N44" i="11"/>
  <c r="I44" i="11"/>
  <c r="W43" i="11"/>
  <c r="V43" i="11"/>
  <c r="U43" i="11"/>
  <c r="T43" i="11"/>
  <c r="R43" i="11"/>
  <c r="Q43" i="11"/>
  <c r="P43" i="11"/>
  <c r="M43" i="11"/>
  <c r="L43" i="11"/>
  <c r="K43" i="11"/>
  <c r="Z42" i="11"/>
  <c r="X42" i="11"/>
  <c r="S42" i="11"/>
  <c r="N42" i="11"/>
  <c r="I42" i="11"/>
  <c r="X41" i="11"/>
  <c r="S41" i="11"/>
  <c r="N41" i="11"/>
  <c r="E41" i="11"/>
  <c r="Z41" i="11"/>
  <c r="Z40" i="11"/>
  <c r="X40" i="11"/>
  <c r="S40" i="11"/>
  <c r="N40" i="11"/>
  <c r="I40" i="11"/>
  <c r="Z39" i="11"/>
  <c r="X39" i="11"/>
  <c r="S39" i="11"/>
  <c r="N39" i="11"/>
  <c r="I39" i="11"/>
  <c r="Z38" i="11"/>
  <c r="X38" i="11"/>
  <c r="S38" i="11"/>
  <c r="N38" i="11"/>
  <c r="I38" i="11"/>
  <c r="Z37" i="11"/>
  <c r="X37" i="11"/>
  <c r="S37" i="11"/>
  <c r="N37" i="11"/>
  <c r="I37" i="11"/>
  <c r="D37" i="11"/>
  <c r="Z36" i="11"/>
  <c r="X36" i="11"/>
  <c r="S36" i="11"/>
  <c r="N36" i="11"/>
  <c r="I36" i="11"/>
  <c r="X35" i="11"/>
  <c r="S35" i="11"/>
  <c r="N35" i="11"/>
  <c r="E35" i="11"/>
  <c r="Z35" i="11"/>
  <c r="D35" i="11"/>
  <c r="Z34" i="11"/>
  <c r="X34" i="11"/>
  <c r="S34" i="11"/>
  <c r="N34" i="11"/>
  <c r="I34" i="11"/>
  <c r="W33" i="11"/>
  <c r="V33" i="11"/>
  <c r="U33" i="11"/>
  <c r="T33" i="11"/>
  <c r="R33" i="11"/>
  <c r="Q33" i="11"/>
  <c r="P33" i="11"/>
  <c r="O33" i="11"/>
  <c r="M33" i="11"/>
  <c r="L33" i="11"/>
  <c r="K33" i="11"/>
  <c r="J33" i="11"/>
  <c r="H33" i="11"/>
  <c r="G33" i="11"/>
  <c r="F33" i="11"/>
  <c r="Z32" i="11"/>
  <c r="X32" i="11"/>
  <c r="S32" i="11"/>
  <c r="N32" i="11"/>
  <c r="F32" i="11"/>
  <c r="I32" i="11"/>
  <c r="X31" i="11"/>
  <c r="S31" i="11"/>
  <c r="N31" i="11"/>
  <c r="D31" i="11"/>
  <c r="D21" i="11"/>
  <c r="Z30" i="11"/>
  <c r="X30" i="11"/>
  <c r="S30" i="11"/>
  <c r="N30" i="11"/>
  <c r="I30" i="11"/>
  <c r="Z29" i="11"/>
  <c r="X29" i="11"/>
  <c r="S29" i="11"/>
  <c r="N29" i="11"/>
  <c r="I29" i="11"/>
  <c r="Z27" i="11"/>
  <c r="X27" i="11"/>
  <c r="S27" i="11"/>
  <c r="N27" i="11"/>
  <c r="I27" i="11"/>
  <c r="Z26" i="11"/>
  <c r="X26" i="11"/>
  <c r="S26" i="11"/>
  <c r="N26" i="11"/>
  <c r="Z25" i="11"/>
  <c r="X25" i="11"/>
  <c r="S25" i="11"/>
  <c r="N25" i="11"/>
  <c r="I25" i="11"/>
  <c r="Z24" i="11"/>
  <c r="X24" i="11"/>
  <c r="S24" i="11"/>
  <c r="N24" i="11"/>
  <c r="I24" i="11"/>
  <c r="X23" i="11"/>
  <c r="N23" i="11"/>
  <c r="F23" i="11"/>
  <c r="F21" i="11"/>
  <c r="E23" i="11"/>
  <c r="E21" i="11"/>
  <c r="Z22" i="11"/>
  <c r="X22" i="11"/>
  <c r="S22" i="11"/>
  <c r="N22" i="11"/>
  <c r="I22" i="11"/>
  <c r="W21" i="11"/>
  <c r="V21" i="11"/>
  <c r="U21" i="11"/>
  <c r="T21" i="11"/>
  <c r="R21" i="11"/>
  <c r="Q21" i="11"/>
  <c r="P21" i="11"/>
  <c r="O21" i="11"/>
  <c r="M21" i="11"/>
  <c r="L21" i="11"/>
  <c r="K21" i="11"/>
  <c r="J21" i="11"/>
  <c r="H21" i="11"/>
  <c r="G21" i="11"/>
  <c r="Z20" i="11"/>
  <c r="Z19" i="11"/>
  <c r="X19" i="11"/>
  <c r="Z18" i="11"/>
  <c r="D18" i="11"/>
  <c r="Z17" i="11"/>
  <c r="X17" i="11"/>
  <c r="S17" i="11"/>
  <c r="N17" i="11"/>
  <c r="I17" i="11"/>
  <c r="W16" i="11"/>
  <c r="V16" i="11"/>
  <c r="U16" i="11"/>
  <c r="T16" i="11"/>
  <c r="R16" i="11"/>
  <c r="Q16" i="11"/>
  <c r="P16" i="11"/>
  <c r="O16" i="11"/>
  <c r="M16" i="11"/>
  <c r="L16" i="11"/>
  <c r="K16" i="11"/>
  <c r="J16" i="11"/>
  <c r="H16" i="11"/>
  <c r="G16" i="11"/>
  <c r="F16" i="11"/>
  <c r="E16" i="11"/>
  <c r="D16" i="11"/>
  <c r="Z15" i="11"/>
  <c r="X15" i="11"/>
  <c r="S15" i="11"/>
  <c r="N15" i="11"/>
  <c r="I15" i="11"/>
  <c r="Z14" i="11"/>
  <c r="X14" i="11"/>
  <c r="S14" i="11"/>
  <c r="N14" i="11"/>
  <c r="I14" i="11"/>
  <c r="Z13" i="11"/>
  <c r="X13" i="11"/>
  <c r="S13" i="11"/>
  <c r="N13" i="11"/>
  <c r="I13" i="11"/>
  <c r="Z12" i="11"/>
  <c r="X12" i="11"/>
  <c r="S12" i="11"/>
  <c r="N12" i="11"/>
  <c r="I12" i="11"/>
  <c r="D12" i="11"/>
  <c r="Z11" i="11"/>
  <c r="X11" i="11"/>
  <c r="S11" i="11"/>
  <c r="N11" i="11"/>
  <c r="H11" i="11"/>
  <c r="Z10" i="11"/>
  <c r="X10" i="11"/>
  <c r="S10" i="11"/>
  <c r="N10" i="11"/>
  <c r="I10" i="11"/>
  <c r="W9" i="11"/>
  <c r="V9" i="11"/>
  <c r="U9" i="11"/>
  <c r="T9" i="11"/>
  <c r="R9" i="11"/>
  <c r="Q9" i="11"/>
  <c r="P9" i="11"/>
  <c r="O9" i="11"/>
  <c r="M9" i="11"/>
  <c r="L9" i="11"/>
  <c r="K9" i="11"/>
  <c r="J9" i="11"/>
  <c r="G9" i="11"/>
  <c r="F9" i="11"/>
  <c r="E9" i="11"/>
  <c r="Z8" i="11"/>
  <c r="X8" i="11"/>
  <c r="S8" i="11"/>
  <c r="N8" i="11"/>
  <c r="I8" i="11"/>
  <c r="X7" i="11"/>
  <c r="S7" i="11"/>
  <c r="N7" i="11"/>
  <c r="F7" i="11"/>
  <c r="E7" i="11"/>
  <c r="Z7" i="11"/>
  <c r="Z6" i="11"/>
  <c r="X6" i="11"/>
  <c r="S6" i="11"/>
  <c r="N6" i="11"/>
  <c r="I6" i="11"/>
  <c r="Z5" i="11"/>
  <c r="X5" i="11"/>
  <c r="S5" i="11"/>
  <c r="N5" i="11"/>
  <c r="I5" i="11"/>
  <c r="W4" i="11"/>
  <c r="V4" i="11"/>
  <c r="U4" i="11"/>
  <c r="T4" i="11"/>
  <c r="R4" i="11"/>
  <c r="Q4" i="11"/>
  <c r="P4" i="11"/>
  <c r="O4" i="11"/>
  <c r="M4" i="11"/>
  <c r="L4" i="11"/>
  <c r="K4" i="11"/>
  <c r="J4" i="11"/>
  <c r="H4" i="11"/>
  <c r="G4" i="11"/>
  <c r="F4" i="11"/>
  <c r="E170" i="11"/>
  <c r="I174" i="11"/>
  <c r="Y123" i="11"/>
  <c r="O133" i="11"/>
  <c r="Y167" i="11"/>
  <c r="N177" i="11"/>
  <c r="I180" i="11"/>
  <c r="Y180" i="11"/>
  <c r="I184" i="11"/>
  <c r="N184" i="11"/>
  <c r="U199" i="11"/>
  <c r="N210" i="11"/>
  <c r="Z21" i="11"/>
  <c r="F60" i="11"/>
  <c r="R70" i="11"/>
  <c r="G92" i="11"/>
  <c r="S124" i="11"/>
  <c r="R163" i="11"/>
  <c r="I34" i="10"/>
  <c r="W3" i="11"/>
  <c r="E33" i="11"/>
  <c r="Z33" i="11"/>
  <c r="S33" i="11"/>
  <c r="X33" i="11"/>
  <c r="Y51" i="11"/>
  <c r="I67" i="11"/>
  <c r="Y67" i="11"/>
  <c r="F70" i="11"/>
  <c r="G78" i="11"/>
  <c r="E92" i="11"/>
  <c r="Z92" i="11"/>
  <c r="D113" i="11"/>
  <c r="I151" i="11"/>
  <c r="I154" i="11"/>
  <c r="H163" i="11"/>
  <c r="M163" i="11"/>
  <c r="Y198" i="11"/>
  <c r="Y131" i="11"/>
  <c r="D33" i="11"/>
  <c r="Z154" i="11"/>
  <c r="X154" i="11"/>
  <c r="S164" i="11"/>
  <c r="H199" i="11"/>
  <c r="S207" i="11"/>
  <c r="X207" i="11"/>
  <c r="Y208" i="11"/>
  <c r="Y211" i="11"/>
  <c r="Y215" i="11"/>
  <c r="Y219" i="11"/>
  <c r="Y223" i="11"/>
  <c r="Y227" i="11"/>
  <c r="J43" i="11"/>
  <c r="E60" i="11"/>
  <c r="Z60" i="11"/>
  <c r="N60" i="11"/>
  <c r="S60" i="11"/>
  <c r="X60" i="11"/>
  <c r="X121" i="11"/>
  <c r="Y150" i="11"/>
  <c r="Y158" i="11"/>
  <c r="F163" i="11"/>
  <c r="P163" i="11"/>
  <c r="I170" i="11"/>
  <c r="Z170" i="11"/>
  <c r="S170" i="11"/>
  <c r="X170" i="11"/>
  <c r="Y171" i="11"/>
  <c r="Y174" i="11"/>
  <c r="Y175" i="11"/>
  <c r="S187" i="11"/>
  <c r="X187" i="11"/>
  <c r="Y188" i="11"/>
  <c r="Y194" i="11"/>
  <c r="Q199" i="11"/>
  <c r="V199" i="11"/>
  <c r="Y203" i="11"/>
  <c r="D199" i="11"/>
  <c r="I10" i="10"/>
  <c r="H9" i="10"/>
  <c r="Z96" i="11"/>
  <c r="Z184" i="11"/>
  <c r="Z132" i="11"/>
  <c r="N147" i="11"/>
  <c r="I187" i="11"/>
  <c r="S4" i="11"/>
  <c r="M3" i="11"/>
  <c r="Y13" i="11"/>
  <c r="T3" i="11"/>
  <c r="Z23" i="11"/>
  <c r="X43" i="11"/>
  <c r="Z46" i="11"/>
  <c r="N47" i="11"/>
  <c r="S47" i="11"/>
  <c r="X47" i="11"/>
  <c r="D47" i="11"/>
  <c r="G71" i="11"/>
  <c r="J70" i="11"/>
  <c r="N107" i="11"/>
  <c r="S107" i="11"/>
  <c r="Y116" i="11"/>
  <c r="S120" i="11"/>
  <c r="X124" i="11"/>
  <c r="J128" i="11"/>
  <c r="N128" i="11"/>
  <c r="O128" i="11"/>
  <c r="T128" i="11"/>
  <c r="X128" i="11"/>
  <c r="I135" i="11"/>
  <c r="Y135" i="11"/>
  <c r="Y143" i="11"/>
  <c r="V113" i="11"/>
  <c r="N152" i="11"/>
  <c r="Y152" i="11"/>
  <c r="Z164" i="11"/>
  <c r="W163" i="11"/>
  <c r="Y168" i="11"/>
  <c r="Z168" i="11"/>
  <c r="Y172" i="11"/>
  <c r="Y176" i="11"/>
  <c r="T177" i="11"/>
  <c r="X177" i="11"/>
  <c r="Y178" i="11"/>
  <c r="N179" i="11"/>
  <c r="S179" i="11"/>
  <c r="Y179" i="11"/>
  <c r="E177" i="11"/>
  <c r="Y182" i="11"/>
  <c r="Y185" i="11"/>
  <c r="Y189" i="11"/>
  <c r="N195" i="11"/>
  <c r="Y204" i="11"/>
  <c r="Z207" i="11"/>
  <c r="Y209" i="11"/>
  <c r="Y216" i="11"/>
  <c r="Y224" i="11"/>
  <c r="Y228" i="11"/>
  <c r="Y109" i="11"/>
  <c r="P113" i="11"/>
  <c r="E133" i="11"/>
  <c r="Y144" i="11"/>
  <c r="F113" i="11"/>
  <c r="Y148" i="11"/>
  <c r="Y151" i="11"/>
  <c r="Y153" i="11"/>
  <c r="Z153" i="11"/>
  <c r="L113" i="11"/>
  <c r="Y156" i="11"/>
  <c r="Z160" i="11"/>
  <c r="Y161" i="11"/>
  <c r="K163" i="11"/>
  <c r="X164" i="11"/>
  <c r="Y165" i="11"/>
  <c r="N164" i="11"/>
  <c r="Y173" i="11"/>
  <c r="S177" i="11"/>
  <c r="Z179" i="11"/>
  <c r="Y183" i="11"/>
  <c r="Y186" i="11"/>
  <c r="Y190" i="11"/>
  <c r="S195" i="11"/>
  <c r="X195" i="11"/>
  <c r="Y196" i="11"/>
  <c r="N200" i="11"/>
  <c r="S200" i="11"/>
  <c r="X200" i="11"/>
  <c r="Y201" i="11"/>
  <c r="Y205" i="11"/>
  <c r="Y210" i="11"/>
  <c r="N212" i="11"/>
  <c r="S212" i="11"/>
  <c r="X212" i="11"/>
  <c r="Y213" i="11"/>
  <c r="Y217" i="11"/>
  <c r="I220" i="11"/>
  <c r="N220" i="11"/>
  <c r="S220" i="11"/>
  <c r="X220" i="11"/>
  <c r="Y221" i="11"/>
  <c r="Y225" i="11"/>
  <c r="Y19" i="11"/>
  <c r="Y18" i="11"/>
  <c r="Y8" i="11"/>
  <c r="S9" i="11"/>
  <c r="Y10" i="11"/>
  <c r="Y14" i="11"/>
  <c r="I23" i="11"/>
  <c r="Y23" i="11"/>
  <c r="Y30" i="11"/>
  <c r="N43" i="11"/>
  <c r="N54" i="11"/>
  <c r="S54" i="11"/>
  <c r="X54" i="11"/>
  <c r="Z54" i="11"/>
  <c r="X71" i="11"/>
  <c r="I94" i="11"/>
  <c r="Y94" i="11"/>
  <c r="Y5" i="11"/>
  <c r="Z9" i="11"/>
  <c r="Y15" i="11"/>
  <c r="I35" i="11"/>
  <c r="Y35" i="11"/>
  <c r="I41" i="11"/>
  <c r="Z63" i="11"/>
  <c r="I78" i="11"/>
  <c r="Z78" i="11"/>
  <c r="S92" i="11"/>
  <c r="X92" i="11"/>
  <c r="E98" i="11"/>
  <c r="E70" i="11"/>
  <c r="N98" i="11"/>
  <c r="G113" i="11"/>
  <c r="W113" i="11"/>
  <c r="Y119" i="11"/>
  <c r="I120" i="11"/>
  <c r="O121" i="11"/>
  <c r="S121" i="11"/>
  <c r="E128" i="11"/>
  <c r="I128" i="11"/>
  <c r="S128" i="11"/>
  <c r="Y128" i="11"/>
  <c r="Z131" i="11"/>
  <c r="I140" i="11"/>
  <c r="N140" i="11"/>
  <c r="S140" i="11"/>
  <c r="X140" i="11"/>
  <c r="Y141" i="11"/>
  <c r="Y145" i="11"/>
  <c r="H147" i="11"/>
  <c r="H113" i="11"/>
  <c r="T147" i="11"/>
  <c r="X147" i="11"/>
  <c r="Y149" i="11"/>
  <c r="S154" i="11"/>
  <c r="Y157" i="11"/>
  <c r="Y162" i="11"/>
  <c r="J163" i="11"/>
  <c r="G163" i="11"/>
  <c r="Q163" i="11"/>
  <c r="U163" i="11"/>
  <c r="Y166" i="11"/>
  <c r="Y191" i="11"/>
  <c r="Z195" i="11"/>
  <c r="Y197" i="11"/>
  <c r="F199" i="11"/>
  <c r="Y202" i="11"/>
  <c r="Y206" i="11"/>
  <c r="G207" i="11"/>
  <c r="G199" i="11"/>
  <c r="W199" i="11"/>
  <c r="L199" i="11"/>
  <c r="Y214" i="11"/>
  <c r="Y218" i="11"/>
  <c r="Y222" i="11"/>
  <c r="Y226" i="11"/>
  <c r="Z187" i="11"/>
  <c r="U113" i="11"/>
  <c r="I155" i="11"/>
  <c r="M113" i="11"/>
  <c r="O70" i="11"/>
  <c r="Q70" i="11"/>
  <c r="S98" i="11"/>
  <c r="X98" i="11"/>
  <c r="M70" i="11"/>
  <c r="W70" i="11"/>
  <c r="I83" i="11"/>
  <c r="X83" i="11"/>
  <c r="Z83" i="11"/>
  <c r="Y93" i="11"/>
  <c r="Y122" i="11"/>
  <c r="Y126" i="11"/>
  <c r="Y74" i="11"/>
  <c r="Y87" i="11"/>
  <c r="Y125" i="11"/>
  <c r="Y137" i="11"/>
  <c r="Y110" i="11"/>
  <c r="Y79" i="11"/>
  <c r="Y108" i="11"/>
  <c r="Y129" i="11"/>
  <c r="Y132" i="11"/>
  <c r="Y136" i="11"/>
  <c r="H70" i="11"/>
  <c r="P70" i="11"/>
  <c r="D70" i="11"/>
  <c r="Z71" i="11"/>
  <c r="T70" i="11"/>
  <c r="V70" i="11"/>
  <c r="Y34" i="11"/>
  <c r="Y39" i="11"/>
  <c r="Y62" i="11"/>
  <c r="Y6" i="11"/>
  <c r="Y12" i="11"/>
  <c r="Y24" i="11"/>
  <c r="Y59" i="11"/>
  <c r="Y69" i="11"/>
  <c r="Y72" i="11"/>
  <c r="Y36" i="11"/>
  <c r="Y63" i="11"/>
  <c r="Y25" i="11"/>
  <c r="Y41" i="11"/>
  <c r="Y42" i="11"/>
  <c r="Y45" i="11"/>
  <c r="Y53" i="11"/>
  <c r="Y66" i="11"/>
  <c r="Y20" i="11"/>
  <c r="Q3" i="11"/>
  <c r="N21" i="11"/>
  <c r="X21" i="11"/>
  <c r="Z16" i="11"/>
  <c r="S16" i="11"/>
  <c r="G3" i="11"/>
  <c r="K3" i="11"/>
  <c r="U3" i="11"/>
  <c r="N139" i="11"/>
  <c r="J133" i="11"/>
  <c r="N133" i="11"/>
  <c r="I177" i="11"/>
  <c r="Y177" i="11"/>
  <c r="I11" i="11"/>
  <c r="Y11" i="11"/>
  <c r="H9" i="11"/>
  <c r="S46" i="11"/>
  <c r="O43" i="11"/>
  <c r="S118" i="11"/>
  <c r="O114" i="11"/>
  <c r="Z124" i="11"/>
  <c r="I124" i="11"/>
  <c r="E121" i="11"/>
  <c r="T133" i="11"/>
  <c r="X133" i="11"/>
  <c r="X139" i="11"/>
  <c r="X16" i="11"/>
  <c r="I54" i="11"/>
  <c r="I16" i="11"/>
  <c r="N16" i="11"/>
  <c r="S21" i="11"/>
  <c r="Y38" i="11"/>
  <c r="S78" i="11"/>
  <c r="X78" i="11"/>
  <c r="Y81" i="11"/>
  <c r="Y88" i="11"/>
  <c r="N92" i="11"/>
  <c r="O163" i="11"/>
  <c r="F3" i="11"/>
  <c r="N4" i="11"/>
  <c r="I7" i="11"/>
  <c r="Y7" i="11"/>
  <c r="Y31" i="11"/>
  <c r="E4" i="11"/>
  <c r="R3" i="11"/>
  <c r="V3" i="11"/>
  <c r="N9" i="11"/>
  <c r="L3" i="11"/>
  <c r="P3" i="11"/>
  <c r="Y26" i="11"/>
  <c r="Y27" i="11"/>
  <c r="Y32" i="11"/>
  <c r="Y40" i="11"/>
  <c r="Y44" i="11"/>
  <c r="Y48" i="11"/>
  <c r="Y52" i="11"/>
  <c r="Y55" i="11"/>
  <c r="Y61" i="11"/>
  <c r="Y64" i="11"/>
  <c r="K70" i="11"/>
  <c r="U70" i="11"/>
  <c r="Y75" i="11"/>
  <c r="Y80" i="11"/>
  <c r="Y82" i="11"/>
  <c r="Y86" i="11"/>
  <c r="Y90" i="11"/>
  <c r="Y97" i="11"/>
  <c r="Y99" i="11"/>
  <c r="Z120" i="11"/>
  <c r="Y130" i="11"/>
  <c r="I133" i="11"/>
  <c r="S133" i="11"/>
  <c r="Y134" i="11"/>
  <c r="E47" i="11"/>
  <c r="I49" i="11"/>
  <c r="Y49" i="11"/>
  <c r="Z49" i="11"/>
  <c r="Z118" i="11"/>
  <c r="I118" i="11"/>
  <c r="X4" i="11"/>
  <c r="Y29" i="11"/>
  <c r="N33" i="11"/>
  <c r="Y50" i="11"/>
  <c r="I60" i="11"/>
  <c r="S71" i="11"/>
  <c r="Y84" i="11"/>
  <c r="X107" i="11"/>
  <c r="N124" i="11"/>
  <c r="X9" i="11"/>
  <c r="Y17" i="11"/>
  <c r="I21" i="11"/>
  <c r="Y37" i="11"/>
  <c r="Y56" i="11"/>
  <c r="Y65" i="11"/>
  <c r="Y68" i="11"/>
  <c r="Y73" i="11"/>
  <c r="Y77" i="11"/>
  <c r="S83" i="11"/>
  <c r="I107" i="11"/>
  <c r="Y112" i="11"/>
  <c r="E114" i="11"/>
  <c r="K113" i="11"/>
  <c r="Q113" i="11"/>
  <c r="Y117" i="11"/>
  <c r="N121" i="11"/>
  <c r="Y127" i="11"/>
  <c r="Z139" i="11"/>
  <c r="I71" i="11"/>
  <c r="N78" i="11"/>
  <c r="N83" i="11"/>
  <c r="I92" i="11"/>
  <c r="Z104" i="11"/>
  <c r="N154" i="11"/>
  <c r="O155" i="11"/>
  <c r="S155" i="11"/>
  <c r="I164" i="11"/>
  <c r="Z181" i="11"/>
  <c r="S184" i="11"/>
  <c r="I200" i="11"/>
  <c r="N207" i="11"/>
  <c r="I212" i="11"/>
  <c r="J3" i="11"/>
  <c r="E43" i="11"/>
  <c r="I46" i="11"/>
  <c r="Z57" i="11"/>
  <c r="L71" i="11"/>
  <c r="L70" i="11"/>
  <c r="Z94" i="11"/>
  <c r="J114" i="11"/>
  <c r="R114" i="11"/>
  <c r="R113" i="11"/>
  <c r="Z140" i="11"/>
  <c r="O147" i="11"/>
  <c r="S147" i="11"/>
  <c r="J155" i="11"/>
  <c r="N155" i="11"/>
  <c r="I160" i="11"/>
  <c r="Y160" i="11"/>
  <c r="I181" i="11"/>
  <c r="Y181" i="11"/>
  <c r="N187" i="11"/>
  <c r="O199" i="11"/>
  <c r="J199" i="11"/>
  <c r="Z220" i="11"/>
  <c r="Z199" i="11"/>
  <c r="N170" i="11"/>
  <c r="T114" i="11"/>
  <c r="I139" i="11"/>
  <c r="E147" i="11"/>
  <c r="T155" i="11"/>
  <c r="X155" i="11"/>
  <c r="E163" i="11"/>
  <c r="I195" i="11"/>
  <c r="E199" i="11"/>
  <c r="Y133" i="11"/>
  <c r="I33" i="11"/>
  <c r="G70" i="11"/>
  <c r="D230" i="11"/>
  <c r="I98" i="11"/>
  <c r="X199" i="11"/>
  <c r="Y154" i="11"/>
  <c r="Z98" i="11"/>
  <c r="Z70" i="11"/>
  <c r="X163" i="11"/>
  <c r="Z133" i="11"/>
  <c r="S163" i="11"/>
  <c r="Y78" i="11"/>
  <c r="Y195" i="11"/>
  <c r="Y139" i="11"/>
  <c r="Y212" i="11"/>
  <c r="Y60" i="11"/>
  <c r="Y140" i="11"/>
  <c r="Y120" i="11"/>
  <c r="Y220" i="11"/>
  <c r="S199" i="11"/>
  <c r="Z177" i="11"/>
  <c r="Y184" i="11"/>
  <c r="Y54" i="11"/>
  <c r="Y46" i="11"/>
  <c r="N163" i="11"/>
  <c r="Y187" i="11"/>
  <c r="Z128" i="11"/>
  <c r="Y124" i="11"/>
  <c r="T163" i="11"/>
  <c r="I207" i="11"/>
  <c r="Y207" i="11"/>
  <c r="Z163" i="11"/>
  <c r="Y155" i="11"/>
  <c r="Y107" i="11"/>
  <c r="Y105" i="11"/>
  <c r="Y102" i="11"/>
  <c r="Y104" i="11"/>
  <c r="Y106" i="11"/>
  <c r="Y103" i="11"/>
  <c r="Y101" i="11"/>
  <c r="Y98" i="11"/>
  <c r="X70" i="11"/>
  <c r="Y83" i="11"/>
  <c r="Y118" i="11"/>
  <c r="Y21" i="11"/>
  <c r="Y16" i="11"/>
  <c r="I43" i="11"/>
  <c r="Z43" i="11"/>
  <c r="I199" i="11"/>
  <c r="Y200" i="11"/>
  <c r="Z114" i="11"/>
  <c r="E113" i="11"/>
  <c r="I114" i="11"/>
  <c r="I47" i="11"/>
  <c r="Y47" i="11"/>
  <c r="Z47" i="11"/>
  <c r="S43" i="11"/>
  <c r="S3" i="11"/>
  <c r="O3" i="11"/>
  <c r="N114" i="11"/>
  <c r="N113" i="11"/>
  <c r="J113" i="11"/>
  <c r="X3" i="11"/>
  <c r="Z121" i="11"/>
  <c r="I121" i="11"/>
  <c r="Y121" i="11"/>
  <c r="I70" i="11"/>
  <c r="O113" i="11"/>
  <c r="S113" i="11"/>
  <c r="S114" i="11"/>
  <c r="H3" i="11"/>
  <c r="I9" i="11"/>
  <c r="Y9" i="11"/>
  <c r="Y92" i="11"/>
  <c r="Z155" i="11"/>
  <c r="S70" i="11"/>
  <c r="Y33" i="11"/>
  <c r="N3" i="11"/>
  <c r="I147" i="11"/>
  <c r="Y147" i="11"/>
  <c r="Z147" i="11"/>
  <c r="I163" i="11"/>
  <c r="Y164" i="11"/>
  <c r="X114" i="11"/>
  <c r="T113" i="11"/>
  <c r="X113" i="11"/>
  <c r="Z4" i="11"/>
  <c r="I4" i="11"/>
  <c r="E3" i="11"/>
  <c r="N199" i="11"/>
  <c r="Y170" i="11"/>
  <c r="N71" i="11"/>
  <c r="N70" i="11"/>
  <c r="Y43" i="11"/>
  <c r="Y199" i="11"/>
  <c r="Y163" i="11"/>
  <c r="I3" i="11"/>
  <c r="I113" i="11"/>
  <c r="Y113" i="11"/>
  <c r="Y114" i="11"/>
  <c r="Z113" i="11"/>
  <c r="Z3" i="11"/>
  <c r="Y71" i="11"/>
  <c r="Y70" i="11"/>
  <c r="Y4" i="11"/>
  <c r="Y3" i="11"/>
  <c r="Z145" i="8"/>
  <c r="AA15" i="10"/>
  <c r="U15" i="10"/>
  <c r="O15" i="10"/>
  <c r="E15" i="10"/>
  <c r="I15" i="10"/>
  <c r="AC15" i="10"/>
  <c r="E9" i="10"/>
  <c r="I188" i="10"/>
  <c r="O188" i="10"/>
  <c r="U188" i="10"/>
  <c r="AA188" i="10"/>
  <c r="I187" i="10"/>
  <c r="O187" i="10"/>
  <c r="U187" i="10"/>
  <c r="AA187" i="10"/>
  <c r="I186" i="10"/>
  <c r="O186" i="10"/>
  <c r="U186" i="10"/>
  <c r="AA186" i="10"/>
  <c r="I185" i="10"/>
  <c r="O185" i="10"/>
  <c r="U185" i="10"/>
  <c r="AA185" i="10"/>
  <c r="I184" i="10"/>
  <c r="O184" i="10"/>
  <c r="U184" i="10"/>
  <c r="AA184" i="10"/>
  <c r="I183" i="10"/>
  <c r="O183" i="10"/>
  <c r="U183" i="10"/>
  <c r="AA183" i="10"/>
  <c r="I182" i="10"/>
  <c r="O182" i="10"/>
  <c r="U182" i="10"/>
  <c r="AA182" i="10"/>
  <c r="I166" i="10"/>
  <c r="O166" i="10"/>
  <c r="U166" i="10"/>
  <c r="AA166" i="10"/>
  <c r="I165" i="10"/>
  <c r="O165" i="10"/>
  <c r="U165" i="10"/>
  <c r="AA165" i="10"/>
  <c r="D164" i="10"/>
  <c r="J164" i="10"/>
  <c r="P164" i="10"/>
  <c r="V164" i="10"/>
  <c r="E164" i="10"/>
  <c r="F164" i="10"/>
  <c r="H164" i="10"/>
  <c r="K164" i="10"/>
  <c r="L164" i="10"/>
  <c r="Q164" i="10"/>
  <c r="R164" i="10"/>
  <c r="T164" i="10"/>
  <c r="W164" i="10"/>
  <c r="X164" i="10"/>
  <c r="Z164" i="10"/>
  <c r="Q161" i="10"/>
  <c r="K161" i="10"/>
  <c r="D161" i="10"/>
  <c r="J161" i="10"/>
  <c r="P161" i="10"/>
  <c r="V161" i="10"/>
  <c r="F161" i="10"/>
  <c r="H161" i="10"/>
  <c r="L161" i="10"/>
  <c r="N161" i="10"/>
  <c r="R161" i="10"/>
  <c r="T161" i="10"/>
  <c r="W161" i="10"/>
  <c r="X161" i="10"/>
  <c r="Z161" i="10"/>
  <c r="I160" i="10"/>
  <c r="O160" i="10"/>
  <c r="U160" i="10"/>
  <c r="AA160" i="10"/>
  <c r="D159" i="10"/>
  <c r="J159" i="10"/>
  <c r="P159" i="10"/>
  <c r="V159" i="10"/>
  <c r="E159" i="10"/>
  <c r="F159" i="10"/>
  <c r="H159" i="10"/>
  <c r="K159" i="10"/>
  <c r="L159" i="10"/>
  <c r="N159" i="10"/>
  <c r="Q159" i="10"/>
  <c r="R159" i="10"/>
  <c r="T159" i="10"/>
  <c r="I158" i="10"/>
  <c r="O158" i="10"/>
  <c r="U158" i="10"/>
  <c r="AA158" i="10"/>
  <c r="D157" i="10"/>
  <c r="AB157" i="10"/>
  <c r="O157" i="10"/>
  <c r="U157" i="10"/>
  <c r="AA157" i="10"/>
  <c r="I156" i="10"/>
  <c r="O156" i="10"/>
  <c r="U156" i="10"/>
  <c r="AA156" i="10"/>
  <c r="J155" i="10"/>
  <c r="P155" i="10"/>
  <c r="V155" i="10"/>
  <c r="E155" i="10"/>
  <c r="F155" i="10"/>
  <c r="H155" i="10"/>
  <c r="K155" i="10"/>
  <c r="L155" i="10"/>
  <c r="N155" i="10"/>
  <c r="Q155" i="10"/>
  <c r="R155" i="10"/>
  <c r="T155" i="10"/>
  <c r="W155" i="10"/>
  <c r="X155" i="10"/>
  <c r="Z155" i="10"/>
  <c r="O145" i="10"/>
  <c r="AC145" i="10"/>
  <c r="I142" i="10"/>
  <c r="O142" i="10"/>
  <c r="U142" i="10"/>
  <c r="AA142" i="10"/>
  <c r="I141" i="10"/>
  <c r="O141" i="10"/>
  <c r="U141" i="10"/>
  <c r="AA141" i="10"/>
  <c r="I140" i="10"/>
  <c r="O140" i="10"/>
  <c r="U140" i="10"/>
  <c r="AA140" i="10"/>
  <c r="I139" i="10"/>
  <c r="O139" i="10"/>
  <c r="U139" i="10"/>
  <c r="AA139" i="10"/>
  <c r="D138" i="10"/>
  <c r="J138" i="10"/>
  <c r="P138" i="10"/>
  <c r="V138" i="10"/>
  <c r="E138" i="10"/>
  <c r="F138" i="10"/>
  <c r="H138" i="10"/>
  <c r="K138" i="10"/>
  <c r="L138" i="10"/>
  <c r="N138" i="10"/>
  <c r="Q138" i="10"/>
  <c r="R138" i="10"/>
  <c r="T138" i="10"/>
  <c r="W138" i="10"/>
  <c r="X138" i="10"/>
  <c r="Z138" i="10"/>
  <c r="J131" i="10"/>
  <c r="P131" i="10"/>
  <c r="V131" i="10"/>
  <c r="E131" i="10"/>
  <c r="F131" i="10"/>
  <c r="H131" i="10"/>
  <c r="K131" i="10"/>
  <c r="L131" i="10"/>
  <c r="N131" i="10"/>
  <c r="Q131" i="10"/>
  <c r="R131" i="10"/>
  <c r="T131" i="10"/>
  <c r="W131" i="10"/>
  <c r="X131" i="10"/>
  <c r="Z131" i="10"/>
  <c r="I130" i="10"/>
  <c r="O130" i="10"/>
  <c r="U130" i="10"/>
  <c r="AA130" i="10"/>
  <c r="I129" i="10"/>
  <c r="O129" i="10"/>
  <c r="U129" i="10"/>
  <c r="AA129" i="10"/>
  <c r="I128" i="10"/>
  <c r="O128" i="10"/>
  <c r="U128" i="10"/>
  <c r="AA128" i="10"/>
  <c r="D127" i="10"/>
  <c r="J127" i="10"/>
  <c r="P127" i="10"/>
  <c r="V127" i="10"/>
  <c r="E127" i="10"/>
  <c r="F127" i="10"/>
  <c r="H127" i="10"/>
  <c r="K127" i="10"/>
  <c r="L127" i="10"/>
  <c r="N127" i="10"/>
  <c r="Q127" i="10"/>
  <c r="R127" i="10"/>
  <c r="T127" i="10"/>
  <c r="W127" i="10"/>
  <c r="X127" i="10"/>
  <c r="Z127" i="10"/>
  <c r="J126" i="10"/>
  <c r="P126" i="10"/>
  <c r="V126" i="10"/>
  <c r="I126" i="10"/>
  <c r="U125" i="10"/>
  <c r="O125" i="10"/>
  <c r="I125" i="10"/>
  <c r="I124" i="10"/>
  <c r="O124" i="10"/>
  <c r="U124" i="10"/>
  <c r="AA124" i="10"/>
  <c r="I123" i="10"/>
  <c r="O123" i="10"/>
  <c r="U123" i="10"/>
  <c r="AA123" i="10"/>
  <c r="D122" i="10"/>
  <c r="AB122" i="10"/>
  <c r="O122" i="10"/>
  <c r="U122" i="10"/>
  <c r="AA122" i="10"/>
  <c r="E121" i="10"/>
  <c r="F121" i="10"/>
  <c r="H121" i="10"/>
  <c r="K121" i="10"/>
  <c r="L121" i="10"/>
  <c r="N121" i="10"/>
  <c r="Q121" i="10"/>
  <c r="R121" i="10"/>
  <c r="T121" i="10"/>
  <c r="W121" i="10"/>
  <c r="X121" i="10"/>
  <c r="Z121" i="10"/>
  <c r="D118" i="10"/>
  <c r="J118" i="10"/>
  <c r="P118" i="10"/>
  <c r="V118" i="10"/>
  <c r="E118" i="10"/>
  <c r="F118" i="10"/>
  <c r="H118" i="10"/>
  <c r="K118" i="10"/>
  <c r="L118" i="10"/>
  <c r="N118" i="10"/>
  <c r="Q118" i="10"/>
  <c r="R118" i="10"/>
  <c r="T118" i="10"/>
  <c r="W118" i="10"/>
  <c r="X118" i="10"/>
  <c r="Z118" i="10"/>
  <c r="I117" i="10"/>
  <c r="O117" i="10"/>
  <c r="U117" i="10"/>
  <c r="AA117" i="10"/>
  <c r="I116" i="10"/>
  <c r="O116" i="10"/>
  <c r="U116" i="10"/>
  <c r="AA116" i="10"/>
  <c r="AA115" i="10"/>
  <c r="AC115" i="10"/>
  <c r="I114" i="10"/>
  <c r="O114" i="10"/>
  <c r="U114" i="10"/>
  <c r="AA114" i="10"/>
  <c r="I113" i="10"/>
  <c r="O113" i="10"/>
  <c r="U113" i="10"/>
  <c r="AA113" i="10"/>
  <c r="D112" i="10"/>
  <c r="J112" i="10"/>
  <c r="P112" i="10"/>
  <c r="V112" i="10"/>
  <c r="E112" i="10"/>
  <c r="F112" i="10"/>
  <c r="H112" i="10"/>
  <c r="K112" i="10"/>
  <c r="L112" i="10"/>
  <c r="N112" i="10"/>
  <c r="Q112" i="10"/>
  <c r="R112" i="10"/>
  <c r="T112" i="10"/>
  <c r="W112" i="10"/>
  <c r="X112" i="10"/>
  <c r="Z112" i="10"/>
  <c r="D111" i="10"/>
  <c r="J111" i="10"/>
  <c r="U111" i="10"/>
  <c r="AA111" i="10"/>
  <c r="I110" i="10"/>
  <c r="O110" i="10"/>
  <c r="U110" i="10"/>
  <c r="AA110" i="10"/>
  <c r="D109" i="10"/>
  <c r="J109" i="10"/>
  <c r="J106" i="10"/>
  <c r="P109" i="10"/>
  <c r="V109" i="10"/>
  <c r="I108" i="10"/>
  <c r="O108" i="10"/>
  <c r="U108" i="10"/>
  <c r="AA108" i="10"/>
  <c r="O107" i="10"/>
  <c r="U107" i="10"/>
  <c r="AA107" i="10"/>
  <c r="I104" i="10"/>
  <c r="O104" i="10"/>
  <c r="U104" i="10"/>
  <c r="AA104" i="10"/>
  <c r="I103" i="10"/>
  <c r="O103" i="10"/>
  <c r="U103" i="10"/>
  <c r="AA103" i="10"/>
  <c r="I102" i="10"/>
  <c r="O102" i="10"/>
  <c r="U102" i="10"/>
  <c r="AA102" i="10"/>
  <c r="I101" i="10"/>
  <c r="O101" i="10"/>
  <c r="U101" i="10"/>
  <c r="AA101" i="10"/>
  <c r="D100" i="10"/>
  <c r="J100" i="10"/>
  <c r="P100" i="10"/>
  <c r="V100" i="10"/>
  <c r="E100" i="10"/>
  <c r="F100" i="10"/>
  <c r="H100" i="10"/>
  <c r="K100" i="10"/>
  <c r="L100" i="10"/>
  <c r="N100" i="10"/>
  <c r="Q100" i="10"/>
  <c r="R100" i="10"/>
  <c r="T100" i="10"/>
  <c r="W100" i="10"/>
  <c r="X100" i="10"/>
  <c r="Z100" i="10"/>
  <c r="I98" i="10"/>
  <c r="O98" i="10"/>
  <c r="U98" i="10"/>
  <c r="AA98" i="10"/>
  <c r="I96" i="10"/>
  <c r="O96" i="10"/>
  <c r="U96" i="10"/>
  <c r="AA96" i="10"/>
  <c r="D95" i="10"/>
  <c r="O95" i="10"/>
  <c r="U95" i="10"/>
  <c r="AA95" i="10"/>
  <c r="I94" i="10"/>
  <c r="O94" i="10"/>
  <c r="U94" i="10"/>
  <c r="AA94" i="10"/>
  <c r="I93" i="10"/>
  <c r="O93" i="10"/>
  <c r="U93" i="10"/>
  <c r="AA93" i="10"/>
  <c r="I92" i="10"/>
  <c r="O92" i="10"/>
  <c r="O90" i="10"/>
  <c r="U92" i="10"/>
  <c r="U90" i="10"/>
  <c r="AA92" i="10"/>
  <c r="AA90" i="10"/>
  <c r="AA89" i="10"/>
  <c r="AC89" i="10"/>
  <c r="AA88" i="10"/>
  <c r="AC88" i="10"/>
  <c r="AA87" i="10"/>
  <c r="AC87" i="10"/>
  <c r="AA86" i="10"/>
  <c r="AC86" i="10"/>
  <c r="J85" i="10"/>
  <c r="P85" i="10"/>
  <c r="V85" i="10"/>
  <c r="E85" i="10"/>
  <c r="F85" i="10"/>
  <c r="H85" i="10"/>
  <c r="K85" i="10"/>
  <c r="L85" i="10"/>
  <c r="N85" i="10"/>
  <c r="Q85" i="10"/>
  <c r="R85" i="10"/>
  <c r="T85" i="10"/>
  <c r="W85" i="10"/>
  <c r="X85" i="10"/>
  <c r="Z85" i="10"/>
  <c r="I84" i="10"/>
  <c r="O84" i="10"/>
  <c r="U84" i="10"/>
  <c r="AA84" i="10"/>
  <c r="I83" i="10"/>
  <c r="O83" i="10"/>
  <c r="U83" i="10"/>
  <c r="AA83" i="10"/>
  <c r="I82" i="10"/>
  <c r="O82" i="10"/>
  <c r="U82" i="10"/>
  <c r="AA82" i="10"/>
  <c r="I81" i="10"/>
  <c r="O81" i="10"/>
  <c r="U81" i="10"/>
  <c r="AA81" i="10"/>
  <c r="I80" i="10"/>
  <c r="O80" i="10"/>
  <c r="U80" i="10"/>
  <c r="AA80" i="10"/>
  <c r="I65" i="10"/>
  <c r="O65" i="10"/>
  <c r="U65" i="10"/>
  <c r="AA65" i="10"/>
  <c r="I64" i="10"/>
  <c r="O64" i="10"/>
  <c r="U64" i="10"/>
  <c r="AA64" i="10"/>
  <c r="I63" i="10"/>
  <c r="I62" i="10"/>
  <c r="O63" i="10"/>
  <c r="O62" i="10"/>
  <c r="U63" i="10"/>
  <c r="U62" i="10"/>
  <c r="AA63" i="10"/>
  <c r="AA62" i="10"/>
  <c r="I60" i="10"/>
  <c r="O60" i="10"/>
  <c r="U60" i="10"/>
  <c r="AA60" i="10"/>
  <c r="I59" i="10"/>
  <c r="O59" i="10"/>
  <c r="U59" i="10"/>
  <c r="AA59" i="10"/>
  <c r="O57" i="10"/>
  <c r="U57" i="10"/>
  <c r="AA57" i="10"/>
  <c r="I56" i="10"/>
  <c r="O56" i="10"/>
  <c r="U56" i="10"/>
  <c r="AA56" i="10"/>
  <c r="I54" i="10"/>
  <c r="O54" i="10"/>
  <c r="U54" i="10"/>
  <c r="AA54" i="10"/>
  <c r="D51" i="10"/>
  <c r="AB51" i="10"/>
  <c r="E51" i="10"/>
  <c r="O51" i="10"/>
  <c r="U51" i="10"/>
  <c r="AA51" i="10"/>
  <c r="I50" i="10"/>
  <c r="O50" i="10"/>
  <c r="U50" i="10"/>
  <c r="AA50" i="10"/>
  <c r="J49" i="10"/>
  <c r="P49" i="10"/>
  <c r="V49" i="10"/>
  <c r="F49" i="10"/>
  <c r="H49" i="10"/>
  <c r="K49" i="10"/>
  <c r="L49" i="10"/>
  <c r="N49" i="10"/>
  <c r="Q49" i="10"/>
  <c r="R49" i="10"/>
  <c r="T49" i="10"/>
  <c r="W49" i="10"/>
  <c r="X49" i="10"/>
  <c r="Z49" i="10"/>
  <c r="AA48" i="10"/>
  <c r="AC48" i="10"/>
  <c r="AA47" i="10"/>
  <c r="AC47" i="10"/>
  <c r="I46" i="10"/>
  <c r="O46" i="10"/>
  <c r="U46" i="10"/>
  <c r="AA46" i="10"/>
  <c r="D45" i="10"/>
  <c r="AB45" i="10"/>
  <c r="O45" i="10"/>
  <c r="U45" i="10"/>
  <c r="AA45" i="10"/>
  <c r="J44" i="10"/>
  <c r="P44" i="10"/>
  <c r="V44" i="10"/>
  <c r="E44" i="10"/>
  <c r="F44" i="10"/>
  <c r="H44" i="10"/>
  <c r="K44" i="10"/>
  <c r="L44" i="10"/>
  <c r="N44" i="10"/>
  <c r="Q44" i="10"/>
  <c r="R44" i="10"/>
  <c r="T44" i="10"/>
  <c r="W44" i="10"/>
  <c r="X44" i="10"/>
  <c r="Z44" i="10"/>
  <c r="D43" i="10"/>
  <c r="J43" i="10"/>
  <c r="P43" i="10"/>
  <c r="V43" i="10"/>
  <c r="V41" i="10"/>
  <c r="E43" i="10"/>
  <c r="I42" i="10"/>
  <c r="O42" i="10"/>
  <c r="U42" i="10"/>
  <c r="AA42" i="10"/>
  <c r="K41" i="10"/>
  <c r="L41" i="10"/>
  <c r="N41" i="10"/>
  <c r="Q41" i="10"/>
  <c r="R41" i="10"/>
  <c r="T41" i="10"/>
  <c r="W41" i="10"/>
  <c r="X41" i="10"/>
  <c r="Z41" i="10"/>
  <c r="I40" i="10"/>
  <c r="O40" i="10"/>
  <c r="U40" i="10"/>
  <c r="AA40" i="10"/>
  <c r="D39" i="10"/>
  <c r="AB39" i="10"/>
  <c r="O39" i="10"/>
  <c r="U39" i="10"/>
  <c r="AA39" i="10"/>
  <c r="I38" i="10"/>
  <c r="O38" i="10"/>
  <c r="U38" i="10"/>
  <c r="AA38" i="10"/>
  <c r="I37" i="10"/>
  <c r="O37" i="10"/>
  <c r="U37" i="10"/>
  <c r="AA37" i="10"/>
  <c r="D36" i="10"/>
  <c r="AB36" i="10"/>
  <c r="O36" i="10"/>
  <c r="U36" i="10"/>
  <c r="AA36" i="10"/>
  <c r="J35" i="10"/>
  <c r="P35" i="10"/>
  <c r="V35" i="10"/>
  <c r="E35" i="10"/>
  <c r="F35" i="10"/>
  <c r="H35" i="10"/>
  <c r="K35" i="10"/>
  <c r="L35" i="10"/>
  <c r="N35" i="10"/>
  <c r="Q35" i="10"/>
  <c r="R35" i="10"/>
  <c r="T35" i="10"/>
  <c r="W35" i="10"/>
  <c r="X35" i="10"/>
  <c r="Z35" i="10"/>
  <c r="AA34" i="10"/>
  <c r="AC34" i="10"/>
  <c r="O33" i="10"/>
  <c r="U33" i="10"/>
  <c r="AA33" i="10"/>
  <c r="I32" i="10"/>
  <c r="O32" i="10"/>
  <c r="U32" i="10"/>
  <c r="AA32" i="10"/>
  <c r="I31" i="10"/>
  <c r="O31" i="10"/>
  <c r="U31" i="10"/>
  <c r="AA31" i="10"/>
  <c r="I30" i="10"/>
  <c r="O30" i="10"/>
  <c r="U30" i="10"/>
  <c r="AA30" i="10"/>
  <c r="I29" i="10"/>
  <c r="O29" i="10"/>
  <c r="U29" i="10"/>
  <c r="AA29" i="10"/>
  <c r="I28" i="10"/>
  <c r="O28" i="10"/>
  <c r="U28" i="10"/>
  <c r="AA28" i="10"/>
  <c r="I27" i="10"/>
  <c r="O27" i="10"/>
  <c r="U27" i="10"/>
  <c r="AA27" i="10"/>
  <c r="I26" i="10"/>
  <c r="O26" i="10"/>
  <c r="U26" i="10"/>
  <c r="AA26" i="10"/>
  <c r="D25" i="10"/>
  <c r="J25" i="10"/>
  <c r="P25" i="10"/>
  <c r="V25" i="10"/>
  <c r="E25" i="10"/>
  <c r="F25" i="10"/>
  <c r="H25" i="10"/>
  <c r="K25" i="10"/>
  <c r="L25" i="10"/>
  <c r="N25" i="10"/>
  <c r="Q25" i="10"/>
  <c r="R25" i="10"/>
  <c r="T25" i="10"/>
  <c r="W25" i="10"/>
  <c r="X25" i="10"/>
  <c r="Z25" i="10"/>
  <c r="I18" i="10"/>
  <c r="I16" i="10"/>
  <c r="O18" i="10"/>
  <c r="O16" i="10"/>
  <c r="U18" i="10"/>
  <c r="U16" i="10"/>
  <c r="AA18" i="10"/>
  <c r="AA16" i="10"/>
  <c r="I14" i="10"/>
  <c r="O14" i="10"/>
  <c r="U14" i="10"/>
  <c r="AA14" i="10"/>
  <c r="I13" i="10"/>
  <c r="O13" i="10"/>
  <c r="U13" i="10"/>
  <c r="AA13" i="10"/>
  <c r="I12" i="10"/>
  <c r="O12" i="10"/>
  <c r="U12" i="10"/>
  <c r="AA12" i="10"/>
  <c r="AA10" i="10"/>
  <c r="AC10" i="10"/>
  <c r="I8" i="10"/>
  <c r="O8" i="10"/>
  <c r="U8" i="10"/>
  <c r="AA8" i="10"/>
  <c r="D7" i="10"/>
  <c r="AB7" i="10"/>
  <c r="E7" i="10"/>
  <c r="O7" i="10"/>
  <c r="U7" i="10"/>
  <c r="AA7" i="10"/>
  <c r="I6" i="10"/>
  <c r="O6" i="10"/>
  <c r="U6" i="10"/>
  <c r="AA6" i="10"/>
  <c r="J5" i="10"/>
  <c r="P5" i="10"/>
  <c r="V5" i="10"/>
  <c r="W5" i="10"/>
  <c r="X5" i="10"/>
  <c r="Z5" i="10"/>
  <c r="Q5" i="10"/>
  <c r="R5" i="10"/>
  <c r="T5" i="10"/>
  <c r="K5" i="10"/>
  <c r="L5" i="10"/>
  <c r="N5" i="10"/>
  <c r="F5" i="10"/>
  <c r="H5" i="10"/>
  <c r="N133" i="8"/>
  <c r="K133" i="8"/>
  <c r="AA165" i="8"/>
  <c r="AA166" i="8"/>
  <c r="J166" i="8"/>
  <c r="O166" i="8"/>
  <c r="T166" i="8"/>
  <c r="Y166" i="8"/>
  <c r="J165" i="8"/>
  <c r="O165" i="8"/>
  <c r="T165" i="8"/>
  <c r="Y165" i="8"/>
  <c r="Y136" i="8"/>
  <c r="J136" i="8"/>
  <c r="O136" i="8"/>
  <c r="T136" i="8"/>
  <c r="AA136" i="8"/>
  <c r="O132" i="8"/>
  <c r="T118" i="8"/>
  <c r="AA118" i="8"/>
  <c r="O118" i="8"/>
  <c r="K103" i="8"/>
  <c r="F103" i="8"/>
  <c r="Y64" i="8"/>
  <c r="Y65" i="8"/>
  <c r="Y66" i="8"/>
  <c r="Y63" i="8"/>
  <c r="T64" i="8"/>
  <c r="T65" i="8"/>
  <c r="T66" i="8"/>
  <c r="T63" i="8"/>
  <c r="P62" i="8"/>
  <c r="Q62" i="8"/>
  <c r="R62" i="8"/>
  <c r="S62" i="8"/>
  <c r="T62" i="8"/>
  <c r="O64" i="8"/>
  <c r="O65" i="8"/>
  <c r="J65" i="8"/>
  <c r="Z65" i="8"/>
  <c r="O66" i="8"/>
  <c r="O63" i="8"/>
  <c r="K62" i="8"/>
  <c r="L62" i="8"/>
  <c r="M62" i="8"/>
  <c r="N62" i="8"/>
  <c r="O62" i="8"/>
  <c r="G62" i="8"/>
  <c r="H62" i="8"/>
  <c r="F62" i="8"/>
  <c r="I62" i="8"/>
  <c r="J62" i="8"/>
  <c r="J63" i="8"/>
  <c r="J64" i="8"/>
  <c r="Z64" i="8"/>
  <c r="J66" i="8"/>
  <c r="F67" i="8"/>
  <c r="G67" i="8"/>
  <c r="H67" i="8"/>
  <c r="I67" i="8"/>
  <c r="K67" i="8"/>
  <c r="L67" i="8"/>
  <c r="M67" i="8"/>
  <c r="N67" i="8"/>
  <c r="P67" i="8"/>
  <c r="Q67" i="8"/>
  <c r="R67" i="8"/>
  <c r="S67" i="8"/>
  <c r="T67" i="8"/>
  <c r="U67" i="8"/>
  <c r="V67" i="8"/>
  <c r="W67" i="8"/>
  <c r="X67" i="8"/>
  <c r="Y67" i="8"/>
  <c r="U62" i="8"/>
  <c r="J85" i="8"/>
  <c r="J86" i="8"/>
  <c r="J87" i="8"/>
  <c r="J88" i="8"/>
  <c r="F89" i="8"/>
  <c r="J89" i="8"/>
  <c r="J90" i="8"/>
  <c r="J91" i="8"/>
  <c r="O85" i="8"/>
  <c r="O86" i="8"/>
  <c r="O87" i="8"/>
  <c r="O88" i="8"/>
  <c r="O89" i="8"/>
  <c r="O90" i="8"/>
  <c r="O91" i="8"/>
  <c r="T85" i="8"/>
  <c r="T86" i="8"/>
  <c r="Y86" i="8"/>
  <c r="Z86" i="8"/>
  <c r="T87" i="8"/>
  <c r="T88" i="8"/>
  <c r="T89" i="8"/>
  <c r="T90" i="8"/>
  <c r="T91" i="8"/>
  <c r="Y87" i="8"/>
  <c r="Y88" i="8"/>
  <c r="Y89" i="8"/>
  <c r="Y90" i="8"/>
  <c r="Y91" i="8"/>
  <c r="Y85" i="8"/>
  <c r="F80" i="8"/>
  <c r="AA80" i="8"/>
  <c r="U119" i="8"/>
  <c r="P119" i="8"/>
  <c r="P114" i="8"/>
  <c r="K119" i="8"/>
  <c r="F30" i="8"/>
  <c r="J19" i="8"/>
  <c r="O19" i="8"/>
  <c r="T19" i="8"/>
  <c r="Y19" i="8"/>
  <c r="U4" i="8"/>
  <c r="V4" i="8"/>
  <c r="W4" i="8"/>
  <c r="X4" i="8"/>
  <c r="Q4" i="8"/>
  <c r="P4" i="8"/>
  <c r="K4" i="8"/>
  <c r="L4" i="8"/>
  <c r="M4" i="8"/>
  <c r="N4" i="8"/>
  <c r="Y7" i="8"/>
  <c r="T7" i="8"/>
  <c r="O7" i="8"/>
  <c r="J7" i="8"/>
  <c r="Y6" i="8"/>
  <c r="T6" i="8"/>
  <c r="O6" i="8"/>
  <c r="F6" i="8"/>
  <c r="G6" i="8"/>
  <c r="J6" i="8"/>
  <c r="Z6" i="8"/>
  <c r="Y5" i="8"/>
  <c r="T5" i="8"/>
  <c r="O5" i="8"/>
  <c r="J5" i="8"/>
  <c r="O9" i="8"/>
  <c r="O10" i="8"/>
  <c r="O11" i="8"/>
  <c r="O12" i="8"/>
  <c r="O13" i="8"/>
  <c r="T9" i="8"/>
  <c r="T10" i="8"/>
  <c r="T11" i="8"/>
  <c r="T12" i="8"/>
  <c r="T13" i="8"/>
  <c r="Y9" i="8"/>
  <c r="Y10" i="8"/>
  <c r="Y11" i="8"/>
  <c r="Y12" i="8"/>
  <c r="Y13" i="8"/>
  <c r="J13" i="8"/>
  <c r="Z13" i="8"/>
  <c r="F133" i="8"/>
  <c r="G133" i="8"/>
  <c r="H133" i="8"/>
  <c r="I133" i="8"/>
  <c r="AA196" i="8"/>
  <c r="J196" i="8"/>
  <c r="O196" i="8"/>
  <c r="T196" i="8"/>
  <c r="Y196" i="8"/>
  <c r="AA195" i="8"/>
  <c r="J195" i="8"/>
  <c r="O195" i="8"/>
  <c r="T195" i="8"/>
  <c r="Y195" i="8"/>
  <c r="AA194" i="8"/>
  <c r="J194" i="8"/>
  <c r="O194" i="8"/>
  <c r="T194" i="8"/>
  <c r="Y194" i="8"/>
  <c r="AA193" i="8"/>
  <c r="J193" i="8"/>
  <c r="O193" i="8"/>
  <c r="T193" i="8"/>
  <c r="Y193" i="8"/>
  <c r="AA192" i="8"/>
  <c r="J192" i="8"/>
  <c r="O192" i="8"/>
  <c r="T192" i="8"/>
  <c r="Y192" i="8"/>
  <c r="Z192" i="8"/>
  <c r="AA191" i="8"/>
  <c r="J191" i="8"/>
  <c r="O191" i="8"/>
  <c r="T191" i="8"/>
  <c r="Y191" i="8"/>
  <c r="AA190" i="8"/>
  <c r="J190" i="8"/>
  <c r="O190" i="8"/>
  <c r="T190" i="8"/>
  <c r="Y190" i="8"/>
  <c r="F189" i="8"/>
  <c r="K189" i="8"/>
  <c r="P189" i="8"/>
  <c r="U189" i="8"/>
  <c r="G189" i="8"/>
  <c r="H189" i="8"/>
  <c r="I189" i="8"/>
  <c r="L189" i="8"/>
  <c r="M189" i="8"/>
  <c r="N189" i="8"/>
  <c r="Q189" i="8"/>
  <c r="R189" i="8"/>
  <c r="S189" i="8"/>
  <c r="V189" i="8"/>
  <c r="W189" i="8"/>
  <c r="X189" i="8"/>
  <c r="AA188" i="8"/>
  <c r="J188" i="8"/>
  <c r="O188" i="8"/>
  <c r="T188" i="8"/>
  <c r="Y188" i="8"/>
  <c r="AA187" i="8"/>
  <c r="J187" i="8"/>
  <c r="O187" i="8"/>
  <c r="T187" i="8"/>
  <c r="Y187" i="8"/>
  <c r="AA186" i="8"/>
  <c r="J186" i="8"/>
  <c r="O186" i="8"/>
  <c r="T186" i="8"/>
  <c r="Y186" i="8"/>
  <c r="Z186" i="8"/>
  <c r="AA185" i="8"/>
  <c r="J185" i="8"/>
  <c r="O185" i="8"/>
  <c r="T185" i="8"/>
  <c r="Y185" i="8"/>
  <c r="Z185" i="8"/>
  <c r="AA184" i="8"/>
  <c r="J184" i="8"/>
  <c r="O184" i="8"/>
  <c r="T184" i="8"/>
  <c r="Y184" i="8"/>
  <c r="Z184" i="8"/>
  <c r="AA183" i="8"/>
  <c r="J183" i="8"/>
  <c r="O183" i="8"/>
  <c r="T183" i="8"/>
  <c r="Y183" i="8"/>
  <c r="F182" i="8"/>
  <c r="K182" i="8"/>
  <c r="P182" i="8"/>
  <c r="U182" i="8"/>
  <c r="G182" i="8"/>
  <c r="H182" i="8"/>
  <c r="I182" i="8"/>
  <c r="J182" i="8"/>
  <c r="L182" i="8"/>
  <c r="M182" i="8"/>
  <c r="N182" i="8"/>
  <c r="Q182" i="8"/>
  <c r="R182" i="8"/>
  <c r="S182" i="8"/>
  <c r="V182" i="8"/>
  <c r="W182" i="8"/>
  <c r="X182" i="8"/>
  <c r="AA181" i="8"/>
  <c r="J181" i="8"/>
  <c r="O181" i="8"/>
  <c r="T181" i="8"/>
  <c r="Y181" i="8"/>
  <c r="AA180" i="8"/>
  <c r="J180" i="8"/>
  <c r="O180" i="8"/>
  <c r="T180" i="8"/>
  <c r="Y180" i="8"/>
  <c r="AA179" i="8"/>
  <c r="J179" i="8"/>
  <c r="O179" i="8"/>
  <c r="T179" i="8"/>
  <c r="Y179" i="8"/>
  <c r="F178" i="8"/>
  <c r="K178" i="8"/>
  <c r="P178" i="8"/>
  <c r="U178" i="8"/>
  <c r="G178" i="8"/>
  <c r="H178" i="8"/>
  <c r="I178" i="8"/>
  <c r="L178" i="8"/>
  <c r="M178" i="8"/>
  <c r="N178" i="8"/>
  <c r="N171" i="8"/>
  <c r="N170" i="8"/>
  <c r="Q178" i="8"/>
  <c r="R178" i="8"/>
  <c r="S178" i="8"/>
  <c r="V178" i="8"/>
  <c r="W178" i="8"/>
  <c r="X178" i="8"/>
  <c r="AA177" i="8"/>
  <c r="J177" i="8"/>
  <c r="O177" i="8"/>
  <c r="T177" i="8"/>
  <c r="Y177" i="8"/>
  <c r="AA176" i="8"/>
  <c r="J176" i="8"/>
  <c r="O176" i="8"/>
  <c r="T176" i="8"/>
  <c r="Y176" i="8"/>
  <c r="AA175" i="8"/>
  <c r="J175" i="8"/>
  <c r="O175" i="8"/>
  <c r="T175" i="8"/>
  <c r="Y175" i="8"/>
  <c r="AA174" i="8"/>
  <c r="J174" i="8"/>
  <c r="O174" i="8"/>
  <c r="T174" i="8"/>
  <c r="Y174" i="8"/>
  <c r="AA173" i="8"/>
  <c r="J173" i="8"/>
  <c r="O173" i="8"/>
  <c r="T173" i="8"/>
  <c r="Y173" i="8"/>
  <c r="AA172" i="8"/>
  <c r="J172" i="8"/>
  <c r="O172" i="8"/>
  <c r="T172" i="8"/>
  <c r="Y172" i="8"/>
  <c r="Z172" i="8"/>
  <c r="F171" i="8"/>
  <c r="K171" i="8"/>
  <c r="P171" i="8"/>
  <c r="U171" i="8"/>
  <c r="AA171" i="8"/>
  <c r="G171" i="8"/>
  <c r="H171" i="8"/>
  <c r="I171" i="8"/>
  <c r="L171" i="8"/>
  <c r="M171" i="8"/>
  <c r="M170" i="8"/>
  <c r="Q171" i="8"/>
  <c r="R171" i="8"/>
  <c r="R170" i="8"/>
  <c r="S171" i="8"/>
  <c r="V171" i="8"/>
  <c r="W171" i="8"/>
  <c r="X171" i="8"/>
  <c r="X170" i="8"/>
  <c r="AA169" i="8"/>
  <c r="J169" i="8"/>
  <c r="O169" i="8"/>
  <c r="T169" i="8"/>
  <c r="Y169" i="8"/>
  <c r="AA168" i="8"/>
  <c r="J168" i="8"/>
  <c r="O168" i="8"/>
  <c r="T168" i="8"/>
  <c r="Y168" i="8"/>
  <c r="Z168" i="8"/>
  <c r="F167" i="8"/>
  <c r="K167" i="8"/>
  <c r="P167" i="8"/>
  <c r="U167" i="8"/>
  <c r="AA167" i="8"/>
  <c r="G167" i="8"/>
  <c r="H167" i="8"/>
  <c r="I167" i="8"/>
  <c r="L167" i="8"/>
  <c r="M167" i="8"/>
  <c r="O167" i="8"/>
  <c r="Q167" i="8"/>
  <c r="R167" i="8"/>
  <c r="S167" i="8"/>
  <c r="V167" i="8"/>
  <c r="W167" i="8"/>
  <c r="X167" i="8"/>
  <c r="AA164" i="8"/>
  <c r="J164" i="8"/>
  <c r="O164" i="8"/>
  <c r="T164" i="8"/>
  <c r="Y164" i="8"/>
  <c r="AA163" i="8"/>
  <c r="J163" i="8"/>
  <c r="O163" i="8"/>
  <c r="T163" i="8"/>
  <c r="Y163" i="8"/>
  <c r="AA162" i="8"/>
  <c r="J162" i="8"/>
  <c r="O162" i="8"/>
  <c r="T162" i="8"/>
  <c r="Y162" i="8"/>
  <c r="AA161" i="8"/>
  <c r="J161" i="8"/>
  <c r="O161" i="8"/>
  <c r="T161" i="8"/>
  <c r="Y161" i="8"/>
  <c r="F160" i="8"/>
  <c r="K160" i="8"/>
  <c r="K141" i="8"/>
  <c r="K146" i="8"/>
  <c r="K152" i="8"/>
  <c r="K158" i="8"/>
  <c r="K140" i="8"/>
  <c r="P160" i="8"/>
  <c r="U160" i="8"/>
  <c r="G160" i="8"/>
  <c r="H160" i="8"/>
  <c r="I160" i="8"/>
  <c r="L160" i="8"/>
  <c r="M160" i="8"/>
  <c r="N160" i="8"/>
  <c r="Q160" i="8"/>
  <c r="R160" i="8"/>
  <c r="S160" i="8"/>
  <c r="V160" i="8"/>
  <c r="W160" i="8"/>
  <c r="X160" i="8"/>
  <c r="AA159" i="8"/>
  <c r="J159" i="8"/>
  <c r="O159" i="8"/>
  <c r="T159" i="8"/>
  <c r="Y159" i="8"/>
  <c r="Z159" i="8"/>
  <c r="F158" i="8"/>
  <c r="P158" i="8"/>
  <c r="U158" i="8"/>
  <c r="Y158" i="8"/>
  <c r="G158" i="8"/>
  <c r="H158" i="8"/>
  <c r="I158" i="8"/>
  <c r="L158" i="8"/>
  <c r="M158" i="8"/>
  <c r="N158" i="8"/>
  <c r="Q158" i="8"/>
  <c r="R158" i="8"/>
  <c r="S158" i="8"/>
  <c r="AA157" i="8"/>
  <c r="J157" i="8"/>
  <c r="O157" i="8"/>
  <c r="T157" i="8"/>
  <c r="Y157" i="8"/>
  <c r="AA156" i="8"/>
  <c r="J156" i="8"/>
  <c r="O156" i="8"/>
  <c r="T156" i="8"/>
  <c r="Y156" i="8"/>
  <c r="Z156" i="8"/>
  <c r="F155" i="8"/>
  <c r="AA155" i="8"/>
  <c r="O155" i="8"/>
  <c r="T155" i="8"/>
  <c r="Y155" i="8"/>
  <c r="F154" i="8"/>
  <c r="AA154" i="8"/>
  <c r="O154" i="8"/>
  <c r="T154" i="8"/>
  <c r="Y154" i="8"/>
  <c r="AA153" i="8"/>
  <c r="J153" i="8"/>
  <c r="O153" i="8"/>
  <c r="T153" i="8"/>
  <c r="Y153" i="8"/>
  <c r="Z153" i="8"/>
  <c r="P152" i="8"/>
  <c r="U152" i="8"/>
  <c r="G152" i="8"/>
  <c r="H152" i="8"/>
  <c r="I152" i="8"/>
  <c r="L152" i="8"/>
  <c r="L141" i="8"/>
  <c r="L146" i="8"/>
  <c r="L140" i="8"/>
  <c r="M152" i="8"/>
  <c r="N152" i="8"/>
  <c r="Q152" i="8"/>
  <c r="R152" i="8"/>
  <c r="S152" i="8"/>
  <c r="V152" i="8"/>
  <c r="W152" i="8"/>
  <c r="X152" i="8"/>
  <c r="AA151" i="8"/>
  <c r="J151" i="8"/>
  <c r="O151" i="8"/>
  <c r="T151" i="8"/>
  <c r="Y151" i="8"/>
  <c r="AA150" i="8"/>
  <c r="J150" i="8"/>
  <c r="O150" i="8"/>
  <c r="T150" i="8"/>
  <c r="Y150" i="8"/>
  <c r="AA149" i="8"/>
  <c r="J149" i="8"/>
  <c r="O149" i="8"/>
  <c r="T149" i="8"/>
  <c r="Y149" i="8"/>
  <c r="AA148" i="8"/>
  <c r="J148" i="8"/>
  <c r="O148" i="8"/>
  <c r="T148" i="8"/>
  <c r="Y148" i="8"/>
  <c r="AA147" i="8"/>
  <c r="J147" i="8"/>
  <c r="O147" i="8"/>
  <c r="T147" i="8"/>
  <c r="Y147" i="8"/>
  <c r="F146" i="8"/>
  <c r="P146" i="8"/>
  <c r="U146" i="8"/>
  <c r="G146" i="8"/>
  <c r="H146" i="8"/>
  <c r="I146" i="8"/>
  <c r="J146" i="8"/>
  <c r="M146" i="8"/>
  <c r="N146" i="8"/>
  <c r="Q146" i="8"/>
  <c r="R146" i="8"/>
  <c r="S146" i="8"/>
  <c r="V146" i="8"/>
  <c r="W146" i="8"/>
  <c r="W141" i="8"/>
  <c r="W140" i="8"/>
  <c r="X146" i="8"/>
  <c r="F144" i="8"/>
  <c r="AA144" i="8"/>
  <c r="J144" i="8"/>
  <c r="O144" i="8"/>
  <c r="T144" i="8"/>
  <c r="Y144" i="8"/>
  <c r="AA143" i="8"/>
  <c r="J143" i="8"/>
  <c r="O143" i="8"/>
  <c r="T143" i="8"/>
  <c r="Y143" i="8"/>
  <c r="AA142" i="8"/>
  <c r="J142" i="8"/>
  <c r="O142" i="8"/>
  <c r="T142" i="8"/>
  <c r="T141" i="8"/>
  <c r="Y142" i="8"/>
  <c r="F141" i="8"/>
  <c r="P141" i="8"/>
  <c r="U141" i="8"/>
  <c r="G141" i="8"/>
  <c r="H141" i="8"/>
  <c r="I141" i="8"/>
  <c r="I140" i="8"/>
  <c r="V141" i="8"/>
  <c r="X141" i="8"/>
  <c r="Y141" i="8"/>
  <c r="S141" i="8"/>
  <c r="R141" i="8"/>
  <c r="Q141" i="8"/>
  <c r="N141" i="8"/>
  <c r="M141" i="8"/>
  <c r="V140" i="8"/>
  <c r="AA139" i="8"/>
  <c r="J139" i="8"/>
  <c r="O139" i="8"/>
  <c r="T139" i="8"/>
  <c r="Y139" i="8"/>
  <c r="AA138" i="8"/>
  <c r="J138" i="8"/>
  <c r="O138" i="8"/>
  <c r="T138" i="8"/>
  <c r="Y138" i="8"/>
  <c r="Z138" i="8"/>
  <c r="AA137" i="8"/>
  <c r="J137" i="8"/>
  <c r="O137" i="8"/>
  <c r="T137" i="8"/>
  <c r="Y137" i="8"/>
  <c r="AA135" i="8"/>
  <c r="J135" i="8"/>
  <c r="O135" i="8"/>
  <c r="T135" i="8"/>
  <c r="Y135" i="8"/>
  <c r="AA134" i="8"/>
  <c r="J134" i="8"/>
  <c r="O134" i="8"/>
  <c r="T134" i="8"/>
  <c r="Y134" i="8"/>
  <c r="P133" i="8"/>
  <c r="U133" i="8"/>
  <c r="L133" i="8"/>
  <c r="M133" i="8"/>
  <c r="O133" i="8"/>
  <c r="Q133" i="8"/>
  <c r="R133" i="8"/>
  <c r="S133" i="8"/>
  <c r="V133" i="8"/>
  <c r="W133" i="8"/>
  <c r="X133" i="8"/>
  <c r="AA132" i="8"/>
  <c r="J132" i="8"/>
  <c r="T132" i="8"/>
  <c r="Y132" i="8"/>
  <c r="Z132" i="8"/>
  <c r="F131" i="8"/>
  <c r="O131" i="8"/>
  <c r="T131" i="8"/>
  <c r="Y131" i="8"/>
  <c r="T129" i="8"/>
  <c r="K126" i="8"/>
  <c r="P126" i="8"/>
  <c r="U126" i="8"/>
  <c r="G126" i="8"/>
  <c r="H126" i="8"/>
  <c r="I126" i="8"/>
  <c r="L126" i="8"/>
  <c r="M126" i="8"/>
  <c r="N126" i="8"/>
  <c r="Q126" i="8"/>
  <c r="R126" i="8"/>
  <c r="S126" i="8"/>
  <c r="V126" i="8"/>
  <c r="W126" i="8"/>
  <c r="X126" i="8"/>
  <c r="Y126" i="8"/>
  <c r="AA125" i="8"/>
  <c r="J125" i="8"/>
  <c r="O125" i="8"/>
  <c r="T125" i="8"/>
  <c r="Y125" i="8"/>
  <c r="AA124" i="8"/>
  <c r="J124" i="8"/>
  <c r="O124" i="8"/>
  <c r="T124" i="8"/>
  <c r="Y124" i="8"/>
  <c r="Z124" i="8"/>
  <c r="AA123" i="8"/>
  <c r="J123" i="8"/>
  <c r="O123" i="8"/>
  <c r="T123" i="8"/>
  <c r="Y123" i="8"/>
  <c r="AA122" i="8"/>
  <c r="J122" i="8"/>
  <c r="O122" i="8"/>
  <c r="T122" i="8"/>
  <c r="Y122" i="8"/>
  <c r="AA121" i="8"/>
  <c r="J121" i="8"/>
  <c r="O121" i="8"/>
  <c r="T121" i="8"/>
  <c r="Y121" i="8"/>
  <c r="F120" i="8"/>
  <c r="K120" i="8"/>
  <c r="P120" i="8"/>
  <c r="U120" i="8"/>
  <c r="G120" i="8"/>
  <c r="H120" i="8"/>
  <c r="I120" i="8"/>
  <c r="J120" i="8"/>
  <c r="L120" i="8"/>
  <c r="M120" i="8"/>
  <c r="N120" i="8"/>
  <c r="Q120" i="8"/>
  <c r="R120" i="8"/>
  <c r="S120" i="8"/>
  <c r="V120" i="8"/>
  <c r="W120" i="8"/>
  <c r="X120" i="8"/>
  <c r="AA119" i="8"/>
  <c r="J119" i="8"/>
  <c r="O119" i="8"/>
  <c r="Y119" i="8"/>
  <c r="J118" i="8"/>
  <c r="AA117" i="8"/>
  <c r="J117" i="8"/>
  <c r="O117" i="8"/>
  <c r="T117" i="8"/>
  <c r="Y117" i="8"/>
  <c r="AA116" i="8"/>
  <c r="J116" i="8"/>
  <c r="O116" i="8"/>
  <c r="T116" i="8"/>
  <c r="Y116" i="8"/>
  <c r="F115" i="8"/>
  <c r="F114" i="8"/>
  <c r="O115" i="8"/>
  <c r="T115" i="8"/>
  <c r="Y115" i="8"/>
  <c r="K114" i="8"/>
  <c r="U114" i="8"/>
  <c r="G114" i="8"/>
  <c r="H114" i="8"/>
  <c r="I114" i="8"/>
  <c r="L114" i="8"/>
  <c r="M114" i="8"/>
  <c r="N114" i="8"/>
  <c r="Q114" i="8"/>
  <c r="R114" i="8"/>
  <c r="S114" i="8"/>
  <c r="V114" i="8"/>
  <c r="W114" i="8"/>
  <c r="X114" i="8"/>
  <c r="AA113" i="8"/>
  <c r="J113" i="8"/>
  <c r="O113" i="8"/>
  <c r="T113" i="8"/>
  <c r="Y113" i="8"/>
  <c r="AA112" i="8"/>
  <c r="J112" i="8"/>
  <c r="O112" i="8"/>
  <c r="T112" i="8"/>
  <c r="AA111" i="8"/>
  <c r="J111" i="8"/>
  <c r="O111" i="8"/>
  <c r="T111" i="8"/>
  <c r="Y111" i="8"/>
  <c r="F110" i="8"/>
  <c r="K110" i="8"/>
  <c r="P110" i="8"/>
  <c r="U110" i="8"/>
  <c r="G110" i="8"/>
  <c r="H110" i="8"/>
  <c r="I110" i="8"/>
  <c r="L110" i="8"/>
  <c r="M110" i="8"/>
  <c r="N110" i="8"/>
  <c r="Q110" i="8"/>
  <c r="R110" i="8"/>
  <c r="S110" i="8"/>
  <c r="V110" i="8"/>
  <c r="W110" i="8"/>
  <c r="X110" i="8"/>
  <c r="AA109" i="8"/>
  <c r="J109" i="8"/>
  <c r="O109" i="8"/>
  <c r="T109" i="8"/>
  <c r="Y109" i="8"/>
  <c r="AA108" i="8"/>
  <c r="J108" i="8"/>
  <c r="O108" i="8"/>
  <c r="T108" i="8"/>
  <c r="Y108" i="8"/>
  <c r="AA107" i="8"/>
  <c r="J107" i="8"/>
  <c r="O107" i="8"/>
  <c r="T107" i="8"/>
  <c r="Y107" i="8"/>
  <c r="AA106" i="8"/>
  <c r="J106" i="8"/>
  <c r="O106" i="8"/>
  <c r="T106" i="8"/>
  <c r="Y106" i="8"/>
  <c r="AA105" i="8"/>
  <c r="J105" i="8"/>
  <c r="O105" i="8"/>
  <c r="T105" i="8"/>
  <c r="Y105" i="8"/>
  <c r="F104" i="8"/>
  <c r="K104" i="8"/>
  <c r="P104" i="8"/>
  <c r="U104" i="8"/>
  <c r="G104" i="8"/>
  <c r="H104" i="8"/>
  <c r="I104" i="8"/>
  <c r="L104" i="8"/>
  <c r="M104" i="8"/>
  <c r="N104" i="8"/>
  <c r="Q104" i="8"/>
  <c r="R104" i="8"/>
  <c r="S104" i="8"/>
  <c r="V104" i="8"/>
  <c r="W104" i="8"/>
  <c r="X104" i="8"/>
  <c r="AA103" i="8"/>
  <c r="J103" i="8"/>
  <c r="T103" i="8"/>
  <c r="Y103" i="8"/>
  <c r="Z103" i="8"/>
  <c r="J102" i="8"/>
  <c r="O102" i="8"/>
  <c r="T102" i="8"/>
  <c r="Y102" i="8"/>
  <c r="F101" i="8"/>
  <c r="K101" i="8"/>
  <c r="O101" i="8"/>
  <c r="P101" i="8"/>
  <c r="U101" i="8"/>
  <c r="J101" i="8"/>
  <c r="Y101" i="8"/>
  <c r="AA100" i="8"/>
  <c r="J100" i="8"/>
  <c r="O100" i="8"/>
  <c r="T100" i="8"/>
  <c r="Y100" i="8"/>
  <c r="AA99" i="8"/>
  <c r="O99" i="8"/>
  <c r="T99" i="8"/>
  <c r="Y99" i="8"/>
  <c r="F98" i="8"/>
  <c r="K98" i="8"/>
  <c r="U98" i="8"/>
  <c r="G98" i="8"/>
  <c r="H98" i="8"/>
  <c r="I98" i="8"/>
  <c r="I97" i="8"/>
  <c r="L98" i="8"/>
  <c r="M98" i="8"/>
  <c r="N98" i="8"/>
  <c r="Q98" i="8"/>
  <c r="R98" i="8"/>
  <c r="S98" i="8"/>
  <c r="V98" i="8"/>
  <c r="W98" i="8"/>
  <c r="X98" i="8"/>
  <c r="Y98" i="8"/>
  <c r="X97" i="8"/>
  <c r="G97" i="8"/>
  <c r="AA96" i="8"/>
  <c r="J96" i="8"/>
  <c r="O96" i="8"/>
  <c r="T96" i="8"/>
  <c r="Y96" i="8"/>
  <c r="AA95" i="8"/>
  <c r="J95" i="8"/>
  <c r="O95" i="8"/>
  <c r="T95" i="8"/>
  <c r="Y95" i="8"/>
  <c r="Z95" i="8"/>
  <c r="AA94" i="8"/>
  <c r="J94" i="8"/>
  <c r="O94" i="8"/>
  <c r="T94" i="8"/>
  <c r="Y94" i="8"/>
  <c r="AA93" i="8"/>
  <c r="J93" i="8"/>
  <c r="O93" i="8"/>
  <c r="T93" i="8"/>
  <c r="Y93" i="8"/>
  <c r="F92" i="8"/>
  <c r="K92" i="8"/>
  <c r="P92" i="8"/>
  <c r="U92" i="8"/>
  <c r="G92" i="8"/>
  <c r="H92" i="8"/>
  <c r="I92" i="8"/>
  <c r="L92" i="8"/>
  <c r="M92" i="8"/>
  <c r="N92" i="8"/>
  <c r="Q92" i="8"/>
  <c r="R92" i="8"/>
  <c r="S92" i="8"/>
  <c r="V92" i="8"/>
  <c r="W92" i="8"/>
  <c r="X92" i="8"/>
  <c r="AA91" i="8"/>
  <c r="Z91" i="8"/>
  <c r="AA90" i="8"/>
  <c r="Z90" i="8"/>
  <c r="AA88" i="8"/>
  <c r="AA87" i="8"/>
  <c r="AA86" i="8"/>
  <c r="AA85" i="8"/>
  <c r="K84" i="8"/>
  <c r="P84" i="8"/>
  <c r="U84" i="8"/>
  <c r="G84" i="8"/>
  <c r="H84" i="8"/>
  <c r="I84" i="8"/>
  <c r="L84" i="8"/>
  <c r="M84" i="8"/>
  <c r="N84" i="8"/>
  <c r="Q84" i="8"/>
  <c r="R84" i="8"/>
  <c r="S84" i="8"/>
  <c r="V84" i="8"/>
  <c r="W84" i="8"/>
  <c r="X84" i="8"/>
  <c r="AA83" i="8"/>
  <c r="J83" i="8"/>
  <c r="O83" i="8"/>
  <c r="T83" i="8"/>
  <c r="Y83" i="8"/>
  <c r="Z83" i="8"/>
  <c r="F82" i="8"/>
  <c r="AA82" i="8"/>
  <c r="O82" i="8"/>
  <c r="T82" i="8"/>
  <c r="Y82" i="8"/>
  <c r="F81" i="8"/>
  <c r="O81" i="8"/>
  <c r="T81" i="8"/>
  <c r="Y81" i="8"/>
  <c r="J80" i="8"/>
  <c r="O80" i="8"/>
  <c r="T80" i="8"/>
  <c r="Y80" i="8"/>
  <c r="F79" i="8"/>
  <c r="K79" i="8"/>
  <c r="P79" i="8"/>
  <c r="U79" i="8"/>
  <c r="U71" i="8"/>
  <c r="U61" i="8"/>
  <c r="G79" i="8"/>
  <c r="H79" i="8"/>
  <c r="I79" i="8"/>
  <c r="J79" i="8"/>
  <c r="L79" i="8"/>
  <c r="M79" i="8"/>
  <c r="M71" i="8"/>
  <c r="M61" i="8"/>
  <c r="N79" i="8"/>
  <c r="Q79" i="8"/>
  <c r="R79" i="8"/>
  <c r="S79" i="8"/>
  <c r="V79" i="8"/>
  <c r="W79" i="8"/>
  <c r="X79" i="8"/>
  <c r="AA77" i="8"/>
  <c r="J77" i="8"/>
  <c r="O77" i="8"/>
  <c r="T77" i="8"/>
  <c r="Y77" i="8"/>
  <c r="AA76" i="8"/>
  <c r="J76" i="8"/>
  <c r="O76" i="8"/>
  <c r="T76" i="8"/>
  <c r="Y76" i="8"/>
  <c r="AA75" i="8"/>
  <c r="J75" i="8"/>
  <c r="O75" i="8"/>
  <c r="T75" i="8"/>
  <c r="Y75" i="8"/>
  <c r="AA74" i="8"/>
  <c r="J74" i="8"/>
  <c r="O74" i="8"/>
  <c r="T74" i="8"/>
  <c r="Y74" i="8"/>
  <c r="AA73" i="8"/>
  <c r="J73" i="8"/>
  <c r="O73" i="8"/>
  <c r="T73" i="8"/>
  <c r="Y73" i="8"/>
  <c r="AA72" i="8"/>
  <c r="J72" i="8"/>
  <c r="O72" i="8"/>
  <c r="T72" i="8"/>
  <c r="Y72" i="8"/>
  <c r="F71" i="8"/>
  <c r="K71" i="8"/>
  <c r="P71" i="8"/>
  <c r="G71" i="8"/>
  <c r="H71" i="8"/>
  <c r="I71" i="8"/>
  <c r="I61" i="8"/>
  <c r="L71" i="8"/>
  <c r="N71" i="8"/>
  <c r="Q71" i="8"/>
  <c r="R71" i="8"/>
  <c r="S71" i="8"/>
  <c r="V71" i="8"/>
  <c r="W71" i="8"/>
  <c r="X71" i="8"/>
  <c r="AA70" i="8"/>
  <c r="J70" i="8"/>
  <c r="O70" i="8"/>
  <c r="T70" i="8"/>
  <c r="Y70" i="8"/>
  <c r="AA69" i="8"/>
  <c r="J69" i="8"/>
  <c r="O69" i="8"/>
  <c r="T69" i="8"/>
  <c r="Y69" i="8"/>
  <c r="AA68" i="8"/>
  <c r="J68" i="8"/>
  <c r="O68" i="8"/>
  <c r="T68" i="8"/>
  <c r="Y68" i="8"/>
  <c r="AA67" i="8"/>
  <c r="Z66" i="8"/>
  <c r="AA65" i="8"/>
  <c r="AA64" i="8"/>
  <c r="AA63" i="8"/>
  <c r="Z63" i="8"/>
  <c r="AA62" i="8"/>
  <c r="V62" i="8"/>
  <c r="W62" i="8"/>
  <c r="X62" i="8"/>
  <c r="Q61" i="8"/>
  <c r="AA60" i="8"/>
  <c r="J60" i="8"/>
  <c r="O60" i="8"/>
  <c r="T60" i="8"/>
  <c r="Y60" i="8"/>
  <c r="AA59" i="8"/>
  <c r="J59" i="8"/>
  <c r="O59" i="8"/>
  <c r="T59" i="8"/>
  <c r="Y59" i="8"/>
  <c r="F58" i="8"/>
  <c r="O58" i="8"/>
  <c r="T58" i="8"/>
  <c r="Y58" i="8"/>
  <c r="AA57" i="8"/>
  <c r="J57" i="8"/>
  <c r="O57" i="8"/>
  <c r="T57" i="8"/>
  <c r="Y57" i="8"/>
  <c r="AA56" i="8"/>
  <c r="J56" i="8"/>
  <c r="O56" i="8"/>
  <c r="T56" i="8"/>
  <c r="Y56" i="8"/>
  <c r="AA55" i="8"/>
  <c r="J55" i="8"/>
  <c r="O55" i="8"/>
  <c r="T55" i="8"/>
  <c r="Y55" i="8"/>
  <c r="Z55" i="8"/>
  <c r="G54" i="8"/>
  <c r="AA54" i="8"/>
  <c r="O54" i="8"/>
  <c r="T54" i="8"/>
  <c r="Y54" i="8"/>
  <c r="F53" i="8"/>
  <c r="O53" i="8"/>
  <c r="T53" i="8"/>
  <c r="Y53" i="8"/>
  <c r="K52" i="8"/>
  <c r="P52" i="8"/>
  <c r="U52" i="8"/>
  <c r="G52" i="8"/>
  <c r="H52" i="8"/>
  <c r="I52" i="8"/>
  <c r="L52" i="8"/>
  <c r="M52" i="8"/>
  <c r="N52" i="8"/>
  <c r="Q52" i="8"/>
  <c r="R52" i="8"/>
  <c r="S52" i="8"/>
  <c r="T52" i="8"/>
  <c r="V52" i="8"/>
  <c r="W52" i="8"/>
  <c r="X52" i="8"/>
  <c r="AA51" i="8"/>
  <c r="J51" i="8"/>
  <c r="O51" i="8"/>
  <c r="T51" i="8"/>
  <c r="Y51" i="8"/>
  <c r="Z51" i="8"/>
  <c r="AA50" i="8"/>
  <c r="J50" i="8"/>
  <c r="O50" i="8"/>
  <c r="T50" i="8"/>
  <c r="Y50" i="8"/>
  <c r="F49" i="8"/>
  <c r="AA49" i="8"/>
  <c r="G49" i="8"/>
  <c r="G47" i="8"/>
  <c r="O49" i="8"/>
  <c r="T49" i="8"/>
  <c r="Y49" i="8"/>
  <c r="AA48" i="8"/>
  <c r="J48" i="8"/>
  <c r="O48" i="8"/>
  <c r="T48" i="8"/>
  <c r="Y48" i="8"/>
  <c r="K47" i="8"/>
  <c r="P47" i="8"/>
  <c r="U47" i="8"/>
  <c r="H47" i="8"/>
  <c r="I47" i="8"/>
  <c r="L47" i="8"/>
  <c r="M47" i="8"/>
  <c r="N47" i="8"/>
  <c r="Q47" i="8"/>
  <c r="R47" i="8"/>
  <c r="S47" i="8"/>
  <c r="V47" i="8"/>
  <c r="W47" i="8"/>
  <c r="X47" i="8"/>
  <c r="AA46" i="8"/>
  <c r="J46" i="8"/>
  <c r="O46" i="8"/>
  <c r="T46" i="8"/>
  <c r="Y46" i="8"/>
  <c r="AA45" i="8"/>
  <c r="J45" i="8"/>
  <c r="O45" i="8"/>
  <c r="T45" i="8"/>
  <c r="Y45" i="8"/>
  <c r="AA44" i="8"/>
  <c r="J44" i="8"/>
  <c r="O44" i="8"/>
  <c r="T44" i="8"/>
  <c r="Y44" i="8"/>
  <c r="AA43" i="8"/>
  <c r="J43" i="8"/>
  <c r="O43" i="8"/>
  <c r="T43" i="8"/>
  <c r="Y43" i="8"/>
  <c r="Z43" i="8"/>
  <c r="F42" i="8"/>
  <c r="AA42" i="8"/>
  <c r="J42" i="8"/>
  <c r="O42" i="8"/>
  <c r="T42" i="8"/>
  <c r="Y42" i="8"/>
  <c r="F41" i="8"/>
  <c r="K41" i="8"/>
  <c r="P41" i="8"/>
  <c r="U41" i="8"/>
  <c r="G41" i="8"/>
  <c r="H41" i="8"/>
  <c r="I41" i="8"/>
  <c r="J41" i="8"/>
  <c r="L41" i="8"/>
  <c r="M41" i="8"/>
  <c r="N41" i="8"/>
  <c r="Q41" i="8"/>
  <c r="R41" i="8"/>
  <c r="S41" i="8"/>
  <c r="V41" i="8"/>
  <c r="W41" i="8"/>
  <c r="X41" i="8"/>
  <c r="Y41" i="8"/>
  <c r="F40" i="8"/>
  <c r="G40" i="8"/>
  <c r="J40" i="8"/>
  <c r="K40" i="8"/>
  <c r="O40" i="8"/>
  <c r="P40" i="8"/>
  <c r="U40" i="8"/>
  <c r="U38" i="8"/>
  <c r="G38" i="8"/>
  <c r="Y40" i="8"/>
  <c r="AA39" i="8"/>
  <c r="J39" i="8"/>
  <c r="O39" i="8"/>
  <c r="T39" i="8"/>
  <c r="Y39" i="8"/>
  <c r="F38" i="8"/>
  <c r="K38" i="8"/>
  <c r="L38" i="8"/>
  <c r="M38" i="8"/>
  <c r="N38" i="8"/>
  <c r="N8" i="8"/>
  <c r="N14" i="8"/>
  <c r="N18" i="8"/>
  <c r="N29" i="8"/>
  <c r="N3" i="8"/>
  <c r="Q38" i="8"/>
  <c r="R38" i="8"/>
  <c r="S38" i="8"/>
  <c r="V38" i="8"/>
  <c r="W38" i="8"/>
  <c r="X38" i="8"/>
  <c r="AA37" i="8"/>
  <c r="J37" i="8"/>
  <c r="O37" i="8"/>
  <c r="T37" i="8"/>
  <c r="Y37" i="8"/>
  <c r="Z37" i="8"/>
  <c r="F36" i="8"/>
  <c r="AA36" i="8"/>
  <c r="O36" i="8"/>
  <c r="T36" i="8"/>
  <c r="Y36" i="8"/>
  <c r="AA35" i="8"/>
  <c r="J35" i="8"/>
  <c r="O35" i="8"/>
  <c r="T35" i="8"/>
  <c r="Y35" i="8"/>
  <c r="AA34" i="8"/>
  <c r="J34" i="8"/>
  <c r="O34" i="8"/>
  <c r="T34" i="8"/>
  <c r="Y34" i="8"/>
  <c r="AA33" i="8"/>
  <c r="J33" i="8"/>
  <c r="O33" i="8"/>
  <c r="T33" i="8"/>
  <c r="Y33" i="8"/>
  <c r="AA32" i="8"/>
  <c r="J32" i="8"/>
  <c r="O32" i="8"/>
  <c r="T32" i="8"/>
  <c r="Y32" i="8"/>
  <c r="AA31" i="8"/>
  <c r="J31" i="8"/>
  <c r="O31" i="8"/>
  <c r="T31" i="8"/>
  <c r="Y31" i="8"/>
  <c r="AA30" i="8"/>
  <c r="J30" i="8"/>
  <c r="O30" i="8"/>
  <c r="T30" i="8"/>
  <c r="Y30" i="8"/>
  <c r="Z30" i="8"/>
  <c r="F29" i="8"/>
  <c r="K29" i="8"/>
  <c r="P29" i="8"/>
  <c r="U29" i="8"/>
  <c r="AA29" i="8"/>
  <c r="G29" i="8"/>
  <c r="H29" i="8"/>
  <c r="I29" i="8"/>
  <c r="J29" i="8"/>
  <c r="L29" i="8"/>
  <c r="M29" i="8"/>
  <c r="O29" i="8"/>
  <c r="Q29" i="8"/>
  <c r="R29" i="8"/>
  <c r="S29" i="8"/>
  <c r="T29" i="8"/>
  <c r="V29" i="8"/>
  <c r="W29" i="8"/>
  <c r="X29" i="8"/>
  <c r="Y29" i="8"/>
  <c r="AA28" i="8"/>
  <c r="J28" i="8"/>
  <c r="O28" i="8"/>
  <c r="T28" i="8"/>
  <c r="Y28" i="8"/>
  <c r="O27" i="8"/>
  <c r="T27" i="8"/>
  <c r="Y27" i="8"/>
  <c r="AA26" i="8"/>
  <c r="J26" i="8"/>
  <c r="O26" i="8"/>
  <c r="T26" i="8"/>
  <c r="Y26" i="8"/>
  <c r="AA25" i="8"/>
  <c r="J25" i="8"/>
  <c r="O25" i="8"/>
  <c r="T25" i="8"/>
  <c r="Y25" i="8"/>
  <c r="AA24" i="8"/>
  <c r="J24" i="8"/>
  <c r="O24" i="8"/>
  <c r="T24" i="8"/>
  <c r="Y24" i="8"/>
  <c r="AA23" i="8"/>
  <c r="J23" i="8"/>
  <c r="O23" i="8"/>
  <c r="T23" i="8"/>
  <c r="Y23" i="8"/>
  <c r="AA22" i="8"/>
  <c r="J22" i="8"/>
  <c r="O22" i="8"/>
  <c r="T22" i="8"/>
  <c r="Y22" i="8"/>
  <c r="AA21" i="8"/>
  <c r="J21" i="8"/>
  <c r="O21" i="8"/>
  <c r="T21" i="8"/>
  <c r="Y21" i="8"/>
  <c r="AA20" i="8"/>
  <c r="J20" i="8"/>
  <c r="O20" i="8"/>
  <c r="T20" i="8"/>
  <c r="Y20" i="8"/>
  <c r="AA19" i="8"/>
  <c r="Z19" i="8"/>
  <c r="F18" i="8"/>
  <c r="K18" i="8"/>
  <c r="P18" i="8"/>
  <c r="U18" i="8"/>
  <c r="G18" i="8"/>
  <c r="H18" i="8"/>
  <c r="I18" i="8"/>
  <c r="J18" i="8"/>
  <c r="L18" i="8"/>
  <c r="M18" i="8"/>
  <c r="Q18" i="8"/>
  <c r="R18" i="8"/>
  <c r="S18" i="8"/>
  <c r="V18" i="8"/>
  <c r="W18" i="8"/>
  <c r="X18" i="8"/>
  <c r="AA17" i="8"/>
  <c r="J17" i="8"/>
  <c r="O17" i="8"/>
  <c r="T17" i="8"/>
  <c r="Y17" i="8"/>
  <c r="AA16" i="8"/>
  <c r="J16" i="8"/>
  <c r="O16" i="8"/>
  <c r="T16" i="8"/>
  <c r="Y16" i="8"/>
  <c r="AA15" i="8"/>
  <c r="J15" i="8"/>
  <c r="O15" i="8"/>
  <c r="T15" i="8"/>
  <c r="Y15" i="8"/>
  <c r="F14" i="8"/>
  <c r="K14" i="8"/>
  <c r="P14" i="8"/>
  <c r="U14" i="8"/>
  <c r="AA14" i="8"/>
  <c r="G14" i="8"/>
  <c r="H14" i="8"/>
  <c r="I14" i="8"/>
  <c r="L14" i="8"/>
  <c r="L8" i="8"/>
  <c r="L3" i="8"/>
  <c r="M14" i="8"/>
  <c r="Q14" i="8"/>
  <c r="R14" i="8"/>
  <c r="S14" i="8"/>
  <c r="V14" i="8"/>
  <c r="W14" i="8"/>
  <c r="X14" i="8"/>
  <c r="AA13" i="8"/>
  <c r="AA12" i="8"/>
  <c r="J12" i="8"/>
  <c r="Z12" i="8"/>
  <c r="AA11" i="8"/>
  <c r="J11" i="8"/>
  <c r="AA10" i="8"/>
  <c r="J10" i="8"/>
  <c r="Z10" i="8"/>
  <c r="AA9" i="8"/>
  <c r="J9" i="8"/>
  <c r="F8" i="8"/>
  <c r="K8" i="8"/>
  <c r="P8" i="8"/>
  <c r="U8" i="8"/>
  <c r="G8" i="8"/>
  <c r="H8" i="8"/>
  <c r="I8" i="8"/>
  <c r="M8" i="8"/>
  <c r="Q8" i="8"/>
  <c r="R8" i="8"/>
  <c r="S8" i="8"/>
  <c r="V8" i="8"/>
  <c r="W8" i="8"/>
  <c r="X8" i="8"/>
  <c r="AA7" i="8"/>
  <c r="Z7" i="8"/>
  <c r="AA5" i="8"/>
  <c r="Z5" i="8"/>
  <c r="R4" i="8"/>
  <c r="S4" i="8"/>
  <c r="G4" i="8"/>
  <c r="H4" i="8"/>
  <c r="I4" i="8"/>
  <c r="V3" i="8"/>
  <c r="T4" i="8"/>
  <c r="Z9" i="8"/>
  <c r="Z11" i="8"/>
  <c r="J14" i="8"/>
  <c r="Z28" i="8"/>
  <c r="Y52" i="8"/>
  <c r="J54" i="8"/>
  <c r="T79" i="8"/>
  <c r="F84" i="8"/>
  <c r="J84" i="8"/>
  <c r="N97" i="8"/>
  <c r="J98" i="8"/>
  <c r="Z116" i="8"/>
  <c r="T119" i="8"/>
  <c r="Q140" i="8"/>
  <c r="Z151" i="8"/>
  <c r="J167" i="8"/>
  <c r="T167" i="8"/>
  <c r="J171" i="8"/>
  <c r="J178" i="8"/>
  <c r="J189" i="8"/>
  <c r="J170" i="8"/>
  <c r="F170" i="8"/>
  <c r="Z180" i="8"/>
  <c r="Z181" i="8"/>
  <c r="Z194" i="8"/>
  <c r="Z196" i="8"/>
  <c r="Z89" i="8"/>
  <c r="Z85" i="8"/>
  <c r="N61" i="8"/>
  <c r="F4" i="8"/>
  <c r="AA4" i="8"/>
  <c r="AA6" i="8"/>
  <c r="W3" i="8"/>
  <c r="Z23" i="8"/>
  <c r="Z27" i="8"/>
  <c r="J36" i="8"/>
  <c r="T41" i="8"/>
  <c r="F47" i="8"/>
  <c r="J47" i="8"/>
  <c r="X61" i="8"/>
  <c r="Z69" i="8"/>
  <c r="Z70" i="8"/>
  <c r="R61" i="8"/>
  <c r="L61" i="8"/>
  <c r="Y79" i="8"/>
  <c r="AA79" i="8"/>
  <c r="W97" i="8"/>
  <c r="M97" i="8"/>
  <c r="Z112" i="8"/>
  <c r="Z149" i="8"/>
  <c r="Z176" i="8"/>
  <c r="Z177" i="8"/>
  <c r="V170" i="8"/>
  <c r="O189" i="8"/>
  <c r="Z190" i="8"/>
  <c r="O4" i="8"/>
  <c r="Y4" i="8"/>
  <c r="Z88" i="8"/>
  <c r="Z87" i="8"/>
  <c r="G3" i="8"/>
  <c r="Z15" i="8"/>
  <c r="AA18" i="8"/>
  <c r="Z39" i="8"/>
  <c r="AA41" i="8"/>
  <c r="Z57" i="8"/>
  <c r="Y62" i="8"/>
  <c r="Z62" i="8"/>
  <c r="AA89" i="8"/>
  <c r="Z105" i="8"/>
  <c r="Z106" i="8"/>
  <c r="Z108" i="8"/>
  <c r="R97" i="8"/>
  <c r="T133" i="8"/>
  <c r="U140" i="8"/>
  <c r="Z142" i="8"/>
  <c r="R140" i="8"/>
  <c r="AA146" i="8"/>
  <c r="Z147" i="8"/>
  <c r="Z157" i="8"/>
  <c r="S140" i="8"/>
  <c r="O158" i="8"/>
  <c r="G140" i="8"/>
  <c r="J160" i="8"/>
  <c r="Z163" i="8"/>
  <c r="Z173" i="8"/>
  <c r="Z174" i="8"/>
  <c r="Z188" i="8"/>
  <c r="T189" i="8"/>
  <c r="Z136" i="8"/>
  <c r="AB159" i="10"/>
  <c r="AC160" i="10"/>
  <c r="AB95" i="10"/>
  <c r="D90" i="10"/>
  <c r="AB111" i="10"/>
  <c r="AB126" i="10"/>
  <c r="AB25" i="10"/>
  <c r="AC26" i="10"/>
  <c r="AC32" i="10"/>
  <c r="AB109" i="10"/>
  <c r="AC110" i="10"/>
  <c r="AB112" i="10"/>
  <c r="AB127" i="10"/>
  <c r="AC107" i="10"/>
  <c r="AC123" i="10"/>
  <c r="AC92" i="10"/>
  <c r="AC93" i="10"/>
  <c r="AC94" i="10"/>
  <c r="AC96" i="10"/>
  <c r="AC98" i="10"/>
  <c r="AC108" i="10"/>
  <c r="AC113" i="10"/>
  <c r="AC114" i="10"/>
  <c r="AC124" i="10"/>
  <c r="AB43" i="10"/>
  <c r="AB100" i="10"/>
  <c r="AB118" i="10"/>
  <c r="AB161" i="10"/>
  <c r="AC6" i="10"/>
  <c r="AC33" i="10"/>
  <c r="AC63" i="10"/>
  <c r="AC125" i="10"/>
  <c r="AC128" i="10"/>
  <c r="AC129" i="10"/>
  <c r="AC130" i="10"/>
  <c r="AB138" i="10"/>
  <c r="AC139" i="10"/>
  <c r="AC140" i="10"/>
  <c r="AC141" i="10"/>
  <c r="AC142" i="10"/>
  <c r="AC156" i="10"/>
  <c r="AC158" i="10"/>
  <c r="AB164" i="10"/>
  <c r="AC165" i="10"/>
  <c r="AC166" i="10"/>
  <c r="AC182" i="10"/>
  <c r="AC183" i="10"/>
  <c r="AC184" i="10"/>
  <c r="AC185" i="10"/>
  <c r="AC186" i="10"/>
  <c r="AC187" i="10"/>
  <c r="AC188" i="10"/>
  <c r="AC14" i="10"/>
  <c r="AC54" i="10"/>
  <c r="AC80" i="10"/>
  <c r="AC83" i="10"/>
  <c r="AC101" i="10"/>
  <c r="AC104" i="10"/>
  <c r="AC117" i="10"/>
  <c r="AC8" i="10"/>
  <c r="AC12" i="10"/>
  <c r="AC13" i="10"/>
  <c r="AC81" i="10"/>
  <c r="AC82" i="10"/>
  <c r="AC84" i="10"/>
  <c r="AC102" i="10"/>
  <c r="AC103" i="10"/>
  <c r="AC116" i="10"/>
  <c r="AC64" i="10"/>
  <c r="AC65" i="10"/>
  <c r="AC27" i="10"/>
  <c r="AC28" i="10"/>
  <c r="AC29" i="10"/>
  <c r="AC30" i="10"/>
  <c r="AC31" i="10"/>
  <c r="AC42" i="10"/>
  <c r="AC46" i="10"/>
  <c r="AC50" i="10"/>
  <c r="AC37" i="10"/>
  <c r="AC38" i="10"/>
  <c r="AC40" i="10"/>
  <c r="AC56" i="10"/>
  <c r="AC59" i="10"/>
  <c r="AC60" i="10"/>
  <c r="E49" i="10"/>
  <c r="G4" i="10"/>
  <c r="G189" i="10"/>
  <c r="E5" i="10"/>
  <c r="D41" i="10"/>
  <c r="I111" i="10"/>
  <c r="AC111" i="10"/>
  <c r="O126" i="10"/>
  <c r="AB90" i="10"/>
  <c r="I45" i="10"/>
  <c r="AC45" i="10"/>
  <c r="O52" i="8"/>
  <c r="Z54" i="8"/>
  <c r="W61" i="8"/>
  <c r="T114" i="8"/>
  <c r="Z123" i="8"/>
  <c r="O160" i="8"/>
  <c r="Z162" i="8"/>
  <c r="L170" i="8"/>
  <c r="Z191" i="8"/>
  <c r="Z193" i="8"/>
  <c r="Z29" i="8"/>
  <c r="J8" i="8"/>
  <c r="Z17" i="8"/>
  <c r="Z21" i="8"/>
  <c r="Z32" i="8"/>
  <c r="O14" i="8"/>
  <c r="O18" i="8"/>
  <c r="Z25" i="8"/>
  <c r="Z26" i="8"/>
  <c r="Z36" i="8"/>
  <c r="O41" i="8"/>
  <c r="Z41" i="8"/>
  <c r="Z45" i="8"/>
  <c r="Z46" i="8"/>
  <c r="J49" i="8"/>
  <c r="Z49" i="8"/>
  <c r="Z59" i="8"/>
  <c r="V61" i="8"/>
  <c r="Z68" i="8"/>
  <c r="H61" i="8"/>
  <c r="AA71" i="8"/>
  <c r="Z75" i="8"/>
  <c r="O79" i="8"/>
  <c r="F61" i="8"/>
  <c r="Z80" i="8"/>
  <c r="J82" i="8"/>
  <c r="Z82" i="8"/>
  <c r="J92" i="8"/>
  <c r="S97" i="8"/>
  <c r="Z111" i="8"/>
  <c r="Y114" i="8"/>
  <c r="AA114" i="8"/>
  <c r="T120" i="8"/>
  <c r="Z122" i="8"/>
  <c r="Z137" i="8"/>
  <c r="Z144" i="8"/>
  <c r="O146" i="8"/>
  <c r="Z150" i="8"/>
  <c r="O152" i="8"/>
  <c r="AA158" i="8"/>
  <c r="Y160" i="8"/>
  <c r="Z161" i="8"/>
  <c r="Y167" i="8"/>
  <c r="Z167" i="8"/>
  <c r="O171" i="8"/>
  <c r="Z175" i="8"/>
  <c r="W170" i="8"/>
  <c r="Q170" i="8"/>
  <c r="P170" i="8"/>
  <c r="Z179" i="8"/>
  <c r="T182" i="8"/>
  <c r="Z183" i="8"/>
  <c r="AA189" i="8"/>
  <c r="J133" i="8"/>
  <c r="J67" i="8"/>
  <c r="Z166" i="8"/>
  <c r="Z22" i="8"/>
  <c r="Z42" i="8"/>
  <c r="I3" i="8"/>
  <c r="X3" i="8"/>
  <c r="S3" i="8"/>
  <c r="T18" i="8"/>
  <c r="Z34" i="8"/>
  <c r="Y47" i="8"/>
  <c r="Z48" i="8"/>
  <c r="Z56" i="8"/>
  <c r="Z93" i="8"/>
  <c r="Z94" i="8"/>
  <c r="Y110" i="8"/>
  <c r="J114" i="8"/>
  <c r="Y120" i="8"/>
  <c r="Z121" i="8"/>
  <c r="T126" i="8"/>
  <c r="Z135" i="8"/>
  <c r="Z143" i="8"/>
  <c r="T146" i="8"/>
  <c r="Z148" i="8"/>
  <c r="T152" i="8"/>
  <c r="J158" i="8"/>
  <c r="AA160" i="8"/>
  <c r="Z164" i="8"/>
  <c r="Z169" i="8"/>
  <c r="T171" i="8"/>
  <c r="Y178" i="8"/>
  <c r="H170" i="8"/>
  <c r="AA178" i="8"/>
  <c r="Y182" i="8"/>
  <c r="AA182" i="8"/>
  <c r="Z195" i="8"/>
  <c r="O67" i="8"/>
  <c r="Z165" i="8"/>
  <c r="Z50" i="8"/>
  <c r="Y71" i="8"/>
  <c r="Z73" i="8"/>
  <c r="Z77" i="8"/>
  <c r="L97" i="8"/>
  <c r="O126" i="8"/>
  <c r="Z134" i="8"/>
  <c r="Z139" i="8"/>
  <c r="X140" i="8"/>
  <c r="Y152" i="8"/>
  <c r="Z187" i="8"/>
  <c r="D121" i="10"/>
  <c r="AA109" i="10"/>
  <c r="V106" i="10"/>
  <c r="AA106" i="10"/>
  <c r="D35" i="10"/>
  <c r="AB35" i="10"/>
  <c r="U109" i="10"/>
  <c r="P106" i="10"/>
  <c r="U106" i="10"/>
  <c r="I109" i="10"/>
  <c r="D106" i="10"/>
  <c r="U138" i="10"/>
  <c r="Y92" i="8"/>
  <c r="AA110" i="8"/>
  <c r="O110" i="8"/>
  <c r="J141" i="8"/>
  <c r="H140" i="8"/>
  <c r="J4" i="8"/>
  <c r="Z4" i="8"/>
  <c r="H3" i="8"/>
  <c r="AA8" i="8"/>
  <c r="T8" i="8"/>
  <c r="Y14" i="8"/>
  <c r="T14" i="8"/>
  <c r="Z14" i="8"/>
  <c r="Z16" i="8"/>
  <c r="Z24" i="8"/>
  <c r="Z31" i="8"/>
  <c r="Z35" i="8"/>
  <c r="Y38" i="8"/>
  <c r="Z60" i="8"/>
  <c r="P61" i="8"/>
  <c r="T71" i="8"/>
  <c r="Z72" i="8"/>
  <c r="Z76" i="8"/>
  <c r="O84" i="8"/>
  <c r="AA92" i="8"/>
  <c r="Q97" i="8"/>
  <c r="AA120" i="8"/>
  <c r="O120" i="8"/>
  <c r="Z120" i="8"/>
  <c r="AA53" i="8"/>
  <c r="F52" i="8"/>
  <c r="J53" i="8"/>
  <c r="Z53" i="8"/>
  <c r="R3" i="8"/>
  <c r="O38" i="8"/>
  <c r="AA58" i="8"/>
  <c r="J58" i="8"/>
  <c r="Z58" i="8"/>
  <c r="Z79" i="8"/>
  <c r="AA81" i="8"/>
  <c r="J81" i="8"/>
  <c r="Z81" i="8"/>
  <c r="Y84" i="8"/>
  <c r="Y61" i="8"/>
  <c r="K97" i="8"/>
  <c r="Y104" i="8"/>
  <c r="V97" i="8"/>
  <c r="H97" i="8"/>
  <c r="AA104" i="8"/>
  <c r="O104" i="8"/>
  <c r="U97" i="8"/>
  <c r="Y97" i="8"/>
  <c r="Y133" i="8"/>
  <c r="Z133" i="8"/>
  <c r="Y8" i="8"/>
  <c r="U3" i="8"/>
  <c r="AA47" i="8"/>
  <c r="O47" i="8"/>
  <c r="P38" i="8"/>
  <c r="T38" i="8"/>
  <c r="T40" i="8"/>
  <c r="Z40" i="8"/>
  <c r="K3" i="8"/>
  <c r="O8" i="8"/>
  <c r="O3" i="8"/>
  <c r="M3" i="8"/>
  <c r="Y18" i="8"/>
  <c r="Z20" i="8"/>
  <c r="Z33" i="8"/>
  <c r="J38" i="8"/>
  <c r="Z44" i="8"/>
  <c r="Q3" i="8"/>
  <c r="T47" i="8"/>
  <c r="S61" i="8"/>
  <c r="J71" i="8"/>
  <c r="Z74" i="8"/>
  <c r="AA84" i="8"/>
  <c r="O92" i="8"/>
  <c r="Z96" i="8"/>
  <c r="J131" i="8"/>
  <c r="Z131" i="8"/>
  <c r="AA131" i="8"/>
  <c r="F126" i="8"/>
  <c r="Z100" i="8"/>
  <c r="Z102" i="8"/>
  <c r="J104" i="8"/>
  <c r="J110" i="8"/>
  <c r="Z119" i="8"/>
  <c r="AA133" i="8"/>
  <c r="Z99" i="8"/>
  <c r="T101" i="8"/>
  <c r="Z101" i="8"/>
  <c r="P98" i="8"/>
  <c r="AA40" i="8"/>
  <c r="G61" i="8"/>
  <c r="K61" i="8"/>
  <c r="O71" i="8"/>
  <c r="AA101" i="8"/>
  <c r="Z109" i="8"/>
  <c r="Z113" i="8"/>
  <c r="O114" i="8"/>
  <c r="Z114" i="8"/>
  <c r="AA115" i="8"/>
  <c r="J115" i="8"/>
  <c r="Z115" i="8"/>
  <c r="Z117" i="8"/>
  <c r="Z125" i="8"/>
  <c r="AA170" i="8"/>
  <c r="T84" i="8"/>
  <c r="T92" i="8"/>
  <c r="O98" i="8"/>
  <c r="T104" i="8"/>
  <c r="Z107" i="8"/>
  <c r="T110" i="8"/>
  <c r="AA141" i="8"/>
  <c r="P140" i="8"/>
  <c r="O141" i="8"/>
  <c r="J155" i="8"/>
  <c r="Z155" i="8"/>
  <c r="G170" i="8"/>
  <c r="K170" i="8"/>
  <c r="S170" i="8"/>
  <c r="T178" i="8"/>
  <c r="O178" i="8"/>
  <c r="O182" i="8"/>
  <c r="O170" i="8"/>
  <c r="M140" i="8"/>
  <c r="J154" i="8"/>
  <c r="Z154" i="8"/>
  <c r="T158" i="8"/>
  <c r="T160" i="8"/>
  <c r="N140" i="8"/>
  <c r="Y146" i="8"/>
  <c r="Z146" i="8"/>
  <c r="F152" i="8"/>
  <c r="I170" i="8"/>
  <c r="U170" i="8"/>
  <c r="Y171" i="8"/>
  <c r="Y189" i="8"/>
  <c r="Z189" i="8"/>
  <c r="U155" i="10"/>
  <c r="O144" i="10"/>
  <c r="U161" i="10"/>
  <c r="K143" i="10"/>
  <c r="AA161" i="10"/>
  <c r="Z143" i="10"/>
  <c r="O78" i="10"/>
  <c r="I157" i="10"/>
  <c r="AC157" i="10"/>
  <c r="I112" i="10"/>
  <c r="W61" i="10"/>
  <c r="I100" i="10"/>
  <c r="O112" i="10"/>
  <c r="I36" i="10"/>
  <c r="AC36" i="10"/>
  <c r="K4" i="10"/>
  <c r="AA118" i="10"/>
  <c r="Q143" i="10"/>
  <c r="W4" i="10"/>
  <c r="O49" i="10"/>
  <c r="I51" i="10"/>
  <c r="AC51" i="10"/>
  <c r="Q61" i="10"/>
  <c r="I78" i="10"/>
  <c r="AA43" i="10"/>
  <c r="U126" i="10"/>
  <c r="P121" i="10"/>
  <c r="U121" i="10"/>
  <c r="D131" i="10"/>
  <c r="AB131" i="10"/>
  <c r="W143" i="10"/>
  <c r="I7" i="10"/>
  <c r="AC7" i="10"/>
  <c r="D5" i="10"/>
  <c r="AB5" i="10"/>
  <c r="O35" i="10"/>
  <c r="AA85" i="10"/>
  <c r="N105" i="10"/>
  <c r="I39" i="10"/>
  <c r="AC39" i="10"/>
  <c r="AA44" i="10"/>
  <c r="AB55" i="10"/>
  <c r="L61" i="10"/>
  <c r="N61" i="10"/>
  <c r="J61" i="10"/>
  <c r="W105" i="10"/>
  <c r="F105" i="10"/>
  <c r="O138" i="10"/>
  <c r="J121" i="10"/>
  <c r="O121" i="10"/>
  <c r="T4" i="10"/>
  <c r="Z4" i="10"/>
  <c r="O9" i="10"/>
  <c r="O25" i="10"/>
  <c r="Z61" i="10"/>
  <c r="U127" i="10"/>
  <c r="O127" i="10"/>
  <c r="AA131" i="10"/>
  <c r="AA138" i="10"/>
  <c r="AA144" i="10"/>
  <c r="I122" i="10"/>
  <c r="AC122" i="10"/>
  <c r="Q4" i="10"/>
  <c r="I9" i="10"/>
  <c r="I25" i="10"/>
  <c r="K61" i="10"/>
  <c r="AA78" i="10"/>
  <c r="O85" i="10"/>
  <c r="E61" i="10"/>
  <c r="I127" i="10"/>
  <c r="O131" i="10"/>
  <c r="I57" i="10"/>
  <c r="AC57" i="10"/>
  <c r="O155" i="10"/>
  <c r="R4" i="10"/>
  <c r="AA5" i="10"/>
  <c r="X4" i="10"/>
  <c r="U9" i="10"/>
  <c r="V4" i="10"/>
  <c r="AA25" i="10"/>
  <c r="U25" i="10"/>
  <c r="AA35" i="10"/>
  <c r="AA41" i="10"/>
  <c r="O109" i="10"/>
  <c r="U112" i="10"/>
  <c r="O118" i="10"/>
  <c r="L143" i="10"/>
  <c r="T143" i="10"/>
  <c r="H143" i="10"/>
  <c r="P143" i="10"/>
  <c r="U144" i="10"/>
  <c r="R143" i="10"/>
  <c r="O159" i="10"/>
  <c r="AA164" i="10"/>
  <c r="AA9" i="10"/>
  <c r="L4" i="10"/>
  <c r="I118" i="10"/>
  <c r="O161" i="10"/>
  <c r="F143" i="10"/>
  <c r="D44" i="10"/>
  <c r="AB44" i="10"/>
  <c r="O43" i="10"/>
  <c r="J41" i="10"/>
  <c r="J4" i="10"/>
  <c r="H61" i="10"/>
  <c r="U85" i="10"/>
  <c r="T61" i="10"/>
  <c r="I164" i="10"/>
  <c r="F61" i="10"/>
  <c r="I95" i="10"/>
  <c r="AC95" i="10"/>
  <c r="F4" i="10"/>
  <c r="U44" i="10"/>
  <c r="O44" i="10"/>
  <c r="AA49" i="10"/>
  <c r="U159" i="10"/>
  <c r="I159" i="10"/>
  <c r="U118" i="10"/>
  <c r="U164" i="10"/>
  <c r="D155" i="10"/>
  <c r="AB155" i="10"/>
  <c r="O164" i="10"/>
  <c r="U100" i="10"/>
  <c r="O100" i="10"/>
  <c r="N143" i="10"/>
  <c r="V121" i="10"/>
  <c r="U131" i="10"/>
  <c r="I138" i="10"/>
  <c r="AA126" i="10"/>
  <c r="U35" i="10"/>
  <c r="D49" i="10"/>
  <c r="AB49" i="10"/>
  <c r="X105" i="10"/>
  <c r="Q105" i="10"/>
  <c r="H105" i="10"/>
  <c r="Z105" i="10"/>
  <c r="AA159" i="10"/>
  <c r="V143" i="10"/>
  <c r="X61" i="10"/>
  <c r="R61" i="10"/>
  <c r="AA127" i="10"/>
  <c r="L105" i="10"/>
  <c r="T105" i="10"/>
  <c r="O5" i="10"/>
  <c r="N4" i="10"/>
  <c r="U78" i="10"/>
  <c r="AA112" i="10"/>
  <c r="U5" i="10"/>
  <c r="U43" i="10"/>
  <c r="P41" i="10"/>
  <c r="U41" i="10"/>
  <c r="U49" i="10"/>
  <c r="P61" i="10"/>
  <c r="R105" i="10"/>
  <c r="K105" i="10"/>
  <c r="H4" i="10"/>
  <c r="E41" i="10"/>
  <c r="I43" i="10"/>
  <c r="D85" i="10"/>
  <c r="AB85" i="10"/>
  <c r="E105" i="10"/>
  <c r="J143" i="10"/>
  <c r="AA155" i="10"/>
  <c r="X143" i="10"/>
  <c r="V61" i="10"/>
  <c r="AA100" i="10"/>
  <c r="T170" i="8"/>
  <c r="O61" i="8"/>
  <c r="Z71" i="8"/>
  <c r="O140" i="8"/>
  <c r="Z92" i="8"/>
  <c r="Z18" i="8"/>
  <c r="Z171" i="8"/>
  <c r="Z178" i="8"/>
  <c r="Z182" i="8"/>
  <c r="Z170" i="8"/>
  <c r="Z160" i="8"/>
  <c r="Z84" i="8"/>
  <c r="AA61" i="8"/>
  <c r="I90" i="10"/>
  <c r="AC90" i="10"/>
  <c r="F189" i="10"/>
  <c r="AC9" i="10"/>
  <c r="AC112" i="10"/>
  <c r="H189" i="10"/>
  <c r="AB106" i="10"/>
  <c r="AC16" i="10"/>
  <c r="AB121" i="10"/>
  <c r="R189" i="10"/>
  <c r="Z189" i="10"/>
  <c r="Q189" i="10"/>
  <c r="AC126" i="10"/>
  <c r="K189" i="10"/>
  <c r="L189" i="10"/>
  <c r="AC159" i="10"/>
  <c r="AC164" i="10"/>
  <c r="X189" i="10"/>
  <c r="AC138" i="10"/>
  <c r="T189" i="10"/>
  <c r="AC127" i="10"/>
  <c r="N189" i="10"/>
  <c r="W189" i="10"/>
  <c r="AB41" i="10"/>
  <c r="AC109" i="10"/>
  <c r="AC62" i="10"/>
  <c r="AC78" i="10"/>
  <c r="AC100" i="10"/>
  <c r="AC118" i="10"/>
  <c r="AC25" i="10"/>
  <c r="AC69" i="10"/>
  <c r="AC43" i="10"/>
  <c r="I131" i="10"/>
  <c r="AC131" i="10"/>
  <c r="I106" i="10"/>
  <c r="I35" i="10"/>
  <c r="AC35" i="10"/>
  <c r="I121" i="10"/>
  <c r="T61" i="8"/>
  <c r="T140" i="8"/>
  <c r="O97" i="8"/>
  <c r="Z67" i="8"/>
  <c r="Y140" i="8"/>
  <c r="T3" i="8"/>
  <c r="Z47" i="8"/>
  <c r="AA152" i="8"/>
  <c r="AA140" i="8"/>
  <c r="J152" i="8"/>
  <c r="Z152" i="8"/>
  <c r="F140" i="8"/>
  <c r="T98" i="8"/>
  <c r="P97" i="8"/>
  <c r="T97" i="8"/>
  <c r="Z110" i="8"/>
  <c r="AA126" i="8"/>
  <c r="J126" i="8"/>
  <c r="Z126" i="8"/>
  <c r="F97" i="8"/>
  <c r="AA97" i="8"/>
  <c r="Z8" i="8"/>
  <c r="Y170" i="8"/>
  <c r="Z158" i="8"/>
  <c r="Z104" i="8"/>
  <c r="J61" i="8"/>
  <c r="AA98" i="8"/>
  <c r="Z61" i="8"/>
  <c r="Z38" i="8"/>
  <c r="Y3" i="8"/>
  <c r="AA38" i="8"/>
  <c r="AA52" i="8"/>
  <c r="J52" i="8"/>
  <c r="Z52" i="8"/>
  <c r="F3" i="8"/>
  <c r="Z98" i="8"/>
  <c r="P3" i="8"/>
  <c r="J3" i="8"/>
  <c r="Z141" i="8"/>
  <c r="J140" i="8"/>
  <c r="P105" i="10"/>
  <c r="U105" i="10"/>
  <c r="I5" i="10"/>
  <c r="AC5" i="10"/>
  <c r="P4" i="10"/>
  <c r="AA4" i="10"/>
  <c r="O41" i="10"/>
  <c r="O4" i="10"/>
  <c r="D105" i="10"/>
  <c r="AA143" i="10"/>
  <c r="I155" i="10"/>
  <c r="AC155" i="10"/>
  <c r="U4" i="10"/>
  <c r="J105" i="10"/>
  <c r="J189" i="10"/>
  <c r="I44" i="10"/>
  <c r="AC44" i="10"/>
  <c r="U143" i="10"/>
  <c r="AA61" i="10"/>
  <c r="O61" i="10"/>
  <c r="D143" i="10"/>
  <c r="AB143" i="10"/>
  <c r="I144" i="10"/>
  <c r="AC144" i="10"/>
  <c r="O106" i="10"/>
  <c r="O143" i="10"/>
  <c r="I49" i="10"/>
  <c r="AC49" i="10"/>
  <c r="D4" i="10"/>
  <c r="U61" i="10"/>
  <c r="AA121" i="10"/>
  <c r="AC121" i="10"/>
  <c r="V105" i="10"/>
  <c r="AA105" i="10"/>
  <c r="D61" i="10"/>
  <c r="AB61" i="10"/>
  <c r="I85" i="10"/>
  <c r="AC85" i="10"/>
  <c r="E4" i="10"/>
  <c r="I41" i="10"/>
  <c r="Z140" i="8"/>
  <c r="AA3" i="8"/>
  <c r="J97" i="8"/>
  <c r="Z97" i="8"/>
  <c r="Z3" i="8"/>
  <c r="P189" i="10"/>
  <c r="AC106" i="10"/>
  <c r="AB4" i="10"/>
  <c r="V189" i="10"/>
  <c r="AB105" i="10"/>
  <c r="AC41" i="10"/>
  <c r="U189" i="10"/>
  <c r="AA189" i="10"/>
  <c r="I105" i="10"/>
  <c r="D189" i="10"/>
  <c r="O105" i="10"/>
  <c r="O189" i="10"/>
  <c r="I4" i="10"/>
  <c r="I61" i="10"/>
  <c r="AC61" i="10"/>
  <c r="E161" i="10"/>
  <c r="AB189" i="10"/>
  <c r="AC105" i="10"/>
  <c r="AC4" i="10"/>
  <c r="E143" i="10"/>
  <c r="E189" i="10"/>
  <c r="I161" i="10"/>
  <c r="AC161" i="10"/>
  <c r="I143" i="10"/>
  <c r="AC143" i="10"/>
  <c r="AC189" i="10"/>
  <c r="I189" i="10"/>
</calcChain>
</file>

<file path=xl/comments1.xml><?xml version="1.0" encoding="utf-8"?>
<comments xmlns="http://schemas.openxmlformats.org/spreadsheetml/2006/main">
  <authors>
    <author>USER</author>
    <author>Giorgi Kezherashvili</author>
    <author>Zurab Gumashvili</author>
  </authors>
  <commentList>
    <comment ref="B6" authorId="0" shapeId="0">
      <text>
        <r>
          <rPr>
            <b/>
            <sz val="9"/>
            <color indexed="81"/>
            <rFont val="Tahoma"/>
            <family val="2"/>
          </rPr>
          <t>USER:</t>
        </r>
        <r>
          <rPr>
            <sz val="9"/>
            <color indexed="81"/>
            <rFont val="Tahoma"/>
            <family val="2"/>
          </rPr>
          <t xml:space="preserve">
25 02 03 ჩქაროსნული ავტომაგისტრალების მშენებლობა,აუცილებლად უნდა იყოს წითელი ხიდი და ლაგოდეხი</t>
        </r>
      </text>
    </comment>
    <comment ref="B10" authorId="0" shapeId="0">
      <text>
        <r>
          <rPr>
            <b/>
            <sz val="9"/>
            <color indexed="81"/>
            <rFont val="Tahoma"/>
            <family val="2"/>
          </rPr>
          <t>USER:</t>
        </r>
        <r>
          <rPr>
            <sz val="9"/>
            <color indexed="81"/>
            <rFont val="Tahoma"/>
            <family val="2"/>
          </rPr>
          <t xml:space="preserve">
the figuts are agreed with railwau dep. Giorgi Zazashvili</t>
        </r>
      </text>
    </comment>
    <comment ref="B11" authorId="0" shapeId="0">
      <text>
        <r>
          <rPr>
            <b/>
            <sz val="9"/>
            <color indexed="81"/>
            <rFont val="Tahoma"/>
            <family val="2"/>
          </rPr>
          <t>USER:</t>
        </r>
        <r>
          <rPr>
            <sz val="9"/>
            <color indexed="81"/>
            <rFont val="Tahoma"/>
            <family val="2"/>
          </rPr>
          <t xml:space="preserve">
აქ წაიშალა პორტები და უნდა დაემატოს ერთი ახალი აქტივობა ცალკე ხაზზე   თბილისისა და ქუთაისის ლოგისტიკური ცენტრების განვითარების მიზნით შერჩეული ინვესტორები; ამის ბიუჯეტი არაა ცნობილი</t>
        </r>
      </text>
    </comment>
    <comment ref="B12" authorId="0" shapeId="0">
      <text>
        <r>
          <rPr>
            <b/>
            <sz val="9"/>
            <color indexed="81"/>
            <rFont val="Tahoma"/>
            <family val="2"/>
          </rPr>
          <t>USER:</t>
        </r>
        <r>
          <rPr>
            <sz val="9"/>
            <color indexed="81"/>
            <rFont val="Tahoma"/>
            <family val="2"/>
          </rPr>
          <t xml:space="preserve">
25 02 02 13
ანაკლიის პორტთან მისასვლელი
საავტომობილო გზის და
რკინიგზის მშენებლობა</t>
        </r>
      </text>
    </comment>
    <comment ref="B13" authorId="0" shapeId="0">
      <text>
        <r>
          <rPr>
            <b/>
            <sz val="9"/>
            <color indexed="81"/>
            <rFont val="Tahoma"/>
            <family val="2"/>
          </rPr>
          <t>USER:</t>
        </r>
        <r>
          <rPr>
            <sz val="9"/>
            <color indexed="81"/>
            <rFont val="Tahoma"/>
            <family val="2"/>
          </rPr>
          <t xml:space="preserve">
30 02 ნაწილი ვიდეოთვალი და უსართხოება, 24 06 06 ქუთაისის საერთაშორისო აეროპორტის სამგზავრო ტერმინალის გაფართოება; ასეთი სახელით არის ეკონომიკის სამინისტროს ბიუჯეტში</t>
        </r>
      </text>
    </comment>
    <comment ref="B14" authorId="0" shapeId="0">
      <text>
        <r>
          <rPr>
            <b/>
            <sz val="9"/>
            <color indexed="81"/>
            <rFont val="Tahoma"/>
            <family val="2"/>
          </rPr>
          <t>USER:</t>
        </r>
        <r>
          <rPr>
            <sz val="9"/>
            <color indexed="81"/>
            <rFont val="Tahoma"/>
            <family val="2"/>
          </rPr>
          <t xml:space="preserve">
 რკინიგზა აკეთებს ქუთაისის აეროპორტში რკინიგზის ვაგზალს. სამუშაო დამთავრდება 2019 წელს, სულ 9მლნ ლარი. ინფორმაცია გიორგი ზაზაშვილისგან </t>
        </r>
      </text>
    </comment>
    <comment ref="E15" authorId="1" shapeId="0">
      <text>
        <r>
          <rPr>
            <b/>
            <sz val="9"/>
            <color indexed="81"/>
            <rFont val="Tahoma"/>
            <family val="2"/>
          </rPr>
          <t>Giorgi Kezherashvili:</t>
        </r>
        <r>
          <rPr>
            <sz val="9"/>
            <color indexed="81"/>
            <rFont val="Tahoma"/>
            <family val="2"/>
          </rPr>
          <t xml:space="preserve">
Kutaisi - $72.5; Tbilisi - $80.3+$15.1 (container terminal)=$95.4</t>
        </r>
      </text>
    </comment>
    <comment ref="AC19" authorId="2" shapeId="0">
      <text>
        <r>
          <rPr>
            <b/>
            <sz val="9"/>
            <color indexed="81"/>
            <rFont val="Tahoma"/>
            <family val="2"/>
          </rPr>
          <t>Zurab Gumashvili:</t>
        </r>
        <r>
          <rPr>
            <sz val="9"/>
            <color indexed="81"/>
            <rFont val="Tahoma"/>
            <family val="2"/>
          </rPr>
          <t xml:space="preserve">
საერთაშორისო საქველმოქმედო ფონდი "ქართუ" - დაახლ. 60 მლნ. აშშ დოლარი.
სავარაუდო განაწილება: 2018 - 7 მლნ. ლარი.
2019 - 12 მლნ. ლარი
ეს ყველა ქვე აქტივობის ბიუჯეტი</t>
        </r>
      </text>
    </comment>
    <comment ref="B27" authorId="0" shapeId="0">
      <text>
        <r>
          <rPr>
            <b/>
            <sz val="9"/>
            <color indexed="81"/>
            <rFont val="Tahoma"/>
            <family val="2"/>
          </rPr>
          <t>USER:</t>
        </r>
        <r>
          <rPr>
            <sz val="9"/>
            <color indexed="81"/>
            <rFont val="Tahoma"/>
            <family val="2"/>
          </rPr>
          <t xml:space="preserve">
24 15 ბიუჯეტში ქვია "საქართველოს სხვადასხვა რეგიონში გაზისა და ელექტროენერგიის გარეშე დარჩენილი სოფლების გაზიფიცირება და ელექტრიფიცირება", ანუ ერთადაა გაზიფიცირება და ელექტროფიცირება.</t>
        </r>
      </text>
    </comment>
    <comment ref="B28" authorId="0" shapeId="0">
      <text>
        <r>
          <rPr>
            <b/>
            <sz val="9"/>
            <color indexed="81"/>
            <rFont val="Tahoma"/>
            <family val="2"/>
          </rPr>
          <t>USER 24 14 ში ცალკე არაა გამოყოფილი აჭარა და გურია</t>
        </r>
      </text>
    </comment>
    <comment ref="B29" authorId="0" shapeId="0">
      <text>
        <r>
          <rPr>
            <b/>
            <sz val="9"/>
            <color indexed="81"/>
            <rFont val="Tahoma"/>
            <family val="2"/>
          </rPr>
          <t>USER:</t>
        </r>
        <r>
          <rPr>
            <sz val="9"/>
            <color indexed="81"/>
            <rFont val="Tahoma"/>
            <family val="2"/>
          </rPr>
          <t xml:space="preserve">
ყაზბეგის მუნიციპალიტეტისა და
დუშეთის მუნიციპალიტეტის
მაღალმთიანი სოფლების
მოსახლეობისათვის
მიწოდებული ბუნებრივი აირის
ღირებულების ანაზღაურება 24 11</t>
        </r>
      </text>
    </comment>
    <comment ref="B30" authorId="0" shapeId="0">
      <text>
        <r>
          <rPr>
            <b/>
            <sz val="9"/>
            <color indexed="81"/>
            <rFont val="Tahoma"/>
            <family val="2"/>
          </rPr>
          <t>USER:</t>
        </r>
        <r>
          <rPr>
            <sz val="9"/>
            <color indexed="81"/>
            <rFont val="Tahoma"/>
            <family val="2"/>
          </rPr>
          <t xml:space="preserve">
24 13 01
ვარდნილისა და ენგურის
ჰიდროელექტროსადგურების რეაბილიტაციის
პროექტი (EIB, EU) +24 14 02
02
ჯვარი ხორგა ელექტროგადამცემი ხაზი (EBRD, EC,
KfW, WB)3</t>
        </r>
      </text>
    </comment>
    <comment ref="B34" authorId="0" shapeId="0">
      <text>
        <r>
          <rPr>
            <b/>
            <sz val="9"/>
            <color indexed="81"/>
            <rFont val="Tahoma"/>
            <family val="2"/>
          </rPr>
          <t>USER:</t>
        </r>
        <r>
          <rPr>
            <sz val="9"/>
            <color indexed="81"/>
            <rFont val="Tahoma"/>
            <family val="2"/>
          </rPr>
          <t xml:space="preserve">
ვერ ვნახე ვერსად, ინოვაციების 10 მლნ?</t>
        </r>
      </text>
    </comment>
    <comment ref="B36" authorId="0" shapeId="0">
      <text>
        <r>
          <rPr>
            <b/>
            <sz val="9"/>
            <color indexed="81"/>
            <rFont val="Tahoma"/>
            <family val="2"/>
          </rPr>
          <t>USER:</t>
        </r>
        <r>
          <rPr>
            <sz val="9"/>
            <color indexed="81"/>
            <rFont val="Tahoma"/>
            <family val="2"/>
          </rPr>
          <t xml:space="preserve">
25 02 02 07 სანაპირო ზონების ნაპირსამაგრი სამუშაოები": შედეგია  გამაგრებული ზღვის ნაპირები,
მდინარეების კალაპოტები და ნაპირები.</t>
        </r>
      </text>
    </comment>
    <comment ref="B37" authorId="0" shapeId="0">
      <text>
        <r>
          <rPr>
            <b/>
            <sz val="9"/>
            <color indexed="81"/>
            <rFont val="Tahoma"/>
            <family val="2"/>
          </rPr>
          <t>USER:</t>
        </r>
        <r>
          <rPr>
            <sz val="9"/>
            <color indexed="81"/>
            <rFont val="Tahoma"/>
            <family val="2"/>
          </rPr>
          <t xml:space="preserve">
 25 02 02 05 და სავარაუდოდ დაემატება 31 11 დან ბიუჯეტის ნაწილი</t>
        </r>
      </text>
    </comment>
    <comment ref="B38" authorId="0" shapeId="0">
      <text>
        <r>
          <rPr>
            <b/>
            <sz val="9"/>
            <color indexed="81"/>
            <rFont val="Tahoma"/>
            <family val="2"/>
          </rPr>
          <t>USER:</t>
        </r>
        <r>
          <rPr>
            <sz val="9"/>
            <color indexed="81"/>
            <rFont val="Tahoma"/>
            <family val="2"/>
          </rPr>
          <t xml:space="preserve">
31 14 "გარემოს დაცვის სფეროში მონიტორინგი, პროგნოზირება და პრევენცია დან უნდა გამოიყოს</t>
        </r>
      </text>
    </comment>
    <comment ref="B39" authorId="0" shapeId="0">
      <text>
        <r>
          <rPr>
            <b/>
            <sz val="9"/>
            <color indexed="81"/>
            <rFont val="Tahoma"/>
            <family val="2"/>
          </rPr>
          <t>USER:</t>
        </r>
        <r>
          <rPr>
            <sz val="9"/>
            <color indexed="81"/>
            <rFont val="Tahoma"/>
            <family val="2"/>
          </rPr>
          <t xml:space="preserve">
31 14-ის ნაწილი - გეოლოგიური მონიტორინგი (გაზაფხული–შემოდგომა) და ფორს-მაჟორულ სიტუაციაში სტიქიური გეოლოგიური
პროცესების შეფასების ანალიზი</t>
        </r>
      </text>
    </comment>
    <comment ref="B40" authorId="0" shapeId="0">
      <text>
        <r>
          <rPr>
            <b/>
            <sz val="9"/>
            <color indexed="81"/>
            <rFont val="Tahoma"/>
            <family val="2"/>
          </rPr>
          <t>USER:</t>
        </r>
        <r>
          <rPr>
            <sz val="9"/>
            <color indexed="81"/>
            <rFont val="Tahoma"/>
            <family val="2"/>
          </rPr>
          <t xml:space="preserve">
სავარაოდოდ პრემიერის ფონდიდან ფინანსდება. უნდა გავარკვიო</t>
        </r>
      </text>
    </comment>
    <comment ref="B42" authorId="0" shapeId="0">
      <text>
        <r>
          <rPr>
            <b/>
            <sz val="9"/>
            <color indexed="81"/>
            <rFont val="Tahoma"/>
            <family val="2"/>
          </rPr>
          <t>USER:</t>
        </r>
        <r>
          <rPr>
            <sz val="9"/>
            <color indexed="81"/>
            <rFont val="Tahoma"/>
            <family val="2"/>
          </rPr>
          <t xml:space="preserve">
25 04 წყალმომარაგების ინფრასტრუქტურის აღდგენა-რეაბილიტაცია </t>
        </r>
      </text>
    </comment>
    <comment ref="D42" authorId="0" shapeId="0">
      <text>
        <r>
          <rPr>
            <b/>
            <sz val="9"/>
            <color indexed="81"/>
            <rFont val="Tahoma"/>
            <family val="2"/>
          </rPr>
          <t>USER:</t>
        </r>
        <r>
          <rPr>
            <sz val="9"/>
            <color indexed="81"/>
            <rFont val="Tahoma"/>
            <family val="2"/>
          </rPr>
          <t xml:space="preserve">
კომპანიის მონაცემით აქ უნდა იყოს 23415, ბიუჯეტის კანონით 46650, ცხრილში ბათუს მონაცემია</t>
        </r>
      </text>
    </comment>
    <comment ref="E42" authorId="0" shapeId="0">
      <text>
        <r>
          <rPr>
            <b/>
            <sz val="9"/>
            <color indexed="81"/>
            <rFont val="Tahoma"/>
            <family val="2"/>
          </rPr>
          <t>USER:</t>
        </r>
        <r>
          <rPr>
            <sz val="9"/>
            <color indexed="81"/>
            <rFont val="Tahoma"/>
            <family val="2"/>
          </rPr>
          <t xml:space="preserve">
კომპანიის მონაცემით აქ 129585, ბიუჯეტის კანონით 149350, ცხრილში ბათუს რიცხვებია</t>
        </r>
      </text>
    </comment>
    <comment ref="I42" authorId="0" shapeId="0">
      <text>
        <r>
          <rPr>
            <b/>
            <sz val="9"/>
            <color indexed="81"/>
            <rFont val="Tahoma"/>
            <family val="2"/>
          </rPr>
          <t>USER:</t>
        </r>
        <r>
          <rPr>
            <sz val="9"/>
            <color indexed="81"/>
            <rFont val="Tahoma"/>
            <family val="2"/>
          </rPr>
          <t xml:space="preserve">
ბიუჯეტის მე-6 დანართით აქ 196000=46650+14750+134600</t>
        </r>
      </text>
    </comment>
    <comment ref="O42" authorId="0" shapeId="0">
      <text>
        <r>
          <rPr>
            <b/>
            <sz val="9"/>
            <color indexed="81"/>
            <rFont val="Tahoma"/>
            <family val="2"/>
          </rPr>
          <t>USER:</t>
        </r>
        <r>
          <rPr>
            <sz val="9"/>
            <color indexed="81"/>
            <rFont val="Tahoma"/>
            <family val="2"/>
          </rPr>
          <t xml:space="preserve">
BDD-ში არის 364,681 აქ ბათუს მონაცემია</t>
        </r>
      </text>
    </comment>
    <comment ref="B43" authorId="0" shapeId="0">
      <text>
        <r>
          <rPr>
            <b/>
            <sz val="9"/>
            <color indexed="81"/>
            <rFont val="Tahoma"/>
            <family val="2"/>
          </rPr>
          <t>USER:</t>
        </r>
        <r>
          <rPr>
            <sz val="9"/>
            <color indexed="81"/>
            <rFont val="Tahoma"/>
            <family val="2"/>
          </rPr>
          <t xml:space="preserve">
25 05 მყარი ნარჩენების მართვის პროგრამა და 56 13 03 აჭარის მყარი ნარჩენების
პროექტი (EBRD) </t>
        </r>
      </text>
    </comment>
    <comment ref="A49" authorId="0" shapeId="0">
      <text>
        <r>
          <rPr>
            <b/>
            <sz val="9"/>
            <color indexed="81"/>
            <rFont val="Tahoma"/>
            <family val="2"/>
          </rPr>
          <t>USER:</t>
        </r>
        <r>
          <rPr>
            <sz val="9"/>
            <color indexed="81"/>
            <rFont val="Tahoma"/>
            <family val="2"/>
          </rPr>
          <t xml:space="preserve">
ქარრთულ ტექსტში არის 1.7 ნაცვლად 1.8-ის</t>
        </r>
      </text>
    </comment>
    <comment ref="B54" authorId="0" shapeId="0">
      <text>
        <r>
          <rPr>
            <b/>
            <sz val="9"/>
            <color indexed="81"/>
            <rFont val="Tahoma"/>
            <family val="2"/>
          </rPr>
          <t>USER:</t>
        </r>
        <r>
          <rPr>
            <sz val="9"/>
            <color indexed="81"/>
            <rFont val="Tahoma"/>
            <family val="2"/>
          </rPr>
          <t xml:space="preserve">
31 09 04</t>
        </r>
      </text>
    </comment>
    <comment ref="B65" authorId="0" shapeId="0">
      <text>
        <r>
          <rPr>
            <b/>
            <sz val="9"/>
            <color indexed="81"/>
            <rFont val="Tahoma"/>
            <family val="2"/>
          </rPr>
          <t>USER:</t>
        </r>
        <r>
          <rPr>
            <sz val="9"/>
            <color indexed="81"/>
            <rFont val="Tahoma"/>
            <family val="2"/>
          </rPr>
          <t xml:space="preserve">
24 07 მეწარმეობის განვითარება აქედან უნდა ამოიღოს ნაწილი</t>
        </r>
      </text>
    </comment>
    <comment ref="B66" authorId="0" shapeId="0">
      <text>
        <r>
          <rPr>
            <b/>
            <sz val="9"/>
            <color indexed="81"/>
            <rFont val="Tahoma"/>
            <family val="2"/>
          </rPr>
          <t>USER:</t>
        </r>
        <r>
          <rPr>
            <sz val="9"/>
            <color indexed="81"/>
            <rFont val="Tahoma"/>
            <family val="2"/>
          </rPr>
          <t xml:space="preserve">
24 07 მეწარმეობის განვითარება აქედან უნდა ამოიღოს ნაწილი</t>
        </r>
      </text>
    </comment>
    <comment ref="A144" authorId="0" shapeId="0">
      <text>
        <r>
          <rPr>
            <b/>
            <sz val="9"/>
            <color indexed="81"/>
            <rFont val="Tahoma"/>
            <family val="2"/>
          </rPr>
          <t>USER:</t>
        </r>
        <r>
          <rPr>
            <sz val="9"/>
            <color indexed="81"/>
            <rFont val="Tahoma"/>
            <family val="2"/>
          </rPr>
          <t xml:space="preserve">
დიტოსთან გავივლი</t>
        </r>
      </text>
    </comment>
    <comment ref="A154" authorId="0" shapeId="0">
      <text>
        <r>
          <rPr>
            <b/>
            <sz val="9"/>
            <color indexed="81"/>
            <rFont val="Tahoma"/>
            <family val="2"/>
          </rPr>
          <t>USER:</t>
        </r>
        <r>
          <rPr>
            <sz val="9"/>
            <color indexed="81"/>
            <rFont val="Tahoma"/>
            <family val="2"/>
          </rPr>
          <t xml:space="preserve">
რეგიონი არაა სწორი</t>
        </r>
      </text>
    </comment>
    <comment ref="A159" authorId="0" shapeId="0">
      <text>
        <r>
          <rPr>
            <b/>
            <sz val="9"/>
            <color indexed="81"/>
            <rFont val="Tahoma"/>
            <family val="2"/>
          </rPr>
          <t>USER:</t>
        </r>
        <r>
          <rPr>
            <sz val="9"/>
            <color indexed="81"/>
            <rFont val="Tahoma"/>
            <family val="2"/>
          </rPr>
          <t xml:space="preserve">
24 19 ანაკლიის ღრმაწყლოვანი პორტის განვითარება </t>
        </r>
      </text>
    </comment>
    <comment ref="A161" authorId="0" shapeId="0">
      <text>
        <r>
          <rPr>
            <b/>
            <sz val="9"/>
            <color indexed="81"/>
            <rFont val="Tahoma"/>
            <family val="2"/>
          </rPr>
          <t>USER:</t>
        </r>
        <r>
          <rPr>
            <sz val="9"/>
            <color indexed="81"/>
            <rFont val="Tahoma"/>
            <family val="2"/>
          </rPr>
          <t xml:space="preserve">
ტექსტში გასასწორებელია სიტყვები </t>
        </r>
      </text>
    </comment>
  </commentList>
</comments>
</file>

<file path=xl/comments2.xml><?xml version="1.0" encoding="utf-8"?>
<comments xmlns="http://schemas.openxmlformats.org/spreadsheetml/2006/main">
  <authors>
    <author>USER</author>
    <author>DAVID MAMARDASHVILI</author>
  </authors>
  <commentList>
    <comment ref="B5" authorId="0" shapeId="0">
      <text>
        <r>
          <rPr>
            <b/>
            <sz val="9"/>
            <color indexed="81"/>
            <rFont val="Tahoma"/>
            <family val="2"/>
          </rPr>
          <t>USER:</t>
        </r>
        <r>
          <rPr>
            <sz val="9"/>
            <color indexed="81"/>
            <rFont val="Tahoma"/>
            <family val="2"/>
          </rPr>
          <t xml:space="preserve">
25 02 03 ჩქაროსნული ავტომაგისტრალების მშენებლობა,აუცილებლად უნდა იყოს წითელი ხიდი და ლაგოდეხი</t>
        </r>
      </text>
    </comment>
    <comment ref="B6" authorId="0" shapeId="0">
      <text>
        <r>
          <rPr>
            <b/>
            <sz val="9"/>
            <color indexed="81"/>
            <rFont val="Tahoma"/>
            <family val="2"/>
          </rPr>
          <t>USER:პროგრამის სახელია"</t>
        </r>
        <r>
          <rPr>
            <sz val="9"/>
            <color indexed="81"/>
            <rFont val="Tahoma"/>
            <family val="2"/>
          </rPr>
          <t>საერთაშორისო და შიდასახელმწიფოებრივი მნიშვნელობის საავტომობილო გზების და ხიდების რეაბილიტაცია" კოდი 25 02 02, პროგრამის მიზანია საავტომობილო გზების პერიოდული-მიმდინარე შეკეთება და რეაბილიტაცია, რეკონსტრუქცია-მოდერნიზაცია და
განვითარება;</t>
        </r>
      </text>
    </comment>
    <comment ref="B7" authorId="0" shapeId="0">
      <text>
        <r>
          <rPr>
            <b/>
            <sz val="9"/>
            <color indexed="81"/>
            <rFont val="Tahoma"/>
            <family val="2"/>
          </rPr>
          <t>USER:</t>
        </r>
        <r>
          <rPr>
            <sz val="9"/>
            <color indexed="81"/>
            <rFont val="Tahoma"/>
            <family val="2"/>
          </rPr>
          <t xml:space="preserve">
25 01 03 "ანაკლიის ღრმაწყლოვანი
ნავსადგურის განვითარება" + 24 19 "ანაკლიის ღრმაწყლოვანი პორტის განვითარება"
  </t>
        </r>
      </text>
    </comment>
    <comment ref="B9" authorId="0" shapeId="0">
      <text>
        <r>
          <rPr>
            <b/>
            <sz val="9"/>
            <color indexed="81"/>
            <rFont val="Tahoma"/>
            <family val="2"/>
          </rPr>
          <t>USER:</t>
        </r>
        <r>
          <rPr>
            <sz val="9"/>
            <color indexed="81"/>
            <rFont val="Tahoma"/>
            <family val="2"/>
          </rPr>
          <t xml:space="preserve">
the figuts are agreed with railwau dep. Giorgi Zazashvili</t>
        </r>
      </text>
    </comment>
    <comment ref="B10" authorId="0" shapeId="0">
      <text>
        <r>
          <rPr>
            <b/>
            <sz val="9"/>
            <color indexed="81"/>
            <rFont val="Tahoma"/>
            <family val="2"/>
          </rPr>
          <t>USER:</t>
        </r>
        <r>
          <rPr>
            <sz val="9"/>
            <color indexed="81"/>
            <rFont val="Tahoma"/>
            <family val="2"/>
          </rPr>
          <t xml:space="preserve">
25 02 02 13
ანაკლიის პორტთან მისასვლელი
საავტომობილო გზის და
რკინიგზის მშენებლობა</t>
        </r>
      </text>
    </comment>
    <comment ref="B11" authorId="0" shapeId="0">
      <text>
        <r>
          <rPr>
            <b/>
            <sz val="9"/>
            <color indexed="81"/>
            <rFont val="Tahoma"/>
            <family val="2"/>
          </rPr>
          <t>USER:</t>
        </r>
        <r>
          <rPr>
            <sz val="9"/>
            <color indexed="81"/>
            <rFont val="Tahoma"/>
            <family val="2"/>
          </rPr>
          <t xml:space="preserve">
30 02 ნაწილი ვიდეოთვალი და უსართხოება, 24 06 06 ქუთაისის საერთაშორისო აეროპორტის სამგზავრო ტერმინალის გაფართოება; ასეთი სახელით არის ეკონომიკის სამინისტროს ბიუჯეტში</t>
        </r>
      </text>
    </comment>
    <comment ref="B12" authorId="0" shapeId="0">
      <text>
        <r>
          <rPr>
            <b/>
            <sz val="9"/>
            <color indexed="81"/>
            <rFont val="Tahoma"/>
            <family val="2"/>
          </rPr>
          <t>USER:</t>
        </r>
        <r>
          <rPr>
            <sz val="9"/>
            <color indexed="81"/>
            <rFont val="Tahoma"/>
            <family val="2"/>
          </rPr>
          <t xml:space="preserve">
 რკინიგზა აკეთებს ქუთაისის აეროპორტში რკინიგზის ვაგზალს. სამუშაო დამთავრდება 2019 წელს, სულ 9მლნ ლარი. ინფორმაცია გიორგი ზაზაშვილისგან </t>
        </r>
      </text>
    </comment>
    <comment ref="B13" authorId="0" shapeId="0">
      <text>
        <r>
          <rPr>
            <b/>
            <sz val="9"/>
            <color indexed="81"/>
            <rFont val="Tahoma"/>
            <family val="2"/>
          </rPr>
          <t>USER:</t>
        </r>
        <r>
          <rPr>
            <sz val="9"/>
            <color indexed="81"/>
            <rFont val="Tahoma"/>
            <family val="2"/>
          </rPr>
          <t xml:space="preserve">
აქ წაიშალა პორტები და უნდა დაემატოს ერთი ახალი აქტივობა ცალკე ხაზზე   თბილისისა და ქუთაისის ლოგისტიკური ცენტრების განვითარების მიზნით შერჩეული ინვესტორები; ამის ბიუჯეტი არაა ცნობილი</t>
        </r>
      </text>
    </comment>
    <comment ref="B15" authorId="0" shapeId="0">
      <text>
        <r>
          <rPr>
            <b/>
            <sz val="9"/>
            <color indexed="81"/>
            <rFont val="Tahoma"/>
            <family val="2"/>
          </rPr>
          <t>USER:</t>
        </r>
        <r>
          <rPr>
            <sz val="9"/>
            <color indexed="81"/>
            <rFont val="Tahoma"/>
            <family val="2"/>
          </rPr>
          <t xml:space="preserve">
მხოლოდ 30 01შია ნახსენები წვდომა მაგრამ ეს ამას არ ეხება, 2412 საქართველოს ეროვნული ინოვაციების ეკოსისტემის პროექტი (IBRD) </t>
        </r>
      </text>
    </comment>
    <comment ref="B20" authorId="0" shapeId="0">
      <text>
        <r>
          <rPr>
            <b/>
            <sz val="9"/>
            <color indexed="81"/>
            <rFont val="Tahoma"/>
            <family val="2"/>
          </rPr>
          <t>USER:</t>
        </r>
        <r>
          <rPr>
            <sz val="9"/>
            <color indexed="81"/>
            <rFont val="Tahoma"/>
            <family val="2"/>
          </rPr>
          <t xml:space="preserve">
24 15 ბიუჯეტში ქვია "საქართველოს სხვადასხვა რეგიონში გაზისა და ელექტროენერგიის გარეშე დარჩენილი სოფლების გაზიფიცირება და ელექტრიფიცირება", ანუ ერთადაა გაზიფიცირება და ელექტროფიცირება.</t>
        </r>
      </text>
    </comment>
    <comment ref="B21" authorId="0" shapeId="0">
      <text>
        <r>
          <rPr>
            <b/>
            <sz val="9"/>
            <color indexed="81"/>
            <rFont val="Tahoma"/>
            <family val="2"/>
          </rPr>
          <t>USER 24 14 ში ცალკე არაა გამოყოფილი აჭარა და გურია</t>
        </r>
      </text>
    </comment>
    <comment ref="B22" authorId="0" shapeId="0">
      <text>
        <r>
          <rPr>
            <b/>
            <sz val="9"/>
            <color indexed="81"/>
            <rFont val="Tahoma"/>
            <family val="2"/>
          </rPr>
          <t>USER:</t>
        </r>
        <r>
          <rPr>
            <sz val="9"/>
            <color indexed="81"/>
            <rFont val="Tahoma"/>
            <family val="2"/>
          </rPr>
          <t xml:space="preserve">
ყაზბეგის მუნიციპალიტეტისა და
დუშეთის მუნიციპალიტეტის
მაღალმთიანი სოფლების
მოსახლეობისათვის
მიწოდებული ბუნებრივი აირის
ღირებულების ანაზღაურება 24 11</t>
        </r>
      </text>
    </comment>
    <comment ref="B23" authorId="0" shapeId="0">
      <text>
        <r>
          <rPr>
            <b/>
            <sz val="9"/>
            <color indexed="81"/>
            <rFont val="Tahoma"/>
            <family val="2"/>
          </rPr>
          <t>USER:</t>
        </r>
        <r>
          <rPr>
            <sz val="9"/>
            <color indexed="81"/>
            <rFont val="Tahoma"/>
            <family val="2"/>
          </rPr>
          <t xml:space="preserve">
24 13 01
ვარდნილისა და ენგურის
ჰიდროელექტროსადგურების რეაბილიტაციის
პროექტი (EIB, EU) +24 14 02
02
ჯვარი ხორგა ელექტროგადამცემი ხაზი (EBRD, EC,
KfW, WB)3</t>
        </r>
      </text>
    </comment>
    <comment ref="B24" authorId="0" shapeId="0">
      <text>
        <r>
          <rPr>
            <b/>
            <sz val="9"/>
            <color indexed="81"/>
            <rFont val="Tahoma"/>
            <family val="2"/>
          </rPr>
          <t>გაზიფიცირება და ელექტროფიცირება ერთადაა</t>
        </r>
      </text>
    </comment>
    <comment ref="C24" authorId="0" shapeId="0">
      <text>
        <r>
          <rPr>
            <b/>
            <sz val="9"/>
            <color indexed="81"/>
            <rFont val="Tahoma"/>
            <family val="2"/>
          </rPr>
          <t>USER:</t>
        </r>
        <r>
          <rPr>
            <sz val="9"/>
            <color indexed="81"/>
            <rFont val="Tahoma"/>
            <family val="2"/>
          </rPr>
          <t xml:space="preserve">
ეს უნდა შეუერთდეს გაზიფიცირებას და ეს ხაზი ამოვიღოთ</t>
        </r>
      </text>
    </comment>
    <comment ref="B28" authorId="0" shapeId="0">
      <text>
        <r>
          <rPr>
            <b/>
            <sz val="9"/>
            <color indexed="81"/>
            <rFont val="Tahoma"/>
            <family val="2"/>
          </rPr>
          <t>USER:</t>
        </r>
        <r>
          <rPr>
            <sz val="9"/>
            <color indexed="81"/>
            <rFont val="Tahoma"/>
            <family val="2"/>
          </rPr>
          <t xml:space="preserve">
ვერ ვნახე ვერსად, ინოვაციების 10 მლნ?</t>
        </r>
      </text>
    </comment>
    <comment ref="B30" authorId="0" shapeId="0">
      <text>
        <r>
          <rPr>
            <b/>
            <sz val="9"/>
            <color indexed="81"/>
            <rFont val="Tahoma"/>
            <family val="2"/>
          </rPr>
          <t>USER:</t>
        </r>
        <r>
          <rPr>
            <sz val="9"/>
            <color indexed="81"/>
            <rFont val="Tahoma"/>
            <family val="2"/>
          </rPr>
          <t xml:space="preserve">
25 02 02 07 სანაპირო ზონების ნაპირსამაგრი სამუშაოები": შედეგია  გამაგრებული ზღვის ნაპირები,
მდინარეების კალაპოტები და ნაპირები.</t>
        </r>
      </text>
    </comment>
    <comment ref="B31" authorId="0" shapeId="0">
      <text>
        <r>
          <rPr>
            <b/>
            <sz val="9"/>
            <color indexed="81"/>
            <rFont val="Tahoma"/>
            <family val="2"/>
          </rPr>
          <t>USER:</t>
        </r>
        <r>
          <rPr>
            <sz val="9"/>
            <color indexed="81"/>
            <rFont val="Tahoma"/>
            <family val="2"/>
          </rPr>
          <t xml:space="preserve">
 25 02 02 05 და სავარაუდოდ დაემატება 31 11 დან ბიუჯეტის ნაწილი</t>
        </r>
      </text>
    </comment>
    <comment ref="B32" authorId="0" shapeId="0">
      <text>
        <r>
          <rPr>
            <b/>
            <sz val="9"/>
            <color indexed="81"/>
            <rFont val="Tahoma"/>
            <family val="2"/>
          </rPr>
          <t>USER:</t>
        </r>
        <r>
          <rPr>
            <sz val="9"/>
            <color indexed="81"/>
            <rFont val="Tahoma"/>
            <family val="2"/>
          </rPr>
          <t xml:space="preserve">
31 14 "გარემოს დაცვის სფეროში მონიტორინგი, პროგნოზირება და პრევენცია დან უნდა გამოიყოს</t>
        </r>
      </text>
    </comment>
    <comment ref="B33" authorId="0" shapeId="0">
      <text>
        <r>
          <rPr>
            <b/>
            <sz val="9"/>
            <color indexed="81"/>
            <rFont val="Tahoma"/>
            <family val="2"/>
          </rPr>
          <t>USER:</t>
        </r>
        <r>
          <rPr>
            <sz val="9"/>
            <color indexed="81"/>
            <rFont val="Tahoma"/>
            <family val="2"/>
          </rPr>
          <t xml:space="preserve">
რადარი საერთოდ არაა ბიუჯეტში, უნდა ვიკითხოთ, სვარაუდოდ 31 14-ის ნაწილია, </t>
        </r>
      </text>
    </comment>
    <comment ref="B34" authorId="0" shapeId="0">
      <text>
        <r>
          <rPr>
            <b/>
            <sz val="9"/>
            <color indexed="81"/>
            <rFont val="Tahoma"/>
            <family val="2"/>
          </rPr>
          <t>USER:</t>
        </r>
        <r>
          <rPr>
            <sz val="9"/>
            <color indexed="81"/>
            <rFont val="Tahoma"/>
            <family val="2"/>
          </rPr>
          <t xml:space="preserve">
იგივე რაც ზევით</t>
        </r>
      </text>
    </comment>
    <comment ref="B36" authorId="0" shapeId="0">
      <text>
        <r>
          <rPr>
            <b/>
            <sz val="9"/>
            <color indexed="81"/>
            <rFont val="Tahoma"/>
            <family val="2"/>
          </rPr>
          <t>USER:</t>
        </r>
        <r>
          <rPr>
            <sz val="9"/>
            <color indexed="81"/>
            <rFont val="Tahoma"/>
            <family val="2"/>
          </rPr>
          <t xml:space="preserve">
31 14-ის ნაწილი - გეოლოგიური მონიტორინგი (გაზაფხული–შემოდგომა) და ფორს-მაჟორულ სიტუაციაში სტიქიური გეოლოგიური
პროცესების შეფასების ანალიზი</t>
        </r>
      </text>
    </comment>
    <comment ref="B37" authorId="0" shapeId="0">
      <text>
        <r>
          <rPr>
            <b/>
            <sz val="9"/>
            <color indexed="81"/>
            <rFont val="Tahoma"/>
            <family val="2"/>
          </rPr>
          <t>USER:</t>
        </r>
        <r>
          <rPr>
            <sz val="9"/>
            <color indexed="81"/>
            <rFont val="Tahoma"/>
            <family val="2"/>
          </rPr>
          <t xml:space="preserve">
სავარაოდოდ პრემიერის ფონდიდან ფინანსდება. უნდა გავარკვიო</t>
        </r>
      </text>
    </comment>
    <comment ref="B39" authorId="0" shapeId="0">
      <text>
        <r>
          <rPr>
            <b/>
            <sz val="9"/>
            <color indexed="81"/>
            <rFont val="Tahoma"/>
            <family val="2"/>
          </rPr>
          <t>USER:</t>
        </r>
        <r>
          <rPr>
            <sz val="9"/>
            <color indexed="81"/>
            <rFont val="Tahoma"/>
            <family val="2"/>
          </rPr>
          <t xml:space="preserve">
25 04 წყალმომარაგების ინფრასტრუქტურის აღდგენა-რეაბილიტაცია </t>
        </r>
      </text>
    </comment>
    <comment ref="F39" authorId="0" shapeId="0">
      <text>
        <r>
          <rPr>
            <b/>
            <sz val="9"/>
            <color indexed="81"/>
            <rFont val="Tahoma"/>
            <family val="2"/>
          </rPr>
          <t>USER:</t>
        </r>
        <r>
          <rPr>
            <sz val="9"/>
            <color indexed="81"/>
            <rFont val="Tahoma"/>
            <family val="2"/>
          </rPr>
          <t xml:space="preserve">
კომპანიის მონაცემით აქ უნდა იყოს 23415, ბიუჯეტის კანონით 46650, ცხრილში ბათუს მონაცემია</t>
        </r>
      </text>
    </comment>
    <comment ref="G39" authorId="0" shapeId="0">
      <text>
        <r>
          <rPr>
            <b/>
            <sz val="9"/>
            <color indexed="81"/>
            <rFont val="Tahoma"/>
            <family val="2"/>
          </rPr>
          <t>USER:</t>
        </r>
        <r>
          <rPr>
            <sz val="9"/>
            <color indexed="81"/>
            <rFont val="Tahoma"/>
            <family val="2"/>
          </rPr>
          <t xml:space="preserve">
კომპანიის მონაცემით აქ 129585, ბიუჯეტის კანონით 149350, ცხრილში ბათუს რიცხვებია</t>
        </r>
      </text>
    </comment>
    <comment ref="J39" authorId="0" shapeId="0">
      <text>
        <r>
          <rPr>
            <b/>
            <sz val="9"/>
            <color indexed="81"/>
            <rFont val="Tahoma"/>
            <family val="2"/>
          </rPr>
          <t>USER:</t>
        </r>
        <r>
          <rPr>
            <sz val="9"/>
            <color indexed="81"/>
            <rFont val="Tahoma"/>
            <family val="2"/>
          </rPr>
          <t xml:space="preserve">
ბიუჯეტის მე-6 დანართით აქ 196000=46650+14750+134600</t>
        </r>
      </text>
    </comment>
    <comment ref="O39" authorId="0" shapeId="0">
      <text>
        <r>
          <rPr>
            <b/>
            <sz val="9"/>
            <color indexed="81"/>
            <rFont val="Tahoma"/>
            <family val="2"/>
          </rPr>
          <t>USER:</t>
        </r>
        <r>
          <rPr>
            <sz val="9"/>
            <color indexed="81"/>
            <rFont val="Tahoma"/>
            <family val="2"/>
          </rPr>
          <t xml:space="preserve">
BDD-ში არის 364,681 აქ ბათუს მონაცემია</t>
        </r>
      </text>
    </comment>
    <comment ref="B40" authorId="0" shapeId="0">
      <text>
        <r>
          <rPr>
            <b/>
            <sz val="9"/>
            <color indexed="81"/>
            <rFont val="Tahoma"/>
            <family val="2"/>
          </rPr>
          <t>USER:</t>
        </r>
        <r>
          <rPr>
            <sz val="9"/>
            <color indexed="81"/>
            <rFont val="Tahoma"/>
            <family val="2"/>
          </rPr>
          <t xml:space="preserve">
25 05 მყარი ნარჩენების მართვის პროგრამა და 56 13 03 აჭარის მყარი ნარჩენების
პროექტი (EBRD) </t>
        </r>
      </text>
    </comment>
    <comment ref="B46" authorId="0" shapeId="0">
      <text>
        <r>
          <rPr>
            <b/>
            <sz val="9"/>
            <color indexed="81"/>
            <rFont val="Tahoma"/>
            <family val="2"/>
          </rPr>
          <t>USER:</t>
        </r>
        <r>
          <rPr>
            <sz val="9"/>
            <color indexed="81"/>
            <rFont val="Tahoma"/>
            <family val="2"/>
          </rPr>
          <t xml:space="preserve">
ესეც 33 04-ის ნაწილია</t>
        </r>
      </text>
    </comment>
    <comment ref="A47" authorId="0" shapeId="0">
      <text>
        <r>
          <rPr>
            <b/>
            <sz val="9"/>
            <color indexed="81"/>
            <rFont val="Tahoma"/>
            <family val="2"/>
          </rPr>
          <t>USER:</t>
        </r>
        <r>
          <rPr>
            <sz val="9"/>
            <color indexed="81"/>
            <rFont val="Tahoma"/>
            <family val="2"/>
          </rPr>
          <t xml:space="preserve">
ქარრთულ ტექსტში არის 1.7 ნაცვლად 1.8-ის</t>
        </r>
      </text>
    </comment>
    <comment ref="B51" authorId="0" shapeId="0">
      <text>
        <r>
          <rPr>
            <b/>
            <sz val="9"/>
            <color indexed="81"/>
            <rFont val="Tahoma"/>
            <family val="2"/>
          </rPr>
          <t>USER:</t>
        </r>
        <r>
          <rPr>
            <sz val="9"/>
            <color indexed="81"/>
            <rFont val="Tahoma"/>
            <family val="2"/>
          </rPr>
          <t xml:space="preserve">
31 09 04</t>
        </r>
      </text>
    </comment>
    <comment ref="B65" authorId="0" shapeId="0">
      <text>
        <r>
          <rPr>
            <b/>
            <sz val="9"/>
            <color indexed="81"/>
            <rFont val="Tahoma"/>
            <family val="2"/>
          </rPr>
          <t>USER:</t>
        </r>
        <r>
          <rPr>
            <sz val="9"/>
            <color indexed="81"/>
            <rFont val="Tahoma"/>
            <family val="2"/>
          </rPr>
          <t xml:space="preserve">
24 07 მეწარმეობის განვითარება აქედან უნდა ამოიღოს ნაწილი</t>
        </r>
      </text>
    </comment>
    <comment ref="B66" authorId="0" shapeId="0">
      <text>
        <r>
          <rPr>
            <b/>
            <sz val="9"/>
            <color indexed="81"/>
            <rFont val="Tahoma"/>
            <family val="2"/>
          </rPr>
          <t>USER:</t>
        </r>
        <r>
          <rPr>
            <sz val="9"/>
            <color indexed="81"/>
            <rFont val="Tahoma"/>
            <family val="2"/>
          </rPr>
          <t xml:space="preserve">
24 07 მეწარმეობის განვითარება აქედან უნდა ამოიღოს ნაწილი</t>
        </r>
      </text>
    </comment>
    <comment ref="C66" authorId="1" shapeId="0">
      <text>
        <r>
          <rPr>
            <b/>
            <sz val="9"/>
            <color indexed="81"/>
            <rFont val="Tahoma"/>
            <family val="2"/>
          </rPr>
          <t>DAVID MAMARDASHVILI:</t>
        </r>
        <r>
          <rPr>
            <sz val="9"/>
            <color indexed="81"/>
            <rFont val="Tahoma"/>
            <family val="2"/>
          </rPr>
          <t xml:space="preserve">
დაემატა!!!
</t>
        </r>
      </text>
    </comment>
    <comment ref="B68" authorId="0" shapeId="0">
      <text>
        <r>
          <rPr>
            <b/>
            <sz val="9"/>
            <color indexed="81"/>
            <rFont val="Tahoma"/>
            <family val="2"/>
          </rPr>
          <t>USER:</t>
        </r>
        <r>
          <rPr>
            <sz val="9"/>
            <color indexed="81"/>
            <rFont val="Tahoma"/>
            <family val="2"/>
          </rPr>
          <t xml:space="preserve">
აქ გაერთიანდება პირველი და ბოლო ღონისძიება 24 0801, 24 08 02 და 24 12
</t>
        </r>
      </text>
    </comment>
    <comment ref="C85" authorId="0" shapeId="0">
      <text>
        <r>
          <rPr>
            <b/>
            <sz val="9"/>
            <color indexed="81"/>
            <rFont val="Tahoma"/>
            <family val="2"/>
          </rPr>
          <t>USER:</t>
        </r>
        <r>
          <rPr>
            <sz val="9"/>
            <color indexed="81"/>
            <rFont val="Tahoma"/>
            <family val="2"/>
          </rPr>
          <t xml:space="preserve">
ამას სააგენტო აღარ აკეთებს, ამიტომ დასაზუსტებელია, მამარდაშვილის წინადადებით ამოსაღებია ეს აქტივობა</t>
        </r>
      </text>
    </comment>
    <comment ref="B96" authorId="0" shapeId="0">
      <text>
        <r>
          <rPr>
            <b/>
            <sz val="9"/>
            <color indexed="81"/>
            <rFont val="Tahoma"/>
            <family val="2"/>
          </rPr>
          <t>USER:</t>
        </r>
        <r>
          <rPr>
            <sz val="9"/>
            <color indexed="81"/>
            <rFont val="Tahoma"/>
            <family val="2"/>
          </rPr>
          <t xml:space="preserve">
აწარმოე საქართველო</t>
        </r>
      </text>
    </comment>
    <comment ref="C108" authorId="0" shapeId="0">
      <text>
        <r>
          <rPr>
            <b/>
            <sz val="9"/>
            <color indexed="81"/>
            <rFont val="Tahoma"/>
            <family val="2"/>
          </rPr>
          <t>USER:</t>
        </r>
        <r>
          <rPr>
            <sz val="9"/>
            <color indexed="81"/>
            <rFont val="Tahoma"/>
            <family val="2"/>
          </rPr>
          <t xml:space="preserve">
ეს ღონისძიება იგივე ვაუჩერების პრინციპია და ამის ბიუჯეტი შედის 32 03 01 და 02-ში (38,500) ყოველ წელს</t>
        </r>
      </text>
    </comment>
    <comment ref="C112" authorId="0" shapeId="0">
      <text>
        <r>
          <rPr>
            <b/>
            <sz val="9"/>
            <color indexed="81"/>
            <rFont val="Tahoma"/>
            <family val="2"/>
          </rPr>
          <t>USER:</t>
        </r>
        <r>
          <rPr>
            <sz val="9"/>
            <color indexed="81"/>
            <rFont val="Tahoma"/>
            <family val="2"/>
          </rPr>
          <t xml:space="preserve">
MOES-ს რეკომენდაციით დაემატა 32 04 04 განათლების საერთაშორისო ცენტრი</t>
        </r>
      </text>
    </comment>
    <comment ref="A141" authorId="0" shapeId="0">
      <text>
        <r>
          <rPr>
            <b/>
            <sz val="9"/>
            <color indexed="81"/>
            <rFont val="Tahoma"/>
            <family val="2"/>
          </rPr>
          <t>USER:</t>
        </r>
        <r>
          <rPr>
            <sz val="9"/>
            <color indexed="81"/>
            <rFont val="Tahoma"/>
            <family val="2"/>
          </rPr>
          <t xml:space="preserve">
დიტოსთან გავივლი</t>
        </r>
      </text>
    </comment>
    <comment ref="A146" authorId="0" shapeId="0">
      <text>
        <r>
          <rPr>
            <b/>
            <sz val="9"/>
            <color indexed="81"/>
            <rFont val="Tahoma"/>
            <family val="2"/>
          </rPr>
          <t>USER:</t>
        </r>
        <r>
          <rPr>
            <sz val="9"/>
            <color indexed="81"/>
            <rFont val="Tahoma"/>
            <family val="2"/>
          </rPr>
          <t xml:space="preserve">
რეგიონი არაა სწორი</t>
        </r>
      </text>
    </comment>
    <comment ref="A158" authorId="0" shapeId="0">
      <text>
        <r>
          <rPr>
            <b/>
            <sz val="9"/>
            <color indexed="81"/>
            <rFont val="Tahoma"/>
            <family val="2"/>
          </rPr>
          <t>USER:</t>
        </r>
        <r>
          <rPr>
            <sz val="9"/>
            <color indexed="81"/>
            <rFont val="Tahoma"/>
            <family val="2"/>
          </rPr>
          <t xml:space="preserve">
24 19 ანაკლიის ღრმაწყლოვანი პორტის განვითარება </t>
        </r>
      </text>
    </comment>
    <comment ref="B159" authorId="0" shapeId="0">
      <text>
        <r>
          <rPr>
            <b/>
            <sz val="9"/>
            <color indexed="81"/>
            <rFont val="Tahoma"/>
            <family val="2"/>
          </rPr>
          <t>USER:</t>
        </r>
        <r>
          <rPr>
            <sz val="9"/>
            <color indexed="81"/>
            <rFont val="Tahoma"/>
            <family val="2"/>
          </rPr>
          <t xml:space="preserve">
ეს ღონისძიება არის კიდევ 1.2-შიც და აქ ცალკე რატომაა, იქ ეს თანხა არ მაქვს შეტანილი</t>
        </r>
      </text>
    </comment>
    <comment ref="A160" authorId="0" shapeId="0">
      <text>
        <r>
          <rPr>
            <b/>
            <sz val="9"/>
            <color indexed="81"/>
            <rFont val="Tahoma"/>
            <family val="2"/>
          </rPr>
          <t>USER:</t>
        </r>
        <r>
          <rPr>
            <sz val="9"/>
            <color indexed="81"/>
            <rFont val="Tahoma"/>
            <family val="2"/>
          </rPr>
          <t xml:space="preserve">
ტექსტში გასასწორებელია სიტყვები </t>
        </r>
      </text>
    </comment>
    <comment ref="B162" authorId="0" shapeId="0">
      <text>
        <r>
          <rPr>
            <b/>
            <sz val="9"/>
            <color indexed="81"/>
            <rFont val="Tahoma"/>
            <family val="2"/>
          </rPr>
          <t>USER:</t>
        </r>
        <r>
          <rPr>
            <sz val="9"/>
            <color indexed="81"/>
            <rFont val="Tahoma"/>
            <family val="2"/>
          </rPr>
          <t xml:space="preserve">
აქ კიდევ ცალკე რა გამოვყოთ?
</t>
        </r>
      </text>
    </comment>
  </commentList>
</comments>
</file>

<file path=xl/comments3.xml><?xml version="1.0" encoding="utf-8"?>
<comments xmlns="http://schemas.openxmlformats.org/spreadsheetml/2006/main">
  <authors>
    <author>USER</author>
    <author>Ioseb Skhritladze</author>
    <author>DAVID MAMARDASHVILI</author>
  </authors>
  <commentList>
    <comment ref="C6" authorId="0" shapeId="0">
      <text>
        <r>
          <rPr>
            <b/>
            <sz val="9"/>
            <color indexed="81"/>
            <rFont val="Tahoma"/>
            <family val="2"/>
          </rPr>
          <t>USER:</t>
        </r>
        <r>
          <rPr>
            <sz val="9"/>
            <color indexed="81"/>
            <rFont val="Tahoma"/>
            <family val="2"/>
          </rPr>
          <t xml:space="preserve">
25 02 03 ჩქაროსნული ავტომაგისტრალების მშენებლობა,აუცილებლად უნდა იყოს წითელი ხიდი და ლაგოდეხი</t>
        </r>
      </text>
    </comment>
    <comment ref="C7" authorId="0" shapeId="0">
      <text>
        <r>
          <rPr>
            <b/>
            <sz val="9"/>
            <color indexed="81"/>
            <rFont val="Tahoma"/>
            <family val="2"/>
          </rPr>
          <t>USER:პროგრამის სახელია"</t>
        </r>
        <r>
          <rPr>
            <sz val="9"/>
            <color indexed="81"/>
            <rFont val="Tahoma"/>
            <family val="2"/>
          </rPr>
          <t>საერთაშორისო და შიდასახელმწიფოებრივი მნიშვნელობის საავტომობილო გზების და ხიდების რეაბილიტაცია" კოდი 25 02 02, პროგრამის მიზანია საავტომობილო გზების პერიოდული-მიმდინარე შეკეთება და რეაბილიტაცია, რეკონსტრუქცია-მოდერნიზაცია და
განვითარება;</t>
        </r>
      </text>
    </comment>
    <comment ref="C8" authorId="0" shapeId="0">
      <text>
        <r>
          <rPr>
            <b/>
            <sz val="9"/>
            <color indexed="81"/>
            <rFont val="Tahoma"/>
            <family val="2"/>
          </rPr>
          <t>USER:</t>
        </r>
        <r>
          <rPr>
            <sz val="9"/>
            <color indexed="81"/>
            <rFont val="Tahoma"/>
            <family val="2"/>
          </rPr>
          <t xml:space="preserve">
25 01 03 "ანაკლიის ღრმაწყლოვანი
ნავსადგურის განვითარება" + 24 19 "ანაკლიის ღრმაწყლოვანი პორტის განვითარება"
  </t>
        </r>
      </text>
    </comment>
    <comment ref="A11" authorId="1" shapeId="0">
      <text>
        <r>
          <rPr>
            <b/>
            <sz val="9"/>
            <color indexed="81"/>
            <rFont val="Tahoma"/>
            <family val="2"/>
          </rPr>
          <t>Ioseb Skhritladze:</t>
        </r>
        <r>
          <rPr>
            <sz val="9"/>
            <color indexed="81"/>
            <rFont val="Tahoma"/>
            <family val="2"/>
          </rPr>
          <t xml:space="preserve">
რკინიგზის დეპ-ის ინფორმაციით მთლიანი თანხა მოდერნიზაციაზე არის ამ წლებისთვის 84,555 შვეიცარული ფრანკი და სავარაუდოდ ერთნაირად გაიყოფა წლებზე</t>
        </r>
      </text>
    </comment>
    <comment ref="C11" authorId="0" shapeId="0">
      <text>
        <r>
          <rPr>
            <b/>
            <sz val="9"/>
            <color indexed="81"/>
            <rFont val="Tahoma"/>
            <family val="2"/>
          </rPr>
          <t>USER:</t>
        </r>
        <r>
          <rPr>
            <sz val="9"/>
            <color indexed="81"/>
            <rFont val="Tahoma"/>
            <family val="2"/>
          </rPr>
          <t xml:space="preserve">
ბიუჯეტში ასეთი ღონისძიებები არაა, ინფორმაცია ასაღებია რკინიგზის დეპარტამენტში</t>
        </r>
      </text>
    </comment>
    <comment ref="C12" authorId="0" shapeId="0">
      <text>
        <r>
          <rPr>
            <b/>
            <sz val="9"/>
            <color indexed="81"/>
            <rFont val="Tahoma"/>
            <family val="2"/>
          </rPr>
          <t>USER:</t>
        </r>
        <r>
          <rPr>
            <sz val="9"/>
            <color indexed="81"/>
            <rFont val="Tahoma"/>
            <family val="2"/>
          </rPr>
          <t xml:space="preserve">
25 02 02 13
ანაკლიის პორტთან მისასვლელი
საავტომობილო გზის და
რკინიგზის მშენებლობა</t>
        </r>
      </text>
    </comment>
    <comment ref="C13" authorId="0" shapeId="0">
      <text>
        <r>
          <rPr>
            <b/>
            <sz val="9"/>
            <color indexed="81"/>
            <rFont val="Tahoma"/>
            <family val="2"/>
          </rPr>
          <t>USER:</t>
        </r>
        <r>
          <rPr>
            <sz val="9"/>
            <color indexed="81"/>
            <rFont val="Tahoma"/>
            <family val="2"/>
          </rPr>
          <t xml:space="preserve">
30 02 ნაწილი ვიდეოთვალი და უსართხოება, 24 06 06 ქუთაისის საერთაშორისო აეროპორტის სამგზავრო ტერმინალის გაფართოება; ასეთი სახელით არის ეკონომიკის სამინისტროს ბიუჯეტში</t>
        </r>
      </text>
    </comment>
    <comment ref="A14" authorId="1" shapeId="0">
      <text>
        <r>
          <rPr>
            <b/>
            <sz val="9"/>
            <color indexed="81"/>
            <rFont val="Tahoma"/>
            <family val="2"/>
          </rPr>
          <t>Ioseb Skhritladze:</t>
        </r>
        <r>
          <rPr>
            <sz val="9"/>
            <color indexed="81"/>
            <rFont val="Tahoma"/>
            <family val="2"/>
          </rPr>
          <t xml:space="preserve">
რკინიგზა აშენებს ვაგზალს აეროპორტთან, მთავრდება 2019-ში</t>
        </r>
      </text>
    </comment>
    <comment ref="C14" authorId="0" shapeId="0">
      <text>
        <r>
          <rPr>
            <b/>
            <sz val="9"/>
            <color indexed="81"/>
            <rFont val="Tahoma"/>
            <family val="2"/>
          </rPr>
          <t>USER:</t>
        </r>
        <r>
          <rPr>
            <sz val="9"/>
            <color indexed="81"/>
            <rFont val="Tahoma"/>
            <family val="2"/>
          </rPr>
          <t xml:space="preserve">
25 02 02 14
ქუთაისის საერთაშორისო
აეროპორტთან (კოპიტნარი)
სატრანსპორტო კვანძის მოწყობა</t>
        </r>
      </text>
    </comment>
    <comment ref="A15" authorId="1" shapeId="0">
      <text>
        <r>
          <rPr>
            <b/>
            <sz val="9"/>
            <color indexed="81"/>
            <rFont val="Tahoma"/>
            <family val="2"/>
          </rPr>
          <t>Ioseb Skhritladze:</t>
        </r>
        <r>
          <rPr>
            <sz val="9"/>
            <color indexed="81"/>
            <rFont val="Tahoma"/>
            <family val="2"/>
          </rPr>
          <t xml:space="preserve">
 24 23 არის 
 საქართველოს სახელმწიფო ჰიდროგრაფიული სამსახური, აქ მხოლოდ უსაფრთხოების ღონისძიებებია და არა მშენებლობა. ველოდები დანარჩენ ინფორმაციას
ანაკლიაზე არ არის თანხები</t>
        </r>
      </text>
    </comment>
    <comment ref="C18" authorId="0" shapeId="0">
      <text>
        <r>
          <rPr>
            <b/>
            <sz val="9"/>
            <color indexed="81"/>
            <rFont val="Tahoma"/>
            <family val="2"/>
          </rPr>
          <t>USER:</t>
        </r>
        <r>
          <rPr>
            <sz val="9"/>
            <color indexed="81"/>
            <rFont val="Tahoma"/>
            <family val="2"/>
          </rPr>
          <t xml:space="preserve">
მხოლოდ 30 01შია ნახსენები წვდომა მაგრამ ეს ამას არ ეხება, 2412 საქართველოს ეროვნული ინოვაციების ეკოსისტემის პროექტი (IBRD) </t>
        </r>
      </text>
    </comment>
    <comment ref="A21" authorId="1" shapeId="0">
      <text>
        <r>
          <rPr>
            <b/>
            <sz val="9"/>
            <color indexed="81"/>
            <rFont val="Tahoma"/>
            <family val="2"/>
          </rPr>
          <t>Ioseb Skhritladze:</t>
        </r>
        <r>
          <rPr>
            <sz val="9"/>
            <color indexed="81"/>
            <rFont val="Tahoma"/>
            <family val="2"/>
          </rPr>
          <t xml:space="preserve">
BDD ში 24 13 კოდის ქვეშ არის ჯამურად ენერგო ინფრასტრუქტურის მშენებლობა-რეაბილიტაცია: 2018-21600; 2019-37530; 2020-16740 და2021-18600. ეს კი ტოლია ვარდნილი და ენგურის, ანუ 24 13 01 თანხების</t>
        </r>
      </text>
    </comment>
    <comment ref="A23" authorId="1" shapeId="0">
      <text>
        <r>
          <rPr>
            <b/>
            <sz val="9"/>
            <color indexed="81"/>
            <rFont val="Tahoma"/>
            <family val="2"/>
          </rPr>
          <t>Ioseb Skhritladze:</t>
        </r>
        <r>
          <rPr>
            <sz val="9"/>
            <color indexed="81"/>
            <rFont val="Tahoma"/>
            <family val="2"/>
          </rPr>
          <t xml:space="preserve">
უნდა იყოს თუ არა ქსანი-სტეფანწმინდა 24 14 02 01</t>
        </r>
      </text>
    </comment>
    <comment ref="C24" authorId="0" shapeId="0">
      <text>
        <r>
          <rPr>
            <b/>
            <sz val="9"/>
            <color indexed="81"/>
            <rFont val="Tahoma"/>
            <family val="2"/>
          </rPr>
          <t>USER:</t>
        </r>
        <r>
          <rPr>
            <sz val="9"/>
            <color indexed="81"/>
            <rFont val="Tahoma"/>
            <family val="2"/>
          </rPr>
          <t xml:space="preserve">
24 15 ბიუჯეტში ქვია "საქართველოს სხვადასხვა რეგიონში გაზისა და ელექტროენერგიის გარეშე დარჩენილი სოფლების გაზიფიცირება და ელექტრიფიცირება", ანუ ერთადაა გაზიფიცირება და ელექტროფიცირება.</t>
        </r>
      </text>
    </comment>
    <comment ref="C25" authorId="0" shapeId="0">
      <text>
        <r>
          <rPr>
            <b/>
            <sz val="9"/>
            <color indexed="81"/>
            <rFont val="Tahoma"/>
            <family val="2"/>
          </rPr>
          <t>USER 24 14 ში ცალკე არაა გამოყოფილი აჭარა და გურია</t>
        </r>
      </text>
    </comment>
    <comment ref="C26" authorId="0" shapeId="0">
      <text>
        <r>
          <rPr>
            <b/>
            <sz val="9"/>
            <color indexed="81"/>
            <rFont val="Tahoma"/>
            <family val="2"/>
          </rPr>
          <t>USER:</t>
        </r>
        <r>
          <rPr>
            <sz val="9"/>
            <color indexed="81"/>
            <rFont val="Tahoma"/>
            <family val="2"/>
          </rPr>
          <t xml:space="preserve">
ყაზბეგის მუნიციპალიტეტისა და
დუშეთის მუნიციპალიტეტის
მაღალმთიანი სოფლების
მოსახლეობისათვის
მიწოდებული ბუნებრივი აირის
ღირებულების ანაზღაურება 24 11</t>
        </r>
      </text>
    </comment>
    <comment ref="C27" authorId="0" shapeId="0">
      <text>
        <r>
          <rPr>
            <b/>
            <sz val="9"/>
            <color indexed="81"/>
            <rFont val="Tahoma"/>
            <family val="2"/>
          </rPr>
          <t>USER:</t>
        </r>
        <r>
          <rPr>
            <sz val="9"/>
            <color indexed="81"/>
            <rFont val="Tahoma"/>
            <family val="2"/>
          </rPr>
          <t xml:space="preserve">
24 13 01
ვარდნილისა და ენგურის
ჰიდროელექტროსადგურების რეაბილიტაციის
პროექტი (EIB, EU) +24 14 02
02
ჯვარი ხორგა ელექტროგადამცემი ხაზი (EBRD, EC,
KfW, WB)3</t>
        </r>
      </text>
    </comment>
    <comment ref="A28" authorId="0" shapeId="0">
      <text>
        <r>
          <rPr>
            <b/>
            <sz val="9"/>
            <color indexed="81"/>
            <rFont val="Tahoma"/>
            <family val="2"/>
          </rPr>
          <t>USER:</t>
        </r>
        <r>
          <rPr>
            <sz val="9"/>
            <color indexed="81"/>
            <rFont val="Tahoma"/>
            <family val="2"/>
          </rPr>
          <t xml:space="preserve">
ეს უნდა შეუერთდეს გაზიფიცირებას და ეს ხაზი ამოვიღოთ</t>
        </r>
      </text>
    </comment>
    <comment ref="C28" authorId="0" shapeId="0">
      <text>
        <r>
          <rPr>
            <b/>
            <sz val="9"/>
            <color indexed="81"/>
            <rFont val="Tahoma"/>
            <family val="2"/>
          </rPr>
          <t>გაზიფიცირება და ელექტროფიცირება ერთადაა</t>
        </r>
      </text>
    </comment>
    <comment ref="C32" authorId="0" shapeId="0">
      <text>
        <r>
          <rPr>
            <b/>
            <sz val="9"/>
            <color indexed="81"/>
            <rFont val="Tahoma"/>
            <family val="2"/>
          </rPr>
          <t>USER:</t>
        </r>
        <r>
          <rPr>
            <sz val="9"/>
            <color indexed="81"/>
            <rFont val="Tahoma"/>
            <family val="2"/>
          </rPr>
          <t xml:space="preserve">
ვერ ვნახე ვერსად, ინოვაციების 10 მლნ?</t>
        </r>
      </text>
    </comment>
    <comment ref="C35" authorId="0" shapeId="0">
      <text>
        <r>
          <rPr>
            <b/>
            <sz val="9"/>
            <color indexed="81"/>
            <rFont val="Tahoma"/>
            <family val="2"/>
          </rPr>
          <t>USER:</t>
        </r>
        <r>
          <rPr>
            <sz val="9"/>
            <color indexed="81"/>
            <rFont val="Tahoma"/>
            <family val="2"/>
          </rPr>
          <t xml:space="preserve">
25 02 02 07 სანაპირო ზონების ნაპირსამაგრი სამუშაოები": შედეგია  გამაგრებული ზღვის ნაპირები,
მდინარეების კალაპოტები და ნაპირები.</t>
        </r>
      </text>
    </comment>
    <comment ref="C36" authorId="0" shapeId="0">
      <text>
        <r>
          <rPr>
            <b/>
            <sz val="9"/>
            <color indexed="81"/>
            <rFont val="Tahoma"/>
            <family val="2"/>
          </rPr>
          <t>USER:</t>
        </r>
        <r>
          <rPr>
            <sz val="9"/>
            <color indexed="81"/>
            <rFont val="Tahoma"/>
            <family val="2"/>
          </rPr>
          <t xml:space="preserve">
 25 02 02 05 და სავარაუდოდ დაემატება 31 11 დან ბიუჯეტის ნაწილი</t>
        </r>
      </text>
    </comment>
    <comment ref="C37" authorId="0" shapeId="0">
      <text>
        <r>
          <rPr>
            <b/>
            <sz val="9"/>
            <color indexed="81"/>
            <rFont val="Tahoma"/>
            <family val="2"/>
          </rPr>
          <t>USER:</t>
        </r>
        <r>
          <rPr>
            <sz val="9"/>
            <color indexed="81"/>
            <rFont val="Tahoma"/>
            <family val="2"/>
          </rPr>
          <t xml:space="preserve">
31 14 "გარემოს დაცვის სფეროში მონიტორინგი, პროგნოზირება და პრევენცია დან უნდა გამოიყოს</t>
        </r>
      </text>
    </comment>
    <comment ref="C38" authorId="0" shapeId="0">
      <text>
        <r>
          <rPr>
            <b/>
            <sz val="9"/>
            <color indexed="81"/>
            <rFont val="Tahoma"/>
            <family val="2"/>
          </rPr>
          <t>USER:</t>
        </r>
        <r>
          <rPr>
            <sz val="9"/>
            <color indexed="81"/>
            <rFont val="Tahoma"/>
            <family val="2"/>
          </rPr>
          <t xml:space="preserve">
რადარი საერთოდ არაა ბიუჯეტში, უნდა ვიკითხოთ, სვარაუდოდ 31 14-ის ნაწილია, </t>
        </r>
      </text>
    </comment>
    <comment ref="C39" authorId="0" shapeId="0">
      <text>
        <r>
          <rPr>
            <b/>
            <sz val="9"/>
            <color indexed="81"/>
            <rFont val="Tahoma"/>
            <family val="2"/>
          </rPr>
          <t>USER:</t>
        </r>
        <r>
          <rPr>
            <sz val="9"/>
            <color indexed="81"/>
            <rFont val="Tahoma"/>
            <family val="2"/>
          </rPr>
          <t xml:space="preserve">
იგივე რაც ზევით</t>
        </r>
      </text>
    </comment>
    <comment ref="A41" authorId="1" shapeId="0">
      <text>
        <r>
          <rPr>
            <b/>
            <sz val="9"/>
            <color indexed="81"/>
            <rFont val="Tahoma"/>
            <family val="2"/>
          </rPr>
          <t>Ioseb Skhritladze:</t>
        </r>
        <r>
          <rPr>
            <sz val="9"/>
            <color indexed="81"/>
            <rFont val="Tahoma"/>
            <family val="2"/>
          </rPr>
          <t xml:space="preserve">
ეს შედის 31 14-ის აღწერაში</t>
        </r>
      </text>
    </comment>
    <comment ref="C41" authorId="0" shapeId="0">
      <text>
        <r>
          <rPr>
            <b/>
            <sz val="9"/>
            <color indexed="81"/>
            <rFont val="Tahoma"/>
            <family val="2"/>
          </rPr>
          <t>USER:</t>
        </r>
        <r>
          <rPr>
            <sz val="9"/>
            <color indexed="81"/>
            <rFont val="Tahoma"/>
            <family val="2"/>
          </rPr>
          <t xml:space="preserve">
31 14-ის ნაწილი - გეოლოგიური მონიტორინგი (გაზაფხული–შემოდგომა) და ფორს-მაჟორულ სიტუაციაში სტიქიური გეოლოგიური
პროცესების შეფასების ანალიზი</t>
        </r>
      </text>
    </comment>
    <comment ref="C42" authorId="0" shapeId="0">
      <text>
        <r>
          <rPr>
            <b/>
            <sz val="9"/>
            <color indexed="81"/>
            <rFont val="Tahoma"/>
            <family val="2"/>
          </rPr>
          <t>USER:</t>
        </r>
        <r>
          <rPr>
            <sz val="9"/>
            <color indexed="81"/>
            <rFont val="Tahoma"/>
            <family val="2"/>
          </rPr>
          <t xml:space="preserve">
სავარაოდოდ პრემიერის ფონდიდან ფინანსდება. უნდა გავარკვიო</t>
        </r>
      </text>
    </comment>
    <comment ref="C45" authorId="0" shapeId="0">
      <text>
        <r>
          <rPr>
            <b/>
            <sz val="9"/>
            <color indexed="81"/>
            <rFont val="Tahoma"/>
            <family val="2"/>
          </rPr>
          <t>USER:</t>
        </r>
        <r>
          <rPr>
            <sz val="9"/>
            <color indexed="81"/>
            <rFont val="Tahoma"/>
            <family val="2"/>
          </rPr>
          <t xml:space="preserve">
25 04 წყალმომარაგების ინფრასტრუქტურის აღდგენა-რეაბილიტაცია </t>
        </r>
      </text>
    </comment>
    <comment ref="E45" authorId="0" shapeId="0">
      <text>
        <r>
          <rPr>
            <b/>
            <sz val="9"/>
            <color indexed="81"/>
            <rFont val="Tahoma"/>
            <family val="2"/>
          </rPr>
          <t>USER:</t>
        </r>
        <r>
          <rPr>
            <sz val="9"/>
            <color indexed="81"/>
            <rFont val="Tahoma"/>
            <family val="2"/>
          </rPr>
          <t xml:space="preserve">
კომპანიის მონაცემით აქ უნდა იყოს 23415, ბიუჯეტის კანონით 46650, ცხრილში ბათუს მონაცემია</t>
        </r>
      </text>
    </comment>
    <comment ref="F45" authorId="0" shapeId="0">
      <text>
        <r>
          <rPr>
            <b/>
            <sz val="9"/>
            <color indexed="81"/>
            <rFont val="Tahoma"/>
            <family val="2"/>
          </rPr>
          <t>USER:</t>
        </r>
        <r>
          <rPr>
            <sz val="9"/>
            <color indexed="81"/>
            <rFont val="Tahoma"/>
            <family val="2"/>
          </rPr>
          <t xml:space="preserve">
კომპანიის მონაცემით აქ 129585, ბიუჯეტის კანონით 149350, ცხრილში ბათუს რიცხვებია</t>
        </r>
      </text>
    </comment>
    <comment ref="I45" authorId="0" shapeId="0">
      <text>
        <r>
          <rPr>
            <b/>
            <sz val="9"/>
            <color indexed="81"/>
            <rFont val="Tahoma"/>
            <family val="2"/>
          </rPr>
          <t>USER:</t>
        </r>
        <r>
          <rPr>
            <sz val="9"/>
            <color indexed="81"/>
            <rFont val="Tahoma"/>
            <family val="2"/>
          </rPr>
          <t xml:space="preserve">
ბიუჯეტის მე-6 დანართით აქ 196000=46650+14750+134600</t>
        </r>
      </text>
    </comment>
    <comment ref="N45" authorId="0" shapeId="0">
      <text>
        <r>
          <rPr>
            <b/>
            <sz val="9"/>
            <color indexed="81"/>
            <rFont val="Tahoma"/>
            <family val="2"/>
          </rPr>
          <t>USER:</t>
        </r>
        <r>
          <rPr>
            <sz val="9"/>
            <color indexed="81"/>
            <rFont val="Tahoma"/>
            <family val="2"/>
          </rPr>
          <t xml:space="preserve">
BDD-ში არის 364,681 აქ ბათუს მონაცემია</t>
        </r>
      </text>
    </comment>
    <comment ref="C46" authorId="0" shapeId="0">
      <text>
        <r>
          <rPr>
            <b/>
            <sz val="9"/>
            <color indexed="81"/>
            <rFont val="Tahoma"/>
            <family val="2"/>
          </rPr>
          <t>USER:</t>
        </r>
        <r>
          <rPr>
            <sz val="9"/>
            <color indexed="81"/>
            <rFont val="Tahoma"/>
            <family val="2"/>
          </rPr>
          <t xml:space="preserve">
25 05 მყარი ნარჩენების მართვის პროგრამა და 56 13 03 აჭარის მყარი ნარჩენების
პროექტი (EBRD) </t>
        </r>
      </text>
    </comment>
    <comment ref="C53" authorId="0" shapeId="0">
      <text>
        <r>
          <rPr>
            <b/>
            <sz val="9"/>
            <color indexed="81"/>
            <rFont val="Tahoma"/>
            <family val="2"/>
          </rPr>
          <t>USER:</t>
        </r>
        <r>
          <rPr>
            <sz val="9"/>
            <color indexed="81"/>
            <rFont val="Tahoma"/>
            <family val="2"/>
          </rPr>
          <t xml:space="preserve">
ესეც 33 04-ის ნაწილია</t>
        </r>
      </text>
    </comment>
    <comment ref="C54" authorId="0" shapeId="0">
      <text>
        <r>
          <rPr>
            <b/>
            <sz val="9"/>
            <color indexed="81"/>
            <rFont val="Tahoma"/>
            <family val="2"/>
          </rPr>
          <t>USER:</t>
        </r>
        <r>
          <rPr>
            <sz val="9"/>
            <color indexed="81"/>
            <rFont val="Tahoma"/>
            <family val="2"/>
          </rPr>
          <t xml:space="preserve">
ქარრთულ ტექსტში არის 1.7 ნაცვლად 1.8-ის</t>
        </r>
      </text>
    </comment>
    <comment ref="C59" authorId="0" shapeId="0">
      <text>
        <r>
          <rPr>
            <b/>
            <sz val="9"/>
            <color indexed="81"/>
            <rFont val="Tahoma"/>
            <family val="2"/>
          </rPr>
          <t>USER:</t>
        </r>
        <r>
          <rPr>
            <sz val="9"/>
            <color indexed="81"/>
            <rFont val="Tahoma"/>
            <family val="2"/>
          </rPr>
          <t xml:space="preserve">
31 09 04</t>
        </r>
      </text>
    </comment>
    <comment ref="C75" authorId="0" shapeId="0">
      <text>
        <r>
          <rPr>
            <b/>
            <sz val="9"/>
            <color indexed="81"/>
            <rFont val="Tahoma"/>
            <family val="2"/>
          </rPr>
          <t>USER:</t>
        </r>
        <r>
          <rPr>
            <sz val="9"/>
            <color indexed="81"/>
            <rFont val="Tahoma"/>
            <family val="2"/>
          </rPr>
          <t xml:space="preserve">
24 07 მეწარმეობის განვითარება აქედან უნდა ამოიღოს ნაწილი</t>
        </r>
      </text>
    </comment>
    <comment ref="A76" authorId="2" shapeId="0">
      <text>
        <r>
          <rPr>
            <b/>
            <sz val="9"/>
            <color indexed="81"/>
            <rFont val="Tahoma"/>
            <family val="2"/>
          </rPr>
          <t>DAVID MAMARDASHVILI:</t>
        </r>
        <r>
          <rPr>
            <sz val="9"/>
            <color indexed="81"/>
            <rFont val="Tahoma"/>
            <family val="2"/>
          </rPr>
          <t xml:space="preserve">
დაემატა!!!
</t>
        </r>
      </text>
    </comment>
    <comment ref="C76" authorId="0" shapeId="0">
      <text>
        <r>
          <rPr>
            <b/>
            <sz val="9"/>
            <color indexed="81"/>
            <rFont val="Tahoma"/>
            <family val="2"/>
          </rPr>
          <t>USER:</t>
        </r>
        <r>
          <rPr>
            <sz val="9"/>
            <color indexed="81"/>
            <rFont val="Tahoma"/>
            <family val="2"/>
          </rPr>
          <t xml:space="preserve">
24 07 მეწარმეობის განვითარება აქედან უნდა ამოიღოს ნაწილი</t>
        </r>
      </text>
    </comment>
    <comment ref="D76" authorId="0" shapeId="0">
      <text>
        <r>
          <rPr>
            <b/>
            <sz val="9"/>
            <color indexed="81"/>
            <rFont val="Tahoma"/>
            <family val="2"/>
          </rPr>
          <t>USER:</t>
        </r>
        <r>
          <rPr>
            <sz val="9"/>
            <color indexed="81"/>
            <rFont val="Tahoma"/>
            <family val="2"/>
          </rPr>
          <t xml:space="preserve">
24 07 მეწარმეობის განვითარება აქედან უნდა ამოიღოს ნაწილი</t>
        </r>
      </text>
    </comment>
    <comment ref="A77" authorId="2" shapeId="0">
      <text>
        <r>
          <rPr>
            <b/>
            <sz val="9"/>
            <color indexed="81"/>
            <rFont val="Tahoma"/>
            <family val="2"/>
          </rPr>
          <t>DAVID MAMARDASHVILI:</t>
        </r>
        <r>
          <rPr>
            <sz val="9"/>
            <color indexed="81"/>
            <rFont val="Tahoma"/>
            <family val="2"/>
          </rPr>
          <t xml:space="preserve">
დაემატა!!!
</t>
        </r>
      </text>
    </comment>
    <comment ref="C80" authorId="0" shapeId="0">
      <text>
        <r>
          <rPr>
            <b/>
            <sz val="9"/>
            <color indexed="81"/>
            <rFont val="Tahoma"/>
            <family val="2"/>
          </rPr>
          <t>USER:</t>
        </r>
        <r>
          <rPr>
            <sz val="9"/>
            <color indexed="81"/>
            <rFont val="Tahoma"/>
            <family val="2"/>
          </rPr>
          <t xml:space="preserve">
აქ გაერთიანდება პირველი და ბოლო ღონისძიება 24 0801, 24 08 02 და 24 12
</t>
        </r>
      </text>
    </comment>
    <comment ref="A100" authorId="0" shapeId="0">
      <text>
        <r>
          <rPr>
            <b/>
            <sz val="9"/>
            <color indexed="81"/>
            <rFont val="Tahoma"/>
            <family val="2"/>
          </rPr>
          <t>USER:</t>
        </r>
        <r>
          <rPr>
            <sz val="9"/>
            <color indexed="81"/>
            <rFont val="Tahoma"/>
            <family val="2"/>
          </rPr>
          <t xml:space="preserve">
ამას სააგენტო აღარ აკეთებს, ამიტომ დასაზუსტებელია, მამარდაშვილის წინადადებით ამოსაღებია ეს აქტივობა</t>
        </r>
      </text>
    </comment>
    <comment ref="C112" authorId="0" shapeId="0">
      <text>
        <r>
          <rPr>
            <b/>
            <sz val="9"/>
            <color indexed="81"/>
            <rFont val="Tahoma"/>
            <family val="2"/>
          </rPr>
          <t>USER:</t>
        </r>
        <r>
          <rPr>
            <sz val="9"/>
            <color indexed="81"/>
            <rFont val="Tahoma"/>
            <family val="2"/>
          </rPr>
          <t xml:space="preserve">
აწარმოე საქართველო</t>
        </r>
      </text>
    </comment>
    <comment ref="C118" authorId="0" shapeId="0">
      <text>
        <r>
          <rPr>
            <b/>
            <sz val="9"/>
            <color indexed="81"/>
            <rFont val="Tahoma"/>
            <family val="2"/>
          </rPr>
          <t>USER:</t>
        </r>
        <r>
          <rPr>
            <sz val="9"/>
            <color indexed="81"/>
            <rFont val="Tahoma"/>
            <family val="2"/>
          </rPr>
          <t xml:space="preserve">
</t>
        </r>
      </text>
    </comment>
    <comment ref="A126" authorId="0" shapeId="0">
      <text>
        <r>
          <rPr>
            <b/>
            <sz val="9"/>
            <color indexed="81"/>
            <rFont val="Tahoma"/>
            <family val="2"/>
          </rPr>
          <t>USER:</t>
        </r>
        <r>
          <rPr>
            <sz val="9"/>
            <color indexed="81"/>
            <rFont val="Tahoma"/>
            <family val="2"/>
          </rPr>
          <t xml:space="preserve">
ეს ღონისძიება იგივე ვაუჩერების პრინციპია და ამის ბიუჯეტი შედის 32 03 01 და 02-ში (38,500) ყოველ წელს</t>
        </r>
      </text>
    </comment>
    <comment ref="A131" authorId="0" shapeId="0">
      <text>
        <r>
          <rPr>
            <b/>
            <sz val="9"/>
            <color indexed="81"/>
            <rFont val="Tahoma"/>
            <family val="2"/>
          </rPr>
          <t>USER:</t>
        </r>
        <r>
          <rPr>
            <sz val="9"/>
            <color indexed="81"/>
            <rFont val="Tahoma"/>
            <family val="2"/>
          </rPr>
          <t xml:space="preserve">
MOES-ს რეკომენდაციით დაემატა 32 04 04 განათლების საერთაშორისო ცენტრი</t>
        </r>
      </text>
    </comment>
    <comment ref="C164" authorId="0" shapeId="0">
      <text>
        <r>
          <rPr>
            <b/>
            <sz val="9"/>
            <color indexed="81"/>
            <rFont val="Tahoma"/>
            <family val="2"/>
          </rPr>
          <t>USER:</t>
        </r>
        <r>
          <rPr>
            <sz val="9"/>
            <color indexed="81"/>
            <rFont val="Tahoma"/>
            <family val="2"/>
          </rPr>
          <t xml:space="preserve">
დიტოსთან გავივლი</t>
        </r>
      </text>
    </comment>
    <comment ref="C170" authorId="0" shapeId="0">
      <text>
        <r>
          <rPr>
            <b/>
            <sz val="9"/>
            <color indexed="81"/>
            <rFont val="Tahoma"/>
            <family val="2"/>
          </rPr>
          <t>USER:</t>
        </r>
        <r>
          <rPr>
            <sz val="9"/>
            <color indexed="81"/>
            <rFont val="Tahoma"/>
            <family val="2"/>
          </rPr>
          <t xml:space="preserve">
რეგიონი არაა სწორი</t>
        </r>
      </text>
    </comment>
    <comment ref="C184" authorId="0" shapeId="0">
      <text>
        <r>
          <rPr>
            <b/>
            <sz val="9"/>
            <color indexed="81"/>
            <rFont val="Tahoma"/>
            <family val="2"/>
          </rPr>
          <t>USER:</t>
        </r>
        <r>
          <rPr>
            <sz val="9"/>
            <color indexed="81"/>
            <rFont val="Tahoma"/>
            <family val="2"/>
          </rPr>
          <t xml:space="preserve">
24 19 ანაკლიის ღრმაწყლოვანი პორტის განვითარება </t>
        </r>
      </text>
    </comment>
    <comment ref="C186" authorId="0" shapeId="0">
      <text>
        <r>
          <rPr>
            <b/>
            <sz val="9"/>
            <color indexed="81"/>
            <rFont val="Tahoma"/>
            <family val="2"/>
          </rPr>
          <t>USER:</t>
        </r>
        <r>
          <rPr>
            <sz val="9"/>
            <color indexed="81"/>
            <rFont val="Tahoma"/>
            <family val="2"/>
          </rPr>
          <t xml:space="preserve">
ეს ღონისძიება არის კიდევ 1.2-შიც და აქ ცალკე რატომაა, იქ ეს თანხა არ მაქვს შეტანილი</t>
        </r>
      </text>
    </comment>
    <comment ref="C187" authorId="0" shapeId="0">
      <text>
        <r>
          <rPr>
            <b/>
            <sz val="9"/>
            <color indexed="81"/>
            <rFont val="Tahoma"/>
            <family val="2"/>
          </rPr>
          <t>USER:</t>
        </r>
        <r>
          <rPr>
            <sz val="9"/>
            <color indexed="81"/>
            <rFont val="Tahoma"/>
            <family val="2"/>
          </rPr>
          <t xml:space="preserve">
ტექსტში გასასწორებელია სიტყვები </t>
        </r>
      </text>
    </comment>
    <comment ref="C190" authorId="0" shapeId="0">
      <text>
        <r>
          <rPr>
            <b/>
            <sz val="9"/>
            <color indexed="81"/>
            <rFont val="Tahoma"/>
            <family val="2"/>
          </rPr>
          <t>USER:</t>
        </r>
        <r>
          <rPr>
            <sz val="9"/>
            <color indexed="81"/>
            <rFont val="Tahoma"/>
            <family val="2"/>
          </rPr>
          <t xml:space="preserve">
აქ კიდევ ცალკე რა გამოვყოთ?
</t>
        </r>
      </text>
    </comment>
  </commentList>
</comments>
</file>

<file path=xl/sharedStrings.xml><?xml version="1.0" encoding="utf-8"?>
<sst xmlns="http://schemas.openxmlformats.org/spreadsheetml/2006/main" count="947" uniqueCount="758">
  <si>
    <t>სულ</t>
  </si>
  <si>
    <t>25 02 02 05</t>
  </si>
  <si>
    <t>25 02 02 13</t>
  </si>
  <si>
    <t>25 02 02 19</t>
  </si>
  <si>
    <t>25 02 03</t>
  </si>
  <si>
    <t>25 02 02 14</t>
  </si>
  <si>
    <t>24 23</t>
  </si>
  <si>
    <t>24 12</t>
  </si>
  <si>
    <t>24 15</t>
  </si>
  <si>
    <t>24 14 02 01</t>
  </si>
  <si>
    <t>24 14 02 02</t>
  </si>
  <si>
    <t>24 11</t>
  </si>
  <si>
    <t>24 13 01</t>
  </si>
  <si>
    <t>31 14</t>
  </si>
  <si>
    <t>Grand Total</t>
  </si>
  <si>
    <t>Budget Code</t>
  </si>
  <si>
    <t>Implementing Body</t>
  </si>
  <si>
    <t xml:space="preserve">State Budget </t>
  </si>
  <si>
    <t>Total</t>
  </si>
  <si>
    <t>24 14</t>
  </si>
  <si>
    <t>24 14 02</t>
  </si>
  <si>
    <t>34 02 (01)</t>
  </si>
  <si>
    <t>33 04</t>
  </si>
  <si>
    <t>33 07 02</t>
  </si>
  <si>
    <t>24 07 02</t>
  </si>
  <si>
    <t>49 00</t>
  </si>
  <si>
    <t>24 06 06</t>
  </si>
  <si>
    <t>24 08 02</t>
  </si>
  <si>
    <t>31 09 04</t>
  </si>
  <si>
    <t>47 02 ?</t>
  </si>
  <si>
    <t>24 05 02</t>
  </si>
  <si>
    <t>State Budget</t>
  </si>
  <si>
    <t>32 07 02 02</t>
  </si>
  <si>
    <t>Total from State Budget</t>
  </si>
  <si>
    <t>32 04 01</t>
  </si>
  <si>
    <t>32 05 02</t>
  </si>
  <si>
    <t>24 01 05</t>
  </si>
  <si>
    <t>35 05 02</t>
  </si>
  <si>
    <t>35 05 04</t>
  </si>
  <si>
    <t>34 02, 34 03</t>
  </si>
  <si>
    <t>32 03 03, 32 08</t>
  </si>
  <si>
    <t>35 02 02</t>
  </si>
  <si>
    <t>24 10</t>
  </si>
  <si>
    <t>31 03 06 და 31 03 03</t>
  </si>
  <si>
    <t>06 02 21</t>
  </si>
  <si>
    <t>35 02 04, 24 11</t>
  </si>
  <si>
    <t>25 01 03</t>
  </si>
  <si>
    <t>35 02 03</t>
  </si>
  <si>
    <t>35 02 01;
32 06 02</t>
  </si>
  <si>
    <t>დავაჯამო ქალაქები</t>
  </si>
  <si>
    <t>31 05 02, 07, 03, 06, საკუთარი</t>
  </si>
  <si>
    <t>31 05 05</t>
  </si>
  <si>
    <t>31 01 06, დონორი</t>
  </si>
  <si>
    <t>32 02 02; 32 02 12</t>
  </si>
  <si>
    <t>32 03 11</t>
  </si>
  <si>
    <t>32 05 01-ადმინისტრირება 1180</t>
  </si>
  <si>
    <t>24 07 02 შეთანხმებულია მამარდაშვილთან</t>
  </si>
  <si>
    <t>25 02 02 01;08;09;10;11;12;15;16;17;18;20;21;22; 25 03 03; 04; 05</t>
  </si>
  <si>
    <t>MDF</t>
  </si>
  <si>
    <t>25 02 02 07, MDF 25 03 02</t>
  </si>
  <si>
    <t>25 04 04; 06; 08; 05;MDF02; 03</t>
  </si>
  <si>
    <t>25 05, 56 13 03</t>
  </si>
  <si>
    <t>01 02 03 (თბილისის ბიუჯეტი), MDF part of 25 03 02</t>
  </si>
  <si>
    <t>nino javakhishvilis information, MDF</t>
  </si>
  <si>
    <t>25 03 11 MDF</t>
  </si>
  <si>
    <t>25 03 01 MDF</t>
  </si>
  <si>
    <t>25 03 07 MDF</t>
  </si>
  <si>
    <t xml:space="preserve"> Development of international auto transport corridor and other highways through modernisation of E60 and E70 international roads</t>
  </si>
  <si>
    <t>• Construction and rehabilitation of bridges</t>
  </si>
  <si>
    <t>Measure 1.2. Development of other strategic transport infrastructure</t>
  </si>
  <si>
    <t>The existing railway modernization (including infrastructure, stations and depots optimization, optimization of freight and passenger trains and purchase of new trains)</t>
  </si>
  <si>
    <t>Construction of the road and railway linking the Anaklia port</t>
  </si>
  <si>
    <t>Airport infrastructure development, including  establishment of aditional infrastructure</t>
  </si>
  <si>
    <t xml:space="preserve">Arrangement of Transport Hub of Kutaisi International Airport </t>
  </si>
  <si>
    <t>Conducting trainings for increasing digital literacy of population</t>
  </si>
  <si>
    <t>Subsidized internet installation and co-financing of purchasing of computer techniques for Increasing access to the broadband internet of individuals and SMEs from the regions</t>
  </si>
  <si>
    <t>  Measure 1.4. Improvement of energy infrastructure and expanding renewable energy potential</t>
  </si>
  <si>
    <t xml:space="preserve"> Upgrade and develop electricity transmission network in Adjara and Guria</t>
  </si>
  <si>
    <t>Expansion and rehabilitation of existing electricity, supply of gas to the selected regions, including:</t>
  </si>
  <si>
    <t xml:space="preserve">• Integration of Mtskheta-Mtianeti electricity stations into electricity transmission system </t>
  </si>
  <si>
    <t>Subsidising the consumption of natural gas by population of Kazbegi and Dusheti municipalities</t>
  </si>
  <si>
    <t xml:space="preserve">Samegrelo-Zemo Svaneti Region, Abkhazia and the West Georgia, Kakheti; 500 kv electro transfer line Tskaltubo - Akhaltsikhe - Turtum; Strengthening Guria Transfer Infrastructure; Kheleldula-Lajanuri-Oni; Strengthening of Kakheti infrastructure, 500 kv electro transfer line Jvari - Tskaltubo </t>
  </si>
  <si>
    <t>.Support to invest in renewable energy sources by  private companies</t>
  </si>
  <si>
    <t xml:space="preserve"> Gasification of villages without gas;</t>
  </si>
  <si>
    <t>Electrification of villages without electricity</t>
  </si>
  <si>
    <t>Sea and River banks fortification works</t>
  </si>
  <si>
    <t>Enlargement/creation of standard and specialized network for monitoring hydro-meteorological parameters, inclouding:</t>
  </si>
  <si>
    <t>Creation of the network of radars monitoring weather conditions</t>
  </si>
  <si>
    <t>Monitoring of geological risks, preparation of geological risks maps, including creation of the Tbilisi geological risks map, improvement of the monitoring system of underground waters</t>
  </si>
  <si>
    <t>Provide durable housing for eco-migrants</t>
  </si>
  <si>
    <t>Protection of Cultural heritage  and perfection of museum system</t>
  </si>
  <si>
    <t>Development of cultural infrastructure and financial sustainability</t>
  </si>
  <si>
    <t xml:space="preserve">Support to development of  little infrastructure of surrounding areas to access to the Cultural heritage </t>
  </si>
  <si>
    <t>· Support to the  Smaller investment (material and non-material) supportingprotection of cultural heritage, which is of local importance</t>
  </si>
  <si>
    <t>Biological diversity protection measures</t>
  </si>
  <si>
    <t xml:space="preserve"> Development of the protected areas system  and improve management</t>
  </si>
  <si>
    <t xml:space="preserve"> Implementing social and educational projects for local households</t>
  </si>
  <si>
    <t xml:space="preserve"> Developing  protected areas of Georgia</t>
  </si>
  <si>
    <t>Reconstruction of Metro Stations and Wagons</t>
  </si>
  <si>
    <t>Development of low-emission public transport (buses, construction and rehabilitation of Cable Constructions) in Tbilisi and Batumi</t>
  </si>
  <si>
    <t>Investments in infrastructure, ensuring better transportation of public transportation and alternative means of movement (multimodal hubs, parking spaces, bicycle paths, etc.)</t>
  </si>
  <si>
    <t>Construction- restoration of road infrastructure to reduce overloaded traffic in Tbilisi and other cities of Georgia</t>
  </si>
  <si>
    <t xml:space="preserve">Organizing the internal transport system and improving the connection of Tbilisi districts with integrated transport system of Tbilisi functional area (Integrated Transport   Construction of rehabilitation of objects of public and public importanceSystem of Functional Area of Tbilisi) </t>
  </si>
  <si>
    <t>Construction -rehabilitation  of State and public importance facilities</t>
  </si>
  <si>
    <t>Improvement of railway service between Tbilisi and regions (increase of speed and frequency, completion of Tbilisi Railway Bypass and East Georgia railway Modernization Projects)</t>
  </si>
  <si>
    <t xml:space="preserve">Development of a national vision and strategy for sustainable urban transport in Georgia </t>
  </si>
  <si>
    <t>Priority 2. Support to SMEs, growth oriented sectors of economy and export promotion</t>
  </si>
  <si>
    <t>Measure 2.1. Support to Enterprises, including SMEs</t>
  </si>
  <si>
    <t>Promotion of film industry development</t>
  </si>
  <si>
    <t>Providing small grants to Micro and Small Enterprisesfor purchase of equipment for development of production and advanced services as well as for purchase of advisory services necessary for the expansion of business activities.</t>
  </si>
  <si>
    <t>Developing human resources in SMEs (training programmes for owners, managers and employees of the SMEs).</t>
  </si>
  <si>
    <t xml:space="preserve">Rehabilitation of Enguri and Vardnili hydro power stations (Samegrelo - Zemo Svaneti region, Abkhazia and Western Georgia) and construction of Jvari </t>
  </si>
  <si>
    <t> Financing development of innovative projects of SMEs.</t>
  </si>
  <si>
    <t>Development of quality in tourism sector</t>
  </si>
  <si>
    <t>Building small tourist infrastructure</t>
  </si>
  <si>
    <t>Ckeck-in Georgia</t>
  </si>
  <si>
    <t>amosaRebia</t>
  </si>
  <si>
    <t>Promotion of agricultural products, creation of new enterprises in agriculture and extension of existing ones with cheap and affordable cash, leasing, co-financing of interest benefits, loan and agro insurance</t>
  </si>
  <si>
    <t xml:space="preserve">Supporting agriculture cooperatives </t>
  </si>
  <si>
    <t xml:space="preserve"> Measure 2.5. Export promotion</t>
  </si>
  <si>
    <t xml:space="preserve">Promotion of  Georgian products and services on international markets </t>
  </si>
  <si>
    <t>Organization of international exhibitions and trade missions</t>
  </si>
  <si>
    <t>Training of export managers</t>
  </si>
  <si>
    <t>Development of infrastructure of public schools  in the regions  and improvement of educational services</t>
  </si>
  <si>
    <t>32 07 02 01;; 32 07 02 05</t>
  </si>
  <si>
    <t>32 10; part 32 09</t>
  </si>
  <si>
    <t>Rehabilitation of Tbilisi public schools and increase energy efficiency</t>
  </si>
  <si>
    <t>Suporting professional development of teachers; Promote school activities</t>
  </si>
  <si>
    <t xml:space="preserve">Provide with transportation of public school students </t>
  </si>
  <si>
    <t xml:space="preserve"> Increase motivation of pupils' learning, including Encourage successful students and learn and relax together.</t>
  </si>
  <si>
    <t>32 02 04, 05; 32 08 03; 04 
32 02 07</t>
  </si>
  <si>
    <t>Promotion of marine vocational education Promote professional education development</t>
  </si>
  <si>
    <t>24 10; 32 03 01; 32 03 02</t>
  </si>
  <si>
    <t>Part of 32 03 01</t>
  </si>
  <si>
    <r>
      <t>Supporting youth by state grants for learning and master programs grants. • Promoting  education quality development amd management</t>
    </r>
    <r>
      <rPr>
        <sz val="10"/>
        <color theme="1"/>
        <rFont val="Sylfaen"/>
        <family val="1"/>
      </rPr>
      <t/>
    </r>
  </si>
  <si>
    <t xml:space="preserve"> Promoting of higher education</t>
  </si>
  <si>
    <t xml:space="preserve"> Organizing national exams</t>
  </si>
  <si>
    <t>32 04 02; 32 01 03; 32 04 04</t>
  </si>
  <si>
    <t>32 04 03, 32 04 05</t>
  </si>
  <si>
    <t>Supporting to scientific grants and scientific research</t>
  </si>
  <si>
    <t xml:space="preserve"> Science Popularization</t>
  </si>
  <si>
    <t>Supporting Research Studies</t>
  </si>
  <si>
    <t>Programs of scientific institutions</t>
  </si>
  <si>
    <t>Supporting Scientists in Agriculture sector</t>
  </si>
  <si>
    <t>32 05 04</t>
  </si>
  <si>
    <t>32 05 05</t>
  </si>
  <si>
    <t>Labor market analysis,t introduction of information systems/development</t>
  </si>
  <si>
    <t>Development of employment promotion services</t>
  </si>
  <si>
    <t>Professional training and retraining of job seekers and raising qualifications.</t>
  </si>
  <si>
    <t xml:space="preserve"> Resettlement of IDPs in residential areas and improve their living conditions</t>
  </si>
  <si>
    <t xml:space="preserve"> Providing IDPs with livelihood sources</t>
  </si>
  <si>
    <t xml:space="preserve"> Youth promotion measures</t>
  </si>
  <si>
    <t>Professional retraining of national minorities</t>
  </si>
  <si>
    <t xml:space="preserve"> Ensuring eco-migrants with residential houses and social-economic reintegration of returned migrants.</t>
  </si>
  <si>
    <t xml:space="preserve"> Socially vulnerable groups (internally displaced persons, IDPs, eco-migrants, persons with disabilities etc.) assistance in self employment</t>
  </si>
  <si>
    <t>Social rehabilitation and child care</t>
  </si>
  <si>
    <t>Co-financing of utility service tax and public transportation fees for socially vulnerable persons (at municipality level), co-financing higher education expenditures for socially unprotected students.</t>
  </si>
  <si>
    <t>Promote special institutions for  children with special educational needs</t>
  </si>
  <si>
    <t xml:space="preserve"> inclusive education</t>
  </si>
  <si>
    <t>Support to homeless  by municipalities</t>
  </si>
  <si>
    <t xml:space="preserve"> Improve quality of public service, such as pre-school and basic education, medical facilities and others</t>
  </si>
  <si>
    <t>Development and rehabilitation of local infrastructure is a significant influence on socio-economic development</t>
  </si>
  <si>
    <t>Promotion of local endogenous development and local tourism, maintenance and use of cultural and natural heritage</t>
  </si>
  <si>
    <t>·         Rehabilitation, maintenance and construction of local roads, water supply system, sewage systems, solid waste, street lightning, sport complexes, etc.</t>
  </si>
  <si>
    <t xml:space="preserve"> Development of water and canalization systems in rural settlements</t>
  </si>
  <si>
    <t xml:space="preserve"> Diversification of local economies through support to creation of non-farm businesses</t>
  </si>
  <si>
    <t xml:space="preserve"> Supporting start-ups, SME development and farmers in high mountain settlements</t>
  </si>
  <si>
    <t>Reimbursement of natural gas value for the population of mountainous settlements of Kazbegi and Dusheti municipalities</t>
  </si>
  <si>
    <t>Development of roads, water and sewage systems</t>
  </si>
  <si>
    <t>Port construction implemented within 9 phases</t>
  </si>
  <si>
    <t>Promotion of tourism and trade opportunities in the trans-border region</t>
  </si>
  <si>
    <t xml:space="preserve"> Modernization of agriculture and related sectors</t>
  </si>
  <si>
    <t>Joint cross border projects in the culture sector.</t>
  </si>
  <si>
    <t xml:space="preserve"> Improvement of joint environmental monitoring systems and practices</t>
  </si>
  <si>
    <t xml:space="preserve">  Promotion of awareness of environmental challenges and good waste management practices related to river and marine litter within Black Sea Basin</t>
  </si>
  <si>
    <t xml:space="preserve"> Supporting cooperation between CSO and private sector </t>
  </si>
  <si>
    <t>Measure 4.6 Strengthening Georgia's growth potential by supporting the functional integration of urban areas</t>
  </si>
  <si>
    <t>Develop strategic and general plan for functional zone of Tbilisi (for all other functional zones as required)</t>
  </si>
  <si>
    <t>Prepare legislative and non-legislative (manual, tools) proposals to strengthen cooperation in urban areas, in the above-mentioned areas.</t>
  </si>
  <si>
    <t>Priority 5. Increase the quality and effectiveness of regional development institutions and preparation of pilot regional development programs.</t>
  </si>
  <si>
    <t xml:space="preserve">o  Development and socio-economic restructuring of medium sized urban centres; </t>
  </si>
  <si>
    <t xml:space="preserve">o  Support to regional SMEs, including specific support to enterprises operating in identified regionally competitive sectors; </t>
  </si>
  <si>
    <t xml:space="preserve">o  Support to cultural and natural heritage preservation and usage for economic purposes. </t>
  </si>
  <si>
    <t xml:space="preserve">o  Support to small scale infrastructure, directly connected with development of economic potentials (e.g. in tourism), </t>
  </si>
  <si>
    <t>o  Implementation of the CLLD type of activities incentivising local participation in economic development</t>
  </si>
  <si>
    <t xml:space="preserve">Preparation of Integrated regional and local investments supplementing sectoral and other instruments. The list of measures (to be developed) could include; </t>
  </si>
  <si>
    <t>Rehabilitation and construction of international and national roads</t>
  </si>
  <si>
    <t>01 01 01 ჯერ მხოლოდ თბილისია</t>
  </si>
  <si>
    <t>Tbilisi  02 05+02 06+03 02</t>
  </si>
  <si>
    <t>RDF, 25 03 10 MDF</t>
  </si>
  <si>
    <t>Waiting for the information from municipalities</t>
  </si>
  <si>
    <t>  Priority 1. Improvement of key infrastructure supporting competitiveness and environmental sustainability of the country and regions</t>
  </si>
  <si>
    <t>  Measure 1.1. Improvement of international and national road infrastructure</t>
  </si>
  <si>
    <t xml:space="preserve"> Measure 1.3. Development of broadband infrastructure</t>
  </si>
  <si>
    <t>   Measure 2.6. Promotion of inward investment</t>
  </si>
  <si>
    <t>  Measure 3.6. Promoting integration of IDPs and national minorities</t>
  </si>
  <si>
    <t xml:space="preserve"> Measure 3.7. Social inclusion</t>
  </si>
  <si>
    <t>  Measure 4.1 Support to realisation of regional development strategies: development of small scale technical and social infrastructure</t>
  </si>
  <si>
    <t>    Measure 4.2. Development of rural areas</t>
  </si>
  <si>
    <t>  Measure 4.3. Development of High Mountainous Areas</t>
  </si>
  <si>
    <t>  Measure 4.4. Development of Anaklia Port Area</t>
  </si>
  <si>
    <t>     Measure 4.5. Cross-border and macro-regional cooperation</t>
  </si>
  <si>
    <t>  Measure 5.1. Capacity building for regional development institutions at national level</t>
  </si>
  <si>
    <t xml:space="preserve"> Measure 5.2. Strengthening the analytical base for conducting evidence based regional development policy</t>
  </si>
  <si>
    <t xml:space="preserve"> Priority 4. Promoting local development and support to specific areas based on their endogenous development</t>
  </si>
  <si>
    <t>Donor funding</t>
  </si>
  <si>
    <t>Tachnical Assistance</t>
  </si>
  <si>
    <t>own sources</t>
  </si>
  <si>
    <t>31 09-31 09 01-11-09-04</t>
  </si>
  <si>
    <t>31 06-31 06 01, 31 06 05</t>
  </si>
  <si>
    <t>31 03- 31 03 01, 04, 03, 06</t>
  </si>
  <si>
    <t>32 05 03+31 04-31 04 01</t>
  </si>
  <si>
    <t>31 06 05+RDF+HMDFund</t>
  </si>
  <si>
    <t xml:space="preserve"> construction of Anaklia Port</t>
  </si>
  <si>
    <t xml:space="preserve">9+                                                                                                      </t>
  </si>
  <si>
    <t>33 02 06</t>
  </si>
  <si>
    <t>33 02 04</t>
  </si>
  <si>
    <t>32 04 02</t>
  </si>
  <si>
    <t>პროგრამული პრიორიტეტები და ღონისძიებები</t>
  </si>
  <si>
    <t xml:space="preserve">ღონისძიება 1.2. საავტომობილო გზების გარდა, სხვა სტრატეგიული სატრანსპორტო ინფრასტრუქტურის განვითარება </t>
  </si>
  <si>
    <t xml:space="preserve">ღონისძიება 1.3. მაღალსიჩქარიანი ინტერნეტ-ინფრასტრუქტურის განვითარება </t>
  </si>
  <si>
    <t>ღონისძიება: 1.6  წყალმომარაგების, წყალარინების და  ნარჩენების მართვის ინფრასტრუქტურის განვითარება</t>
  </si>
  <si>
    <t>ღონისძიება: 1.9. ინტეგრირებული მუნიციპალური ტრანსპორტის განვითარება</t>
  </si>
  <si>
    <t>    Measure 2.3. Support to strategic sectors: Tourism</t>
  </si>
  <si>
    <t>    Measure 3.3. Increasing the quality and accessibility of higher education system</t>
  </si>
  <si>
    <t>     Measure 3.4. Support to research sector</t>
  </si>
  <si>
    <t>     Measure 5.4. Development of instruments for regional policy: preparation of regional development programs for two pilot regions</t>
  </si>
  <si>
    <t>Programme Priority and Measure</t>
  </si>
  <si>
    <t>Programme Activities and Sub-activities</t>
  </si>
  <si>
    <r>
      <t xml:space="preserve"> Creating tech-parks (in large cities) and/or innovation centres (in medium-sized cities) providing equipment, training and educational programmes for start-ups and existing enterprises in order to increase their innovative activities.Promotion of innovations and technologies in the existing enterprises and creation of innovative ecosystem  </t>
    </r>
    <r>
      <rPr>
        <sz val="8"/>
        <color theme="1"/>
        <rFont val="Sylfaen"/>
        <family val="1"/>
      </rPr>
      <t/>
    </r>
  </si>
  <si>
    <r>
      <rPr>
        <b/>
        <sz val="11"/>
        <color rgb="FFC00000"/>
        <rFont val="Calibri"/>
        <family val="1"/>
        <scheme val="minor"/>
      </rPr>
      <t>     Measure 1.5 Improvement of infrastructure for protection from natural disasters</t>
    </r>
  </si>
  <si>
    <r>
      <rPr>
        <b/>
        <sz val="11"/>
        <color rgb="FFC00000"/>
        <rFont val="Calibri"/>
        <family val="1"/>
        <scheme val="minor"/>
      </rPr>
      <t>   Measure 1.6. Development of water and sewage and solid waste infrastructure</t>
    </r>
  </si>
  <si>
    <r>
      <rPr>
        <b/>
        <sz val="11"/>
        <color rgb="FFC00000"/>
        <rFont val="Calibri"/>
        <family val="1"/>
        <scheme val="minor"/>
      </rPr>
      <t>    Measure 1.7. Preserving and promoting cultural heritage</t>
    </r>
  </si>
  <si>
    <r>
      <rPr>
        <b/>
        <sz val="11"/>
        <color rgb="FFC00000"/>
        <rFont val="Calibri"/>
        <family val="1"/>
        <scheme val="minor"/>
      </rPr>
      <t>     Measure 1.8. Preserving and promoting natural heritage (National Parks, reservoirs, other activities)</t>
    </r>
  </si>
  <si>
    <r>
      <rPr>
        <b/>
        <sz val="11"/>
        <color rgb="FFC00000"/>
        <rFont val="Calibri"/>
        <family val="1"/>
        <scheme val="minor"/>
      </rPr>
      <t>  Measure 1.9. Developing of Integrated urban transport</t>
    </r>
  </si>
  <si>
    <r>
      <rPr>
        <b/>
        <sz val="11"/>
        <color rgb="FFC00000"/>
        <rFont val="Calibri"/>
        <family val="1"/>
        <scheme val="minor"/>
      </rPr>
      <t>  Measure 2.2. Support to innovation</t>
    </r>
  </si>
  <si>
    <r>
      <rPr>
        <b/>
        <sz val="11"/>
        <color rgb="FFC00000"/>
        <rFont val="Calibri"/>
        <family val="1"/>
        <scheme val="minor"/>
      </rPr>
      <t>   Measure 2.4. Support to strategic sectors: Agriculture</t>
    </r>
  </si>
  <si>
    <r>
      <t xml:space="preserve">Priority </t>
    </r>
    <r>
      <rPr>
        <b/>
        <sz val="11"/>
        <rFont val="Calibri"/>
        <family val="1"/>
        <scheme val="minor"/>
      </rPr>
      <t>3.Improvement of human capital</t>
    </r>
  </si>
  <si>
    <r>
      <rPr>
        <b/>
        <sz val="11"/>
        <rFont val="Calibri"/>
        <family val="1"/>
        <scheme val="minor"/>
      </rPr>
      <t>   Measure 3.1. Increasing the quality of general education</t>
    </r>
  </si>
  <si>
    <r>
      <rPr>
        <b/>
        <sz val="11"/>
        <color rgb="FFC00000"/>
        <rFont val="Calibri"/>
        <family val="1"/>
        <scheme val="minor"/>
      </rPr>
      <t>    Measure 3.2 Improvement of vocational system</t>
    </r>
  </si>
  <si>
    <r>
      <rPr>
        <b/>
        <sz val="11"/>
        <color rgb="FFC00000"/>
        <rFont val="Calibri"/>
        <family val="1"/>
        <scheme val="minor"/>
      </rPr>
      <t>    Measure 3.5. Better accessibility to labour market</t>
    </r>
  </si>
  <si>
    <r>
      <rPr>
        <b/>
        <sz val="11"/>
        <color rgb="FFC00000"/>
        <rFont val="Calibri"/>
        <family val="1"/>
        <scheme val="minor"/>
      </rPr>
      <t>  Measure 5.3. Promotion of partnership and cooperation</t>
    </r>
  </si>
  <si>
    <t xml:space="preserve"> Development and/or reconstruction of new VET  colleges </t>
  </si>
  <si>
    <r>
      <rPr>
        <sz val="11"/>
        <color rgb="FFC00000"/>
        <rFont val="Calibri"/>
        <family val="1"/>
        <scheme val="minor"/>
      </rPr>
      <t xml:space="preserve"> </t>
    </r>
    <r>
      <rPr>
        <sz val="11"/>
        <color theme="1"/>
        <rFont val="Calibri"/>
        <family val="2"/>
        <scheme val="minor"/>
      </rPr>
      <t>Increasing access to the broadband internet of individuals and SMEs from the regions</t>
    </r>
  </si>
  <si>
    <r>
      <rPr>
        <sz val="11"/>
        <color rgb="FFC00000"/>
        <rFont val="Calibri"/>
        <family val="1"/>
        <scheme val="minor"/>
      </rPr>
      <t xml:space="preserve"> </t>
    </r>
    <r>
      <rPr>
        <sz val="11"/>
        <color theme="1"/>
        <rFont val="Calibri"/>
        <family val="2"/>
        <scheme val="minor"/>
      </rPr>
      <t xml:space="preserve">Construction of Jvari-Khorga electricity transmission line </t>
    </r>
  </si>
  <si>
    <r>
      <rPr>
        <sz val="11"/>
        <color rgb="FFC00000"/>
        <rFont val="Calibri"/>
        <family val="1"/>
        <scheme val="minor"/>
      </rPr>
      <t xml:space="preserve"> </t>
    </r>
    <r>
      <rPr>
        <sz val="11"/>
        <color theme="1"/>
        <rFont val="Calibri"/>
        <family val="2"/>
        <scheme val="minor"/>
      </rPr>
      <t>Construction/arrangement of infrastructure against natural disasters</t>
    </r>
  </si>
  <si>
    <r>
      <t xml:space="preserve"> </t>
    </r>
    <r>
      <rPr>
        <sz val="11"/>
        <color theme="1"/>
        <rFont val="Calibri"/>
        <family val="2"/>
        <scheme val="minor"/>
      </rPr>
      <t>Improvement of telecommunication system for collecting and dissemination of hydro-meteorological monitoring data on national and international levels</t>
    </r>
  </si>
  <si>
    <r>
      <t xml:space="preserve"> </t>
    </r>
    <r>
      <rPr>
        <sz val="11"/>
        <color theme="1"/>
        <rFont val="Calibri"/>
        <family val="2"/>
        <scheme val="minor"/>
      </rPr>
      <t>Establishing the model for high resolution weather and hydrological forecasts</t>
    </r>
  </si>
  <si>
    <r>
      <t xml:space="preserve"> </t>
    </r>
    <r>
      <rPr>
        <sz val="11"/>
        <color theme="1"/>
        <rFont val="Calibri"/>
        <family val="2"/>
        <scheme val="minor"/>
      </rPr>
      <t xml:space="preserve">Development of water and sewage system. </t>
    </r>
  </si>
  <si>
    <r>
      <t xml:space="preserve"> </t>
    </r>
    <r>
      <rPr>
        <sz val="11"/>
        <color theme="1"/>
        <rFont val="Calibri"/>
        <family val="2"/>
        <scheme val="minor"/>
      </rPr>
      <t xml:space="preserve">Development of solid waste management system </t>
    </r>
  </si>
  <si>
    <r>
      <t xml:space="preserve"> </t>
    </r>
    <r>
      <rPr>
        <sz val="11"/>
        <color theme="1"/>
        <rFont val="Calibri"/>
        <family val="2"/>
        <scheme val="minor"/>
      </rPr>
      <t xml:space="preserve">Increasing access to finance for SMEs by co-financing interest repayments and participation in collaterals for bank loans. </t>
    </r>
  </si>
  <si>
    <r>
      <t xml:space="preserve"> </t>
    </r>
    <r>
      <rPr>
        <sz val="11"/>
        <color theme="1"/>
        <rFont val="Calibri"/>
        <family val="2"/>
        <scheme val="minor"/>
      </rPr>
      <t>Development and implementation of collaborative projects between enterprises and research institutions</t>
    </r>
  </si>
  <si>
    <r>
      <t xml:space="preserve">  </t>
    </r>
    <r>
      <rPr>
        <sz val="11"/>
        <color theme="1"/>
        <rFont val="Calibri"/>
        <family val="2"/>
        <scheme val="minor"/>
      </rPr>
      <t xml:space="preserve">Marketing and advertisement events for attraction of foreign tourists </t>
    </r>
  </si>
  <si>
    <r>
      <t xml:space="preserve"> </t>
    </r>
    <r>
      <rPr>
        <sz val="11"/>
        <color theme="1"/>
        <rFont val="Calibri"/>
        <family val="2"/>
        <scheme val="minor"/>
      </rPr>
      <t xml:space="preserve">Development of  tourist products </t>
    </r>
  </si>
  <si>
    <r>
      <t xml:space="preserve"> Promote </t>
    </r>
    <r>
      <rPr>
        <sz val="11"/>
        <color theme="1"/>
        <rFont val="Calibri"/>
        <family val="2"/>
        <scheme val="minor"/>
      </rPr>
      <t xml:space="preserve">Hotel Industry Development in Regions </t>
    </r>
  </si>
  <si>
    <r>
      <t xml:space="preserve">·         </t>
    </r>
    <r>
      <rPr>
        <sz val="11"/>
        <color theme="1"/>
        <rFont val="Calibri"/>
        <family val="2"/>
        <scheme val="minor"/>
      </rPr>
      <t>Creation of tourism information centres</t>
    </r>
  </si>
  <si>
    <r>
      <t xml:space="preserve"> </t>
    </r>
    <r>
      <rPr>
        <sz val="11"/>
        <color theme="1"/>
        <rFont val="Calibri"/>
        <family val="2"/>
        <scheme val="minor"/>
      </rPr>
      <t>Supporting wine production and exports</t>
    </r>
  </si>
  <si>
    <r>
      <t xml:space="preserve"> </t>
    </r>
    <r>
      <rPr>
        <sz val="11"/>
        <color theme="1"/>
        <rFont val="Calibri"/>
        <family val="2"/>
        <scheme val="minor"/>
      </rPr>
      <t>Development/diversification of other agricultural production sectors</t>
    </r>
  </si>
  <si>
    <r>
      <t xml:space="preserve">  </t>
    </r>
    <r>
      <rPr>
        <sz val="11"/>
        <color theme="1"/>
        <rFont val="Calibri"/>
        <family val="2"/>
        <scheme val="minor"/>
      </rPr>
      <t>Development  of export strategy for Georgia</t>
    </r>
  </si>
  <si>
    <r>
      <t xml:space="preserve"> </t>
    </r>
    <r>
      <rPr>
        <sz val="11"/>
        <color theme="1"/>
        <rFont val="Calibri"/>
        <family val="2"/>
        <scheme val="minor"/>
      </rPr>
      <t xml:space="preserve">Connecting foreign buyers with Georgian producers </t>
    </r>
  </si>
  <si>
    <r>
      <t xml:space="preserve"> </t>
    </r>
    <r>
      <rPr>
        <sz val="11"/>
        <color theme="1"/>
        <rFont val="Calibri"/>
        <family val="2"/>
        <scheme val="minor"/>
      </rPr>
      <t xml:space="preserve">Promoting Georgian wine exports abroad </t>
    </r>
  </si>
  <si>
    <r>
      <t xml:space="preserve"> </t>
    </r>
    <r>
      <rPr>
        <sz val="11"/>
        <color theme="1"/>
        <rFont val="Calibri"/>
        <family val="2"/>
        <scheme val="minor"/>
      </rPr>
      <t>Providing information on export procedures in Georgia and on customs tariffs in foreign markets</t>
    </r>
  </si>
  <si>
    <r>
      <t xml:space="preserve">  </t>
    </r>
    <r>
      <rPr>
        <sz val="11"/>
        <color theme="1"/>
        <rFont val="Calibri"/>
        <family val="2"/>
        <scheme val="minor"/>
      </rPr>
      <t>Support to companies establishing hotels in Free Tourism Zones by subsidizing the purchase of land, exemption from property and profit taxes, free casino licenses, pre-packaged hotel projects and ready infrastructure for construction of hotels (electricity, water, gas) provided by the Government</t>
    </r>
  </si>
  <si>
    <r>
      <t xml:space="preserve">  </t>
    </r>
    <r>
      <rPr>
        <sz val="11"/>
        <color theme="1"/>
        <rFont val="Calibri"/>
        <family val="2"/>
        <scheme val="minor"/>
      </rPr>
      <t>Support to companies establishing manufacturing plants in Free Industrial Zones (tax exemptions from all taxes except of Personal Income Tax)</t>
    </r>
  </si>
  <si>
    <r>
      <t xml:space="preserve">  </t>
    </r>
    <r>
      <rPr>
        <sz val="11"/>
        <color theme="1"/>
        <rFont val="Calibri"/>
        <family val="2"/>
        <scheme val="minor"/>
      </rPr>
      <t>Support to entrepreneurs involved in hotel industry in all regions of Georgia except of Tbilisi and Batumi cities (technical and financial assistance – co-financing of franchise/management contracts and development of international brand hotels, co-financing of loan interest rate)</t>
    </r>
  </si>
  <si>
    <r>
      <t xml:space="preserve"> </t>
    </r>
    <r>
      <rPr>
        <sz val="11"/>
        <color theme="1"/>
        <rFont val="Calibri"/>
        <family val="2"/>
        <scheme val="minor"/>
      </rPr>
      <t>Promotion of FDI (marketing activities and support to foreign investors offered by Invest in Georgia)</t>
    </r>
  </si>
  <si>
    <r>
      <t xml:space="preserve">·         </t>
    </r>
    <r>
      <rPr>
        <sz val="11"/>
        <color theme="1"/>
        <rFont val="Calibri"/>
        <family val="2"/>
        <scheme val="minor"/>
      </rPr>
      <t>Development of qualifications in accordance with the requirements of the labour market</t>
    </r>
  </si>
  <si>
    <r>
      <t xml:space="preserve">·         </t>
    </r>
    <r>
      <rPr>
        <sz val="11"/>
        <color theme="1"/>
        <rFont val="Calibri"/>
        <family val="2"/>
        <scheme val="minor"/>
      </rPr>
      <t>Implement modular and dual VET programs that includes mandatory entrepreneurial module.</t>
    </r>
  </si>
  <si>
    <r>
      <t xml:space="preserve">·         </t>
    </r>
    <r>
      <rPr>
        <sz val="11"/>
        <color theme="1"/>
        <rFont val="Calibri"/>
        <family val="2"/>
        <scheme val="minor"/>
      </rPr>
      <t>Implement labour skills development program at public schools;</t>
    </r>
  </si>
  <si>
    <r>
      <t xml:space="preserve">·         </t>
    </r>
    <r>
      <rPr>
        <sz val="11"/>
        <color theme="1"/>
        <rFont val="Calibri"/>
        <family val="2"/>
        <scheme val="minor"/>
      </rPr>
      <t xml:space="preserve">Provision of social packages for target groups </t>
    </r>
  </si>
  <si>
    <r>
      <t xml:space="preserve">  </t>
    </r>
    <r>
      <rPr>
        <sz val="11"/>
        <color theme="1"/>
        <rFont val="Calibri"/>
        <family val="2"/>
        <scheme val="minor"/>
      </rPr>
      <t>Building infrastructure for creative businesses (incubators, accelerators)</t>
    </r>
  </si>
  <si>
    <r>
      <t xml:space="preserve">  </t>
    </r>
    <r>
      <rPr>
        <sz val="11"/>
        <color theme="1"/>
        <rFont val="Calibri"/>
        <family val="2"/>
        <scheme val="minor"/>
      </rPr>
      <t>Building and rehabilitation of local roads</t>
    </r>
  </si>
  <si>
    <r>
      <t xml:space="preserve"> </t>
    </r>
    <r>
      <rPr>
        <sz val="11"/>
        <color theme="1"/>
        <rFont val="Calibri"/>
        <family val="2"/>
        <scheme val="minor"/>
      </rPr>
      <t>Development of Local Action Groups in 8 pilot areas.</t>
    </r>
  </si>
  <si>
    <r>
      <t xml:space="preserve"> </t>
    </r>
    <r>
      <rPr>
        <sz val="11"/>
        <color theme="1"/>
        <rFont val="Calibri"/>
        <family val="2"/>
        <scheme val="minor"/>
      </rPr>
      <t>Improving infrastructure in the high mountain settlements</t>
    </r>
  </si>
  <si>
    <r>
      <t xml:space="preserve"> </t>
    </r>
    <r>
      <rPr>
        <sz val="11"/>
        <color theme="1"/>
        <rFont val="Calibri"/>
        <family val="2"/>
        <scheme val="minor"/>
      </rPr>
      <t>Additional financing for teachers, doctors and pensioners working and living in the high mountain settlements</t>
    </r>
  </si>
  <si>
    <r>
      <t xml:space="preserve">·         </t>
    </r>
    <r>
      <rPr>
        <b/>
        <sz val="11"/>
        <color theme="1"/>
        <rFont val="Calibri"/>
        <family val="1"/>
        <scheme val="minor"/>
      </rPr>
      <t>Technical assistance</t>
    </r>
    <r>
      <rPr>
        <sz val="11"/>
        <color theme="1"/>
        <rFont val="Calibri"/>
        <family val="2"/>
        <scheme val="minor"/>
      </rPr>
      <t xml:space="preserve"> – engagement of experts, preparation of thematic and methodological studies dedicated to the effective planning and implementation of the RDP.</t>
    </r>
  </si>
  <si>
    <r>
      <t xml:space="preserve">·         </t>
    </r>
    <r>
      <rPr>
        <b/>
        <sz val="11"/>
        <color theme="1"/>
        <rFont val="Calibri"/>
        <family val="1"/>
        <scheme val="minor"/>
      </rPr>
      <t>Human capacity building</t>
    </r>
    <r>
      <rPr>
        <sz val="11"/>
        <color theme="1"/>
        <rFont val="Calibri"/>
        <family val="2"/>
        <scheme val="minor"/>
      </rPr>
      <t xml:space="preserve"> – e.g. training, counselling, coaching, study tours and exchanges of experts (secondments) within Georgia as well as in Eastern Partnership countries and the European Union.</t>
    </r>
  </si>
  <si>
    <r>
      <t xml:space="preserve">·         </t>
    </r>
    <r>
      <rPr>
        <b/>
        <sz val="11"/>
        <color theme="1"/>
        <rFont val="Calibri"/>
        <family val="1"/>
        <scheme val="minor"/>
      </rPr>
      <t>Organisation of events</t>
    </r>
    <r>
      <rPr>
        <sz val="11"/>
        <color theme="1"/>
        <rFont val="Calibri"/>
        <family val="2"/>
        <scheme val="minor"/>
      </rPr>
      <t xml:space="preserve"> – conferences, committee meetings, workshops, public information events, study tours, participation at international conferences and consultations with peer authorities in the EU and EaP countries.</t>
    </r>
  </si>
  <si>
    <r>
      <t xml:space="preserve">·         </t>
    </r>
    <r>
      <rPr>
        <b/>
        <sz val="11"/>
        <color theme="1"/>
        <rFont val="Calibri"/>
        <family val="1"/>
        <scheme val="minor"/>
      </rPr>
      <t>Knowledge management</t>
    </r>
    <r>
      <rPr>
        <sz val="11"/>
        <color theme="1"/>
        <rFont val="Calibri"/>
        <family val="2"/>
        <scheme val="minor"/>
      </rPr>
      <t xml:space="preserve"> – creation of archives, websites and publications with key strategic, methodological documents, information materials and training curricula, networking of experts – with the aim of establishing a national knowledge base on regional development and the strengthening the professional community of regional developers across Georgia, at all levels.</t>
    </r>
  </si>
  <si>
    <r>
      <t xml:space="preserve">·         </t>
    </r>
    <r>
      <rPr>
        <b/>
        <sz val="11"/>
        <color theme="1"/>
        <rFont val="Calibri"/>
        <family val="1"/>
        <scheme val="minor"/>
      </rPr>
      <t>Retention policy</t>
    </r>
    <r>
      <rPr>
        <sz val="11"/>
        <color theme="1"/>
        <rFont val="Calibri"/>
        <family val="2"/>
        <scheme val="minor"/>
      </rPr>
      <t xml:space="preserve"> measures for the staff of programme authorities.</t>
    </r>
  </si>
  <si>
    <r>
      <t xml:space="preserve">·         </t>
    </r>
    <r>
      <rPr>
        <sz val="11"/>
        <color theme="1"/>
        <rFont val="Calibri"/>
        <family val="2"/>
        <scheme val="minor"/>
      </rPr>
      <t xml:space="preserve">Development of statistical methodologies, collection and analysis of statistical data needed to conduct modern regional policy and monitor the implementation of RDP by GEOSTAT and other institutions; </t>
    </r>
  </si>
  <si>
    <r>
      <t xml:space="preserve">·         </t>
    </r>
    <r>
      <rPr>
        <sz val="11"/>
        <color theme="1"/>
        <rFont val="Calibri"/>
        <family val="2"/>
        <scheme val="minor"/>
      </rPr>
      <t>Financing research and networking events, trainings and publications for and by regional development policy professionals related to regional, rural and spatial development; as well as sector policies contributing to regional development.</t>
    </r>
  </si>
  <si>
    <r>
      <t xml:space="preserve">·         </t>
    </r>
    <r>
      <rPr>
        <sz val="11"/>
        <color theme="1"/>
        <rFont val="Calibri"/>
        <family val="2"/>
        <scheme val="minor"/>
      </rPr>
      <t>Costs of hiring staff directly contributing to the RDP at CEGSTAR and GEOSTAT, including retention policy measures.</t>
    </r>
  </si>
  <si>
    <r>
      <t xml:space="preserve">·         </t>
    </r>
    <r>
      <rPr>
        <b/>
        <sz val="11"/>
        <color theme="1"/>
        <rFont val="Calibri"/>
        <family val="1"/>
        <scheme val="minor"/>
      </rPr>
      <t>Technical assistance</t>
    </r>
    <r>
      <rPr>
        <sz val="11"/>
        <color theme="1"/>
        <rFont val="Calibri"/>
        <family val="2"/>
        <scheme val="minor"/>
      </rPr>
      <t xml:space="preserve"> – engagement of experts, preparation of thematic and methodological studies to support the work of non-governmental stakeholders of regional policy.</t>
    </r>
  </si>
  <si>
    <r>
      <t xml:space="preserve">·         </t>
    </r>
    <r>
      <rPr>
        <b/>
        <sz val="11"/>
        <color theme="1"/>
        <rFont val="Calibri"/>
        <family val="1"/>
        <scheme val="minor"/>
      </rPr>
      <t>Capacity building</t>
    </r>
    <r>
      <rPr>
        <sz val="11"/>
        <color theme="1"/>
        <rFont val="Calibri"/>
        <family val="2"/>
        <scheme val="minor"/>
      </rPr>
      <t xml:space="preserve"> in the regional and municipal level administrations in the context of regional policy.</t>
    </r>
  </si>
  <si>
    <r>
      <t xml:space="preserve">·         </t>
    </r>
    <r>
      <rPr>
        <b/>
        <sz val="11"/>
        <color theme="1"/>
        <rFont val="Calibri"/>
        <family val="1"/>
        <scheme val="minor"/>
      </rPr>
      <t>Training, counselling, coaching, study tours and exchanges</t>
    </r>
    <r>
      <rPr>
        <sz val="11"/>
        <color theme="1"/>
        <rFont val="Calibri"/>
        <family val="2"/>
        <scheme val="minor"/>
      </rPr>
      <t xml:space="preserve"> of experts (secondments) within Georgia as well as in Eastern Partnership countries and the European Union for regional, local officials and stakeholder representatives (mainly those represented in the Monitoring Committee of the RDP, and similar bodies at the regional level).</t>
    </r>
  </si>
  <si>
    <r>
      <t xml:space="preserve">·         </t>
    </r>
    <r>
      <rPr>
        <b/>
        <sz val="11"/>
        <color theme="1"/>
        <rFont val="Calibri"/>
        <family val="1"/>
        <scheme val="minor"/>
      </rPr>
      <t>Small-scale office Infrastructure</t>
    </r>
    <r>
      <rPr>
        <sz val="11"/>
        <color theme="1"/>
        <rFont val="Calibri"/>
        <family val="2"/>
        <scheme val="minor"/>
      </rPr>
      <t xml:space="preserve">, office space and equipment of agencies directly involved in the implementation of the RDP at the regional and local level. </t>
    </r>
  </si>
  <si>
    <r>
      <t xml:space="preserve">·         </t>
    </r>
    <r>
      <rPr>
        <b/>
        <sz val="11"/>
        <color theme="1"/>
        <rFont val="Calibri"/>
        <family val="1"/>
        <scheme val="minor"/>
      </rPr>
      <t>Retention policy</t>
    </r>
    <r>
      <rPr>
        <sz val="11"/>
        <color theme="1"/>
        <rFont val="Calibri"/>
        <family val="2"/>
        <scheme val="minor"/>
      </rPr>
      <t xml:space="preserve"> measures for the staff of these bodies.</t>
    </r>
  </si>
  <si>
    <r>
      <t xml:space="preserve">   </t>
    </r>
    <r>
      <rPr>
        <sz val="11"/>
        <color theme="1"/>
        <rFont val="Calibri"/>
        <family val="2"/>
        <scheme val="minor"/>
      </rPr>
      <t xml:space="preserve">Strengthening of the capacity of regional and local institutions involved in the implementation of two pilot programs. </t>
    </r>
  </si>
  <si>
    <t>Baseline</t>
  </si>
  <si>
    <t>   ღონისძიება: 1.5 ბუნებრივი კატასტროფებისგან დამცავი ინფრასტრუქტურის გაუმჯობესება</t>
  </si>
  <si>
    <t> ღონისძიება: 1.7. კულტურული მემკვიდრეობის შენარჩუნება და პოპულარიზაცია</t>
  </si>
  <si>
    <t>1.2.1. არსებული რკინიგზის მოდერნიზაცია (მ.შ. ინფრასტრუქტურის გაუმჯობესება, სადგურებისა და დეპოების ოპტიმიზაცია, სატვირთო და სამგზავრო მატარებლების ოპტიმიზაცია და ახალი მატარებლების შეძენა)</t>
  </si>
  <si>
    <t>1.4.1.2  აჭარასა და გურიაში ელექტროენერგიის გადამცემი ქსელის განახლება-განვითარება;</t>
  </si>
  <si>
    <t>1.4.1.3  მცხეთა-მთიანეთის ელექტროსადგურების გაერთიანება ელექტროენერგიის გადამცემთა სისტემაში </t>
  </si>
  <si>
    <t>1.4.1.4   ჯვარი-ხორგას ელექტროგადამცემი ხაზის მშენებლობა;</t>
  </si>
  <si>
    <t>5.4.1.1 საშუალო ზომის ურბანული ცენტრების განვითარება და სოციალურ-ეკონომიკური რესტრუქტურიზაცია</t>
  </si>
  <si>
    <t>პრიორიტეტი 5.  რეგიონული განვითარების ინსტიტუციების ხარისხისა და ეფექტიანობის ზრდა, პილოტური რეგიონული განვითარების პროგრამების მომზადება</t>
  </si>
  <si>
    <t>ღონისძიება: 5.1. რეგიონული განვითარების ინსტიტუტების შესაძლებლობების გაძლიერება ეროვნულ დონეზე</t>
  </si>
  <si>
    <t>ღონისძიება: 5.2. ანალიტიკური ბაზის გაძლიერება მტკიცებულებებზე დაფუძნებული რეგიონული პოლიტიკის განხორციელებისათვის</t>
  </si>
  <si>
    <t>ღონისძიება: 5.3. პარტნიორობისა და თანამშრომლობის ხელშეწყობა, სტიმულირება</t>
  </si>
  <si>
    <t>ღონისძიება: 5.4. რეგიონული პოლიტიკის შემუშავების ინსტრუმენტების განვითარება: რეგიონული განვითარების პროგრამების მომზადება ორი საპილოტე რეგიონისთვის</t>
  </si>
  <si>
    <t xml:space="preserve">ღონისძიება: 4.6. საქართველოს ზრდის პოტენციალის გაძლიერება ურბანული ტერიტორიების ფუნქციური ინტეგრაციის ხელშეწყობით </t>
  </si>
  <si>
    <t>ღონისძიება: 4.5. საზღვრისპირა და მაკრო-რეგიონული თანამშრომლობა</t>
  </si>
  <si>
    <t>ღონისძიება: 4.4. ანაკლიის პორტის მიმდებარე ტერიტორიების განვითარება</t>
  </si>
  <si>
    <t>ღონისძიება: 4.3. მაღალმთიანი რეგიონების განვითარება</t>
  </si>
  <si>
    <t>ღონისძიება: 4.1. რეგიონული განვითარების სტრატეგიის განხორციელების ხელშეწყობა: მცირე ზომის ტექნიკური და სოციალური ინფრასტრუქტურის განვითარება</t>
  </si>
  <si>
    <t>4.1.2.3 სანიაღვრე ქსელების მშენებლობა და რეაბილიტაცია</t>
  </si>
  <si>
    <t>4.1.2.4  ნარჩენების მართვის ინფრასტრუქტურის განვითარება</t>
  </si>
  <si>
    <t>4.1.2.5 გარე განათება</t>
  </si>
  <si>
    <t>4.1.2.6 სპორტული მოედნებისა და კომპლექსების მშენებლობა და მოვლა-პატრონობა</t>
  </si>
  <si>
    <t>4.1.2.7 წყალმომარაგების და წყალარინების სისტემების განვითარება</t>
  </si>
  <si>
    <t>4.1.2.8 ადგილობრივი მნიშვნელობის საავტომობილო გზების რეაბილიტაცია-მშენებლობა</t>
  </si>
  <si>
    <t>პრიორიტეტი 4. ადგილობრივი განვითარების ხელშეწყობა და კონკრეტული ტერიტორიების მხარდაჭერა, მათი ენდოგენური განვითარების საფუძველზე</t>
  </si>
  <si>
    <t>1.5.1. ზღვის და მდინარეების სანაპირო ზონების ნაპირსამაგრი სამუშაოები</t>
  </si>
  <si>
    <t>1.5.2. ბუნებრივი კატასტროფების წინააღმდეგ ინფრასტრუქტურის აშენება/მოწყობა</t>
  </si>
  <si>
    <t>1.5.3 ჰიდრომეტეოროლოგიური პარამეტრების მონიტორინგისთვის სტანდარტული და სპეციალიზებული ქსელის გაფართოება / შექმნა, მათ შორის:</t>
  </si>
  <si>
    <t>1.5.4  გეოლოგიური რისკების მონიტორინგი, გეოლოგიური რისკების რუკების მომზადება, მათ შორის თბილისის გეოლოგიური რისკების რუკის შექმნა, მიწისქვეშა წყლების მონიტორინგის სისტემის გაუმჯობესება;</t>
  </si>
  <si>
    <t>1.5.5 ეკომიგრანტებისთვის გრძელვადიანი საცხოვრისის უზრუნველყოფა.</t>
  </si>
  <si>
    <t>1.6.1 წყალმომარაგებისა და წყალარინების ქსელის მოდერნიზაცია და განვითარება, მათ შორის გამწმენდი ნაგებობების მშენებლობა/რეაბილიტაცია</t>
  </si>
  <si>
    <t xml:space="preserve">1.6.2  მყარი ნარჩენების მართვის სისტემის განვითარება (ძველის დახურვა და არსებულის მოდერნიზაცია) </t>
  </si>
  <si>
    <t>1.8.1.  ბიოლოგიური მრავალფეროვნების დაცვის ღონისძებები</t>
  </si>
  <si>
    <t>1.8.2. საქართველოს დაცული ტერიტორიების სისტემების ჩამოყალიბება და მართვა</t>
  </si>
  <si>
    <t>პრიორიტეტი 2 - მცირე და საშუალო საწარმოების, ეკონომიკის ზრდაზე ორიენტირებული სექტორების და ექსპორტის მხარდაჭერა</t>
  </si>
  <si>
    <r>
      <rPr>
        <b/>
        <sz val="9"/>
        <rFont val="Sylfaen"/>
        <family val="1"/>
      </rPr>
      <t>2.3.4.</t>
    </r>
    <r>
      <rPr>
        <sz val="9"/>
        <rFont val="Sylfaen"/>
        <family val="1"/>
      </rPr>
      <t xml:space="preserve"> მცირე ტურისტული ინფრასტრუქტურის შექმნა</t>
    </r>
  </si>
  <si>
    <t>ღონისძიება: 2.2. ინოვაციების ხელშეწყობა</t>
  </si>
  <si>
    <t>ღონისძიება: 2.3. სტრატეგიული სექტორების მხარდაჭერა: ტურიზმი</t>
  </si>
  <si>
    <t>ღონისძიება: 2.4.  სტრატეგიული სექტორების მხარდაჭერა: სოფლის მეურნეობა</t>
  </si>
  <si>
    <t xml:space="preserve">ღონისძიება: 2.5. ექსპორტის ხელშეწყობა </t>
  </si>
  <si>
    <t xml:space="preserve">ღონისძიება: 2.6. შიდა ინვესტიციების ხელშეწყობა  </t>
  </si>
  <si>
    <t>პრიორიტეტი 3. ადამიანური კაპიტალის განვითარება</t>
  </si>
  <si>
    <t>ღონისძიება: 3.1. ზოგადი განათლების ხარისხის ამაღლება</t>
  </si>
  <si>
    <t>ღონისძიება: 3.2. პროფესიული განათლების სისტემის გაუმჯობესება</t>
  </si>
  <si>
    <t>ღონისძიება: 3.3.  უმაღლესი განათლების სისტემის ხარისხისა და ხელმისაწვდომობის გაზრდა</t>
  </si>
  <si>
    <t>ღონისძიება: 3.4. კვლევითი სექტორის მხარდაჭერა</t>
  </si>
  <si>
    <t xml:space="preserve">ღონისძიება: 3.5. შრომის ბაზრის ხელმისაწვდომობის გაზრდა </t>
  </si>
  <si>
    <t xml:space="preserve">ღონისძიება: 3.6. მოწყვლადი ჯგუფების ინტეგრაციის ხელშეწყობა </t>
  </si>
  <si>
    <t>ღონისძიება: 3.7. სოციალური ინკლუზია</t>
  </si>
  <si>
    <t>პროგრამული ღონისძიების აქტივობა და ქვე-აქტივობა</t>
  </si>
  <si>
    <t>სახელმწიფო ბიუჯეტი</t>
  </si>
  <si>
    <t>დონორის დაფინანსება</t>
  </si>
  <si>
    <t>ტექნიკური დახმარება</t>
  </si>
  <si>
    <t>საკუთარი სახსრები</t>
  </si>
  <si>
    <t>ჯამი</t>
  </si>
  <si>
    <t>1.2.6 თბილისისა და ქუთაისის ლოგისტიკური ცენტრების განვითარება</t>
  </si>
  <si>
    <r>
      <rPr>
        <b/>
        <sz val="9"/>
        <rFont val="Sylfaen"/>
        <family val="1"/>
      </rPr>
      <t>2.3.3.</t>
    </r>
    <r>
      <rPr>
        <sz val="9"/>
        <rFont val="Sylfaen"/>
        <family val="1"/>
      </rPr>
      <t xml:space="preserve"> ტურისტული პროდუქტებისა განვითარება</t>
    </r>
  </si>
  <si>
    <r>
      <rPr>
        <b/>
        <sz val="9"/>
        <rFont val="Sylfaen"/>
        <family val="1"/>
      </rPr>
      <t>2.3.1.</t>
    </r>
    <r>
      <rPr>
        <sz val="9"/>
        <rFont val="Sylfaen"/>
        <family val="1"/>
      </rPr>
      <t xml:space="preserve"> საერთაშორისო ტურისტული გამოფენა-ბაზრობები და პრეს და ინფო ტურები</t>
    </r>
  </si>
  <si>
    <r>
      <rPr>
        <b/>
        <sz val="9"/>
        <rFont val="Sylfaen"/>
        <family val="1"/>
      </rPr>
      <t>2.3.2.</t>
    </r>
    <r>
      <rPr>
        <sz val="9"/>
        <rFont val="Sylfaen"/>
        <family val="1"/>
      </rPr>
      <t xml:space="preserve"> რეკლამა და მარკეტინგული კამპანიები/აქტივობები</t>
    </r>
  </si>
  <si>
    <r>
      <rPr>
        <b/>
        <sz val="9"/>
        <rFont val="Sylfaen"/>
        <family val="1"/>
      </rPr>
      <t>2.3.5</t>
    </r>
    <r>
      <rPr>
        <sz val="9"/>
        <rFont val="Sylfaen"/>
        <family val="1"/>
      </rPr>
      <t xml:space="preserve"> ტურიზმის სფეროში ხარისხის განვითარება</t>
    </r>
  </si>
  <si>
    <t>UNDP</t>
  </si>
  <si>
    <r>
      <rPr>
        <b/>
        <sz val="11"/>
        <color theme="1"/>
        <rFont val="Sylfaen"/>
        <family val="1"/>
      </rPr>
      <t>2.6.1.</t>
    </r>
    <r>
      <rPr>
        <sz val="11"/>
        <color theme="1"/>
        <rFont val="Sylfaen"/>
        <family val="1"/>
      </rPr>
      <t xml:space="preserve"> პროგრამა „აწარმოე საქართველოში“ ინფრასტრუქტურული მხარდაჭერის მიმართულების ფარგლებში დაინტერესებული მეწარმეებისთვის სახელმწიფო საკუთრებაში არსებული უძრავი ქონების სიმბოლურ ფასად, 1 (ერთი) ლარად გადაცემა გარკვეული საინვესტიციო ვალდებულებებით.ლიცენზიების შეთავაზებას, სასტუმროს პროექტების, სასტუმროს მშენებლობისთვის მზა ინფრასტრუქტურის (ელექტროენერგია, წყალი, გაზი) შეთავაზებას გულისხმობს</t>
    </r>
  </si>
  <si>
    <r>
      <rPr>
        <b/>
        <sz val="11"/>
        <color theme="1"/>
        <rFont val="Sylfaen"/>
        <family val="1"/>
      </rPr>
      <t>2.6.2.</t>
    </r>
    <r>
      <rPr>
        <sz val="11"/>
        <color theme="1"/>
        <rFont val="Sylfaen"/>
        <family val="1"/>
      </rPr>
      <t xml:space="preserve"> „აწარმოე საქართველოში“ პროგრამის ფარგლებში ფინანსებზე ხელმისაწვდომობის გაუმჯობესება ბანკის მიერ გაცემული სესხის საპროცენტო განაკვეთის თანადაფინანსების საშუალებით (არაუმეტეს 10%-ით ლარში გაცემულ სესხებზე პირველი 24 თვის განმავლობაში და უზრუნველყოფის თანადაფინანსება სესხის 50%-ის მოცულობით, სესხის გაცემიდან 48 თვის განმავლობაში (არაუმეტეს  2 500 000 ლარისა)).</t>
    </r>
  </si>
  <si>
    <t>32 06 02</t>
  </si>
  <si>
    <t>GIZ</t>
  </si>
  <si>
    <t>ღონისძიებები</t>
  </si>
  <si>
    <t xml:space="preserve">Baseline </t>
  </si>
  <si>
    <t>პრიორიტეტი 1. ძირითადი ინფრასტრუქტურის გაუმჯობესება</t>
  </si>
  <si>
    <t>1.1. . საერთაშორისო და შიდასახელმწიფოებრივი საგზაო ინფრასტრუქტურის გაუმჯობესება</t>
  </si>
  <si>
    <t>აქტივობები</t>
  </si>
  <si>
    <r>
      <t>·</t>
    </r>
    <r>
      <rPr>
        <sz val="7"/>
        <color rgb="FFC00000"/>
        <rFont val="Times New Roman"/>
        <family val="1"/>
      </rPr>
      <t xml:space="preserve">       </t>
    </r>
    <r>
      <rPr>
        <sz val="10"/>
        <color theme="1"/>
        <rFont val="Sylfaen"/>
        <family val="1"/>
      </rPr>
      <t>E60 და E70</t>
    </r>
    <r>
      <rPr>
        <sz val="11"/>
        <color theme="1"/>
        <rFont val="Cambria"/>
        <family val="1"/>
      </rPr>
      <t xml:space="preserve"> </t>
    </r>
    <r>
      <rPr>
        <sz val="10"/>
        <color theme="1"/>
        <rFont val="Sylfaen"/>
        <family val="1"/>
      </rPr>
      <t xml:space="preserve">საერთაშორისო სატრანსპორტო კორიდორების და სხვა ჩქაროსნული მაგისტრალების განვითარება საერთაშორისო მნიშვნელობის საავტომობილო გზების მოდერნიზაციით </t>
    </r>
  </si>
  <si>
    <t>25 02 02</t>
  </si>
  <si>
    <t>საერთაშორისო და შიდასახელმწიფოებრივი მნიშვნელობის საავტომობილო გზების რეაბილიტაცია და მშენებლობა</t>
  </si>
  <si>
    <t>ხიდების მშენებლობა რეაბილიტაცია</t>
  </si>
  <si>
    <t xml:space="preserve">1.2. გზების გარდა სხვა სტრატეგიული ინფრასტრუქტურის განვითარება </t>
  </si>
  <si>
    <t>ტერმინალი თბილისთან ახლოს -ვერ ვნახე ბიუჯეტში ვერსად</t>
  </si>
  <si>
    <r>
      <t>·</t>
    </r>
    <r>
      <rPr>
        <sz val="8"/>
        <color rgb="FFC00000"/>
        <rFont val="Times New Roman"/>
        <family val="1"/>
      </rPr>
      <t xml:space="preserve">         </t>
    </r>
    <r>
      <rPr>
        <sz val="8"/>
        <color theme="1"/>
        <rFont val="Sylfaen"/>
        <family val="1"/>
      </rPr>
      <t>არსებული რკინიგზის მოდერნიზაცია (მათ შორის ინფრასტრუქტურის გაუმჯობესება, სადგურებისა და დეპოების ოპტიმიზაცია, სატვირთო და სამგზავრო მატარებლების ოპტიმიზაცია და ახალი მატარებლების შეძენა);</t>
    </r>
  </si>
  <si>
    <r>
      <t>·</t>
    </r>
    <r>
      <rPr>
        <sz val="8"/>
        <color rgb="FFC00000"/>
        <rFont val="Times New Roman"/>
        <family val="1"/>
      </rPr>
      <t xml:space="preserve">         </t>
    </r>
    <r>
      <rPr>
        <sz val="8"/>
        <color theme="1"/>
        <rFont val="Sylfaen"/>
        <family val="1"/>
      </rPr>
      <t>ანაკლიის პორტთან დამაკავშირებელი საავტომობილო გზისა და რკინიგზის მშენებლობა;</t>
    </r>
  </si>
  <si>
    <r>
      <t>·</t>
    </r>
    <r>
      <rPr>
        <sz val="8"/>
        <color rgb="FFC00000"/>
        <rFont val="Times New Roman"/>
        <family val="1"/>
      </rPr>
      <t xml:space="preserve">         </t>
    </r>
    <r>
      <rPr>
        <sz val="8"/>
        <color theme="1"/>
        <rFont val="Sylfaen"/>
        <family val="1"/>
      </rPr>
      <t>აეროპორტის ინფრასტრუქტურის განვითარება, მათ შორის დამატებითი ინფრასტრუქტურის მოწყობა;</t>
    </r>
  </si>
  <si>
    <t>ADB ? ბათუმის ავტობუსების პროექტი 56 13 04 ?</t>
  </si>
  <si>
    <r>
      <t>·</t>
    </r>
    <r>
      <rPr>
        <sz val="8"/>
        <color rgb="FFC00000"/>
        <rFont val="Times New Roman"/>
        <family val="1"/>
      </rPr>
      <t xml:space="preserve">         </t>
    </r>
    <r>
      <rPr>
        <sz val="8"/>
        <color theme="1"/>
        <rFont val="Sylfaen"/>
        <family val="1"/>
      </rPr>
      <t>ქუთაისის საერთაშორისო აეროპორტის სატრანსპორტო ჰაბის მოწყობა;</t>
    </r>
  </si>
  <si>
    <t>ADB ?</t>
  </si>
  <si>
    <r>
      <t>·</t>
    </r>
    <r>
      <rPr>
        <sz val="8"/>
        <color rgb="FFC00000"/>
        <rFont val="Times New Roman"/>
        <family val="1"/>
      </rPr>
      <t xml:space="preserve">         </t>
    </r>
    <r>
      <rPr>
        <sz val="8"/>
        <color theme="1"/>
        <rFont val="Sylfaen"/>
        <family val="1"/>
      </rPr>
      <t>ბათუმისა და ფოთის პორტების მოდერნიზება და ანაკლიის პორტის მშენებლობა.</t>
    </r>
  </si>
  <si>
    <t xml:space="preserve">1.3. მაღალსიჩქარიანი ინტერნეტ-ინფრასტრუქტურის განვითარება </t>
  </si>
  <si>
    <r>
      <t>·</t>
    </r>
    <r>
      <rPr>
        <sz val="8"/>
        <color rgb="FFC00000"/>
        <rFont val="Times New Roman"/>
        <family val="1"/>
      </rPr>
      <t xml:space="preserve">         </t>
    </r>
    <r>
      <rPr>
        <sz val="8"/>
        <color theme="1"/>
        <rFont val="Sylfaen"/>
        <family val="1"/>
      </rPr>
      <t xml:space="preserve">მაღალსიჩქარიანი ინტერნეტის ხელმისაწვდომობის გაზრდა ცალკეული პირებისა და მცირე და საშუალო ბიზნესებისთვის  რეგიონებში </t>
    </r>
  </si>
  <si>
    <t>1.4. ენერგო ინფრასტრუქტურის გაუმჯობესება და განახლებადი ენერგიის პოტენციალის გაფართოება</t>
  </si>
  <si>
    <r>
      <t>·</t>
    </r>
    <r>
      <rPr>
        <sz val="8"/>
        <color rgb="FFC00000"/>
        <rFont val="Times New Roman"/>
        <family val="1"/>
      </rPr>
      <t xml:space="preserve">         </t>
    </r>
    <r>
      <rPr>
        <sz val="8"/>
        <color theme="1"/>
        <rFont val="Sylfaen"/>
        <family val="1"/>
      </rPr>
      <t>ელექტროენერგიის არსებული ქსელის გაფართოება და რეაბილიტაცია,</t>
    </r>
    <r>
      <rPr>
        <sz val="8"/>
        <color rgb="FFFF0000"/>
        <rFont val="Sylfaen"/>
        <family val="1"/>
      </rPr>
      <t xml:space="preserve"> მოსახლეობის გაზმომარაგება შერჩეულ რეგიონებში, მათ შორის:</t>
    </r>
  </si>
  <si>
    <r>
      <t>o</t>
    </r>
    <r>
      <rPr>
        <sz val="8"/>
        <color rgb="FFC00000"/>
        <rFont val="Times New Roman"/>
        <family val="1"/>
      </rPr>
      <t xml:space="preserve">    </t>
    </r>
    <r>
      <rPr>
        <sz val="8"/>
        <color theme="1"/>
        <rFont val="Sylfaen"/>
        <family val="1"/>
      </rPr>
      <t>გაზის გარეშე არსებული სოფლების გაზიფიცირება;</t>
    </r>
  </si>
  <si>
    <r>
      <t>o</t>
    </r>
    <r>
      <rPr>
        <sz val="8"/>
        <color rgb="FFC00000"/>
        <rFont val="Times New Roman"/>
        <family val="1"/>
      </rPr>
      <t xml:space="preserve">    </t>
    </r>
    <r>
      <rPr>
        <sz val="8"/>
        <color theme="1"/>
        <rFont val="Sylfaen"/>
        <family val="1"/>
      </rPr>
      <t>აჭარასა და გურიაში ელექტროენერგიის გადამცემი ქსელის განახლება-განვითარება;</t>
    </r>
  </si>
  <si>
    <r>
      <t>o</t>
    </r>
    <r>
      <rPr>
        <sz val="8"/>
        <color rgb="FFC00000"/>
        <rFont val="Times New Roman"/>
        <family val="1"/>
      </rPr>
      <t xml:space="preserve">    </t>
    </r>
    <r>
      <rPr>
        <sz val="8"/>
        <color theme="1"/>
        <rFont val="Sylfaen"/>
        <family val="1"/>
      </rPr>
      <t>მცხეთა-მთიანეთის ელექტროსადგურების გაერთიანება ელექტროენერგიის გადამცემთა სისტემაში</t>
    </r>
    <r>
      <rPr>
        <sz val="8"/>
        <color theme="1"/>
        <rFont val="Cambria"/>
        <family val="1"/>
      </rPr>
      <t> </t>
    </r>
  </si>
  <si>
    <r>
      <t>o</t>
    </r>
    <r>
      <rPr>
        <sz val="8"/>
        <color rgb="FFC00000"/>
        <rFont val="Times New Roman"/>
        <family val="1"/>
      </rPr>
      <t xml:space="preserve">    </t>
    </r>
    <r>
      <rPr>
        <sz val="8"/>
        <color theme="1"/>
        <rFont val="Sylfaen"/>
        <family val="1"/>
      </rPr>
      <t>ჯვარი-ხორგას ელექტროგადამცემი ხაზის მშენებლობა;</t>
    </r>
  </si>
  <si>
    <r>
      <t>·</t>
    </r>
    <r>
      <rPr>
        <sz val="8"/>
        <color rgb="FFC00000"/>
        <rFont val="Times New Roman"/>
        <family val="1"/>
      </rPr>
      <t xml:space="preserve">         </t>
    </r>
    <r>
      <rPr>
        <sz val="8"/>
        <color theme="1"/>
        <rFont val="Sylfaen"/>
        <family val="1"/>
      </rPr>
      <t>ყაზბეგის და დუშეთის მუნიციპალიტეტების მოსახლეობის მიერ ბუნებრივი გაზის მოხმარების სუბსიდირება;</t>
    </r>
  </si>
  <si>
    <r>
      <t>·</t>
    </r>
    <r>
      <rPr>
        <sz val="8"/>
        <color rgb="FFC00000"/>
        <rFont val="Times New Roman"/>
        <family val="1"/>
      </rPr>
      <t xml:space="preserve">         </t>
    </r>
    <r>
      <rPr>
        <sz val="8"/>
        <color theme="1"/>
        <rFont val="Sylfaen"/>
        <family val="1"/>
      </rPr>
      <t>ენგურისა და ვარდნილის ჰიდროელექტროსადგურების რეაბილიტაცია (სამეგრელო-ზემო სვანეთის რეგიონი, აფხაზეთი და დასავლეთი საქართველო) და ქვე-სადგურის მშენებლობა ჯვარში;</t>
    </r>
  </si>
  <si>
    <r>
      <t>·</t>
    </r>
    <r>
      <rPr>
        <sz val="8"/>
        <color rgb="FFC00000"/>
        <rFont val="Times New Roman"/>
        <family val="1"/>
      </rPr>
      <t>        </t>
    </r>
    <r>
      <rPr>
        <sz val="8"/>
        <color theme="1"/>
        <rFont val="Sylfaen"/>
        <family val="1"/>
      </rPr>
      <t xml:space="preserve">სამეგრელო-ზემო სვანეთის რეგიონი, აფხაზეთი და დასავლეთი საქართველო, კახეთი;  500 კვ ეგხ წყალტუბო -ახალციხე - ტორტუმი; გურიის გადაცემის ინფრასტრუქტურის გაძლიერება;  ხელედულა-ლაჯანური-ონი; კახეთის ინფრასტრუქტურის გაძლიერება;500 კვ ეგხ ჯვარი-წყალტუბო </t>
    </r>
  </si>
  <si>
    <r>
      <t>·</t>
    </r>
    <r>
      <rPr>
        <sz val="8"/>
        <color rgb="FFC00000"/>
        <rFont val="Times New Roman"/>
        <family val="1"/>
      </rPr>
      <t xml:space="preserve">         </t>
    </r>
    <r>
      <rPr>
        <sz val="8"/>
        <color theme="1"/>
        <rFont val="Sylfaen"/>
        <family val="1"/>
      </rPr>
      <t>კერძო კომპანიების მიერ განახლებადი ენერგიის წყაროებში ინვესტირების ხელშეწყობა.</t>
    </r>
  </si>
  <si>
    <t xml:space="preserve">1.5ინფრასტრუქტურის გაუმჯობესება ბუნებრივი კატასტროფებისგან დაცვის მიზნით </t>
  </si>
  <si>
    <t>25 02 02 07 აქ ერთადაა მდინარის და ზღვის სანაპირო ზოლის გამაგრებითი სამუშაოები</t>
  </si>
  <si>
    <r>
      <t>·</t>
    </r>
    <r>
      <rPr>
        <sz val="8"/>
        <color rgb="FFC00000"/>
        <rFont val="Times New Roman"/>
        <family val="1"/>
      </rPr>
      <t xml:space="preserve">         </t>
    </r>
    <r>
      <rPr>
        <sz val="8"/>
        <color theme="1"/>
        <rFont val="Sylfaen"/>
        <family val="1"/>
      </rPr>
      <t>ზღვის და მდინარეების სანაპირო ზონების ნაპირსამაგრი სამუშაოები;</t>
    </r>
  </si>
  <si>
    <t>25 03 07 13 ივნისის შედეგების რეაბილიტაცია</t>
  </si>
  <si>
    <r>
      <t>·</t>
    </r>
    <r>
      <rPr>
        <sz val="8"/>
        <color rgb="FFC00000"/>
        <rFont val="Times New Roman"/>
        <family val="1"/>
      </rPr>
      <t xml:space="preserve">         </t>
    </r>
    <r>
      <rPr>
        <sz val="8"/>
        <color theme="1"/>
        <rFont val="Sylfaen"/>
        <family val="1"/>
      </rPr>
      <t>ბუნებრივი კატასტროფებისაგან დამცავი ინფრასტრუქტურის აშენება/მოწყობა;</t>
    </r>
  </si>
  <si>
    <t xml:space="preserve">31 07 05 საქართველოს სხვადასხვა რეგიონებში წყალსაცავების, სარწყავი და დამშრობი
სისტემების რეაბილიტაცია; </t>
  </si>
  <si>
    <r>
      <t>·</t>
    </r>
    <r>
      <rPr>
        <sz val="8"/>
        <color rgb="FFC00000"/>
        <rFont val="Times New Roman"/>
        <family val="1"/>
      </rPr>
      <t xml:space="preserve">         </t>
    </r>
    <r>
      <rPr>
        <sz val="8"/>
        <color theme="1"/>
        <rFont val="Sylfaen"/>
        <family val="1"/>
      </rPr>
      <t>ჰიდრომეტეოროლოგიური პარამეტრების მონიტორინგისთვის სტანდარტული და სპეციალიზებული ქსელის გაფართოება / შექმნა, მათ შორის:</t>
    </r>
  </si>
  <si>
    <t xml:space="preserve">31 14  რადარული და აეროლოგიური დაკვირვებების აღდგენა,ჰიდრომეტეოროლოგიურ მონაცემთა ბაზების სრულყოფა;ამინდის და ჰიდროლოგიური პროგნოზების ხარისხის ამაღლება და მოსალოდნელი სტიქიური
ჰიდრომეტეოროლოგიური მოვლენების შესახებ დროული და ეფექტური გაფრთხილებების მომზადება და
გავრცელება; </t>
  </si>
  <si>
    <r>
      <t>o</t>
    </r>
    <r>
      <rPr>
        <sz val="8"/>
        <color rgb="FFC00000"/>
        <rFont val="Times New Roman"/>
        <family val="1"/>
      </rPr>
      <t xml:space="preserve">    </t>
    </r>
    <r>
      <rPr>
        <sz val="8"/>
        <color theme="1"/>
        <rFont val="Sylfaen"/>
        <family val="1"/>
      </rPr>
      <t>ამინდის პირობების მონიტორინგის მიზნით რადარების ქსელის განვითარება;</t>
    </r>
  </si>
  <si>
    <r>
      <t>o</t>
    </r>
    <r>
      <rPr>
        <sz val="8"/>
        <color rgb="FFC00000"/>
        <rFont val="Times New Roman"/>
        <family val="1"/>
      </rPr>
      <t xml:space="preserve">    </t>
    </r>
    <r>
      <rPr>
        <sz val="8"/>
        <color theme="1"/>
        <rFont val="Sylfaen"/>
        <family val="1"/>
      </rPr>
      <t>ეროვნულ და საერთაშორისო დონეზე ჰიდრომეტეოროლოგიური მონიტორინგის მონაცემების შეგროვებისა და გავრცელებისათვის სატელეკომუნიკაციო სისტემის გაუმჯობესება;</t>
    </r>
  </si>
  <si>
    <r>
      <t>o</t>
    </r>
    <r>
      <rPr>
        <sz val="8"/>
        <color rgb="FFC00000"/>
        <rFont val="Times New Roman"/>
        <family val="1"/>
      </rPr>
      <t xml:space="preserve">    </t>
    </r>
    <r>
      <rPr>
        <sz val="8"/>
        <color theme="1"/>
        <rFont val="Sylfaen"/>
        <family val="1"/>
      </rPr>
      <t>მაღალი რეზოლუციის ამინდისა და ჰიდროლოგიური პროგნოზისთვის მოდელის ჩამოყალიბება.</t>
    </r>
  </si>
  <si>
    <t>31 14 შეიცავს აგრეთვე გეოლოგიურ რისკებს და მონიტორინგს</t>
  </si>
  <si>
    <r>
      <t>·</t>
    </r>
    <r>
      <rPr>
        <sz val="8"/>
        <color rgb="FFC00000"/>
        <rFont val="Times New Roman"/>
        <family val="1"/>
      </rPr>
      <t xml:space="preserve">         </t>
    </r>
    <r>
      <rPr>
        <sz val="8"/>
        <color theme="1"/>
        <rFont val="Sylfaen"/>
        <family val="1"/>
      </rPr>
      <t>გეოლოგიური რისკების მონიტორინგი, გეოლოგიური რისკების რუკების მომზადება, მათ შორის თბილისის გეოლოგიური რისკების რუკის შექმნა, მიწისქვეშა წყლების მონიტორინგის სისტემის გაუმჯობესება;</t>
    </r>
  </si>
  <si>
    <r>
      <t>·</t>
    </r>
    <r>
      <rPr>
        <sz val="8"/>
        <color rgb="FFC00000"/>
        <rFont val="Times New Roman"/>
        <family val="1"/>
      </rPr>
      <t xml:space="preserve">         </t>
    </r>
    <r>
      <rPr>
        <sz val="8"/>
        <color theme="1"/>
        <rFont val="Sylfaen"/>
        <family val="1"/>
      </rPr>
      <t>ეკომიგრანტებისთვის გრძელვადიანი საცხოვრისის უზრუნველყოფა.</t>
    </r>
  </si>
  <si>
    <t xml:space="preserve">1.6წყლის, საკანალიზაციო და მყარი ნარჩენების ინფრასტრუქტურის განვითარება </t>
  </si>
  <si>
    <t>25 04 +აჭარის წყალი ?</t>
  </si>
  <si>
    <r>
      <t>·</t>
    </r>
    <r>
      <rPr>
        <sz val="8"/>
        <color rgb="FFC00000"/>
        <rFont val="Times New Roman"/>
        <family val="1"/>
      </rPr>
      <t xml:space="preserve">         </t>
    </r>
    <r>
      <rPr>
        <sz val="8"/>
        <color theme="1"/>
        <rFont val="Sylfaen"/>
        <family val="1"/>
      </rPr>
      <t>წყლისა და საკანალიზაციო ქსელის მოდერნიზაცია და განვითარება, მათ შორის გამწმენდი ნაგებობები;</t>
    </r>
  </si>
  <si>
    <r>
      <t>·</t>
    </r>
    <r>
      <rPr>
        <sz val="8"/>
        <color rgb="FFC00000"/>
        <rFont val="Times New Roman"/>
        <family val="1"/>
      </rPr>
      <t xml:space="preserve">         </t>
    </r>
    <r>
      <rPr>
        <sz val="8"/>
        <color theme="1"/>
        <rFont val="Sylfaen"/>
        <family val="1"/>
      </rPr>
      <t xml:space="preserve">მყარი ნარჩენების მართვის სისტემის განვითარება (ძველის დახურვა და არსებულის მოდერნიზაცია) </t>
    </r>
  </si>
  <si>
    <t>1.7. კულტურული მემკვიდრეობის დაცვა და პოპულარიზაცია</t>
  </si>
  <si>
    <t xml:space="preserve">25 05 (ქუთაისი, ქვემო ქართლი)+ბათუმის ნაგავასაყრელი? +56 13 03 აჭარის მყარი ნარჩენების პროექტი (EBRD) </t>
  </si>
  <si>
    <r>
      <t>·</t>
    </r>
    <r>
      <rPr>
        <sz val="7"/>
        <color rgb="FFC00000"/>
        <rFont val="Times New Roman"/>
        <family val="1"/>
      </rPr>
      <t xml:space="preserve">       </t>
    </r>
    <r>
      <rPr>
        <sz val="10"/>
        <color theme="1"/>
        <rFont val="Sylfaen"/>
        <family val="1"/>
      </rPr>
      <t>კულტურული მემკვიდრეობის დაცვა და სამუზეუმო სისტემის სრულყოფა</t>
    </r>
  </si>
  <si>
    <r>
      <t>·</t>
    </r>
    <r>
      <rPr>
        <sz val="7"/>
        <color rgb="FFC00000"/>
        <rFont val="Times New Roman"/>
        <family val="1"/>
      </rPr>
      <t xml:space="preserve">       </t>
    </r>
    <r>
      <rPr>
        <sz val="10"/>
        <color theme="1"/>
        <rFont val="Sylfaen"/>
        <family val="1"/>
      </rPr>
      <t>კულტურის სფეროს ინფრასტრუქტურის განვითარება და ფინანსური მდგრადობა</t>
    </r>
  </si>
  <si>
    <r>
      <t>·</t>
    </r>
    <r>
      <rPr>
        <sz val="7"/>
        <color rgb="FFC00000"/>
        <rFont val="Times New Roman"/>
        <family val="1"/>
      </rPr>
      <t xml:space="preserve">       </t>
    </r>
    <r>
      <rPr>
        <sz val="10"/>
        <color theme="1"/>
        <rFont val="Sylfaen"/>
        <family val="1"/>
      </rPr>
      <t>კულტურული მემკვიდრეობის ძეგლების ხელმისაწვდომობის გაზრდის მიზნით მიმდებარე ტერიტოროების მცირე ინფრასტრუქტურის განვითარების ხელშეწყობა</t>
    </r>
  </si>
  <si>
    <r>
      <t>·</t>
    </r>
    <r>
      <rPr>
        <sz val="7"/>
        <color rgb="FFC00000"/>
        <rFont val="Times New Roman"/>
        <family val="1"/>
      </rPr>
      <t xml:space="preserve">       </t>
    </r>
    <r>
      <rPr>
        <sz val="10"/>
        <color theme="1"/>
        <rFont val="Sylfaen"/>
        <family val="1"/>
      </rPr>
      <t>კულტურული მემკვიდრეობის დაცვის მიმართულებით მცირე ინვესტიციების (მატერიალური და არა მატერიალური) მხარდაჭერა, რაც ადგილობრივი თვალსაზრისით მნიშვნელოვანია.</t>
    </r>
    <r>
      <rPr>
        <sz val="10"/>
        <color rgb="FFFF0000"/>
        <rFont val="Sylfaen"/>
        <family val="1"/>
      </rPr>
      <t xml:space="preserve"> რეგიონებში კულტურული ღონისძიებების მხარდაჭერა</t>
    </r>
  </si>
  <si>
    <t xml:space="preserve">1.8.ბუნებრივი მემკვიდრეობის დაცვა და პოპულარიზაცია (ეროვნული პარკები, რეზერვუარები, სხვა აქტივობები) </t>
  </si>
  <si>
    <r>
      <t>·</t>
    </r>
    <r>
      <rPr>
        <sz val="7"/>
        <color rgb="FFC00000"/>
        <rFont val="Times New Roman"/>
        <family val="1"/>
      </rPr>
      <t xml:space="preserve">       </t>
    </r>
    <r>
      <rPr>
        <sz val="10"/>
        <color theme="1"/>
        <rFont val="Sylfaen"/>
        <family val="1"/>
      </rPr>
      <t>ბიოლოგიური მრავალფეროვნების დაცვის ღონისძებები</t>
    </r>
  </si>
  <si>
    <t>31  09 
(გარდა 31  09 01, 31  09 04)</t>
  </si>
  <si>
    <r>
      <t>·</t>
    </r>
    <r>
      <rPr>
        <sz val="7"/>
        <color rgb="FFC00000"/>
        <rFont val="Times New Roman"/>
        <family val="1"/>
      </rPr>
      <t xml:space="preserve">       </t>
    </r>
    <r>
      <rPr>
        <sz val="10"/>
        <color theme="1"/>
        <rFont val="Sylfaen"/>
        <family val="1"/>
      </rPr>
      <t>საქართველოს დაცული ტერიტორიების სისტემების ჩამოყალიბება და მართვა</t>
    </r>
  </si>
  <si>
    <r>
      <t>·</t>
    </r>
    <r>
      <rPr>
        <sz val="7"/>
        <color rgb="FFC00000"/>
        <rFont val="Times New Roman"/>
        <family val="1"/>
      </rPr>
      <t xml:space="preserve">       </t>
    </r>
    <r>
      <rPr>
        <sz val="10"/>
        <color theme="1"/>
        <rFont val="Sylfaen"/>
        <family val="1"/>
      </rPr>
      <t>ადგილობრივი შინამეურნეობებისთვის სოციალური და საგანმანათლებლო პროექტების განხორციელება</t>
    </r>
  </si>
  <si>
    <t>საქართველოს დაცული ტერიტორიების  განვითარება.</t>
  </si>
  <si>
    <t>1.9. ინტეგრირებული მუნიციპალური სატრანსპორტო სისტემების განვითარება</t>
  </si>
  <si>
    <r>
      <t>·</t>
    </r>
    <r>
      <rPr>
        <sz val="7"/>
        <color rgb="FFC00000"/>
        <rFont val="Times New Roman"/>
        <family val="1"/>
      </rPr>
      <t xml:space="preserve">       </t>
    </r>
    <r>
      <rPr>
        <sz val="10"/>
        <color theme="1"/>
        <rFont val="Sylfaen"/>
        <family val="1"/>
      </rPr>
      <t>მეტროს სადგურებისა და ვაგონების რეკონსტრუქცია</t>
    </r>
  </si>
  <si>
    <r>
      <t>·</t>
    </r>
    <r>
      <rPr>
        <sz val="7"/>
        <color rgb="FFC00000"/>
        <rFont val="Times New Roman"/>
        <family val="1"/>
      </rPr>
      <t xml:space="preserve">       </t>
    </r>
    <r>
      <rPr>
        <sz val="10"/>
        <color theme="1"/>
        <rFont val="Sylfaen"/>
        <family val="1"/>
      </rPr>
      <t>დაბალ-ემისიანი საზოგადოებრივი ტრანსპორტის (ავტობუსები, საბაგიროების მშენებლობა-რეაბილიტაცია) განვითარება თბილისსა და ბათუმში</t>
    </r>
  </si>
  <si>
    <t>მუნიციპალიტეტებიდან</t>
  </si>
  <si>
    <r>
      <t>·</t>
    </r>
    <r>
      <rPr>
        <sz val="7"/>
        <color rgb="FFC00000"/>
        <rFont val="Times New Roman"/>
        <family val="1"/>
      </rPr>
      <t xml:space="preserve">       </t>
    </r>
    <r>
      <rPr>
        <sz val="10"/>
        <color theme="1"/>
        <rFont val="Sylfaen"/>
        <family val="1"/>
      </rPr>
      <t>ინვესტიციები ინფრასტრუქტურაში, საზოგადოებრივი ტრანსპორტის უკეთესად ორგანიზებისა და გადაადგილების ალტერნატიული საშუალებების გამოყენების უზრუნველყოფა (მულტიმოდალური ჰაბები, პარკირების ადგილები, ველოსიპედის ბილიკები, და ა.შ.)</t>
    </r>
  </si>
  <si>
    <r>
      <t>·</t>
    </r>
    <r>
      <rPr>
        <sz val="7"/>
        <color rgb="FFC00000"/>
        <rFont val="Times New Roman"/>
        <family val="1"/>
      </rPr>
      <t>      </t>
    </r>
    <r>
      <rPr>
        <sz val="10"/>
        <color theme="1"/>
        <rFont val="Sylfaen"/>
        <family val="1"/>
      </rPr>
      <t xml:space="preserve"> გადატვირთული მოძრაობის შემცირების უზრუნველმყოფისაგზაო ინფრასტრუქტურის მშენებლობა-აღდგენა  თბილისსა და სხვა ქალაქებში</t>
    </r>
  </si>
  <si>
    <r>
      <t>·</t>
    </r>
    <r>
      <rPr>
        <sz val="7"/>
        <color rgb="FFC00000"/>
        <rFont val="Times New Roman"/>
        <family val="1"/>
      </rPr>
      <t xml:space="preserve">       </t>
    </r>
    <r>
      <rPr>
        <sz val="10"/>
        <color theme="1"/>
        <rFont val="Sylfaen"/>
        <family val="1"/>
      </rPr>
      <t>შიდა საქალაქო სატრანსპორტო სისტემის ორგანიზება და თბილისის რაიონების დაკავშირების გაუმჯობესება თბილისის ფუნქციური არეალის ინტეგრირებულ სატრანსპორტო სისტემასთან (თბილისის ფუნქციური არეალის ინტეგრირებული სატრანსპორტო სისტემა)</t>
    </r>
  </si>
  <si>
    <r>
      <t>·</t>
    </r>
    <r>
      <rPr>
        <sz val="8"/>
        <color rgb="FFC00000"/>
        <rFont val="Times New Roman"/>
        <family val="1"/>
      </rPr>
      <t xml:space="preserve">         </t>
    </r>
    <r>
      <rPr>
        <sz val="8"/>
        <color theme="1"/>
        <rFont val="Sylfaen"/>
        <family val="1"/>
      </rPr>
      <t>შიდა საქალაქო სატრანსპორტო სისტემის ორგანიზება და თბილისის რაიონების დაკავშირების გაუმჯობესება თბილისის ფუნქციური არეალის ინტეგრირებულ სატრანსპორტო სისტემასთან (თბილისის ფუნქციური არეალის ინტეგრირებული სატრანსპორტო სისტემა);</t>
    </r>
  </si>
  <si>
    <r>
      <t>·</t>
    </r>
    <r>
      <rPr>
        <sz val="7"/>
        <color rgb="FFC00000"/>
        <rFont val="Times New Roman"/>
        <family val="1"/>
      </rPr>
      <t xml:space="preserve">       </t>
    </r>
    <r>
      <rPr>
        <sz val="10"/>
        <color theme="1"/>
        <rFont val="Sylfaen"/>
        <family val="1"/>
      </rPr>
      <t>საქართველოში მდგრადი ურბანული ტრანსპორტის სტრატეგიის და სამუშაო გეგმის შემუშავება და განხორციელება</t>
    </r>
  </si>
  <si>
    <r>
      <t>·</t>
    </r>
    <r>
      <rPr>
        <sz val="7"/>
        <color rgb="FFC00000"/>
        <rFont val="Times New Roman"/>
        <family val="1"/>
      </rPr>
      <t xml:space="preserve">       </t>
    </r>
    <r>
      <rPr>
        <sz val="10"/>
        <color theme="1"/>
        <rFont val="Sylfaen"/>
        <family val="1"/>
      </rPr>
      <t xml:space="preserve">თბილისსა და რეგიონებს შორის სარკინიგზო მიმოსვლის გაუმჯობესება (რკინიგზის სიჩქარის და სიხშირის გაზრდა, თბილისის რკინიგზის შემოვლითი და აღმოსავლეთ საქართველოს რკინიგზის მოდერნიზაციის პროექტების დასრულება) </t>
    </r>
  </si>
  <si>
    <r>
      <t>·</t>
    </r>
    <r>
      <rPr>
        <sz val="7"/>
        <color rgb="FFC00000"/>
        <rFont val="Times New Roman"/>
        <family val="1"/>
      </rPr>
      <t xml:space="preserve">         </t>
    </r>
    <r>
      <rPr>
        <sz val="11"/>
        <color theme="1"/>
        <rFont val="Sylfaen"/>
        <family val="1"/>
      </rPr>
      <t> </t>
    </r>
  </si>
  <si>
    <t>პრიორიტეტი 2 . მცირე და საშუალო ბიზნესის მხარდაჭერა, ეკონომიკის ზრდაზე ორიენტირებული სექტორები და ექსპორტის ხელშეწყობა</t>
  </si>
  <si>
    <r>
      <t>o</t>
    </r>
    <r>
      <rPr>
        <sz val="7"/>
        <color rgb="FFC00000"/>
        <rFont val="Times New Roman"/>
        <family val="1"/>
      </rPr>
      <t xml:space="preserve">   </t>
    </r>
    <r>
      <rPr>
        <sz val="11"/>
        <color theme="1"/>
        <rFont val="Sylfaen"/>
        <family val="1"/>
      </rPr>
      <t xml:space="preserve">შესაბამისი ფინანსური სქემების განვითარება და მუნიციპალიტეტების მხარდაჭერა უზრუნველყოს თანხებზე წვდომა და უსაფრთხოება SUT-ის განვითარებისთვის. </t>
    </r>
  </si>
  <si>
    <t>2.1. . საწარმოების მხარდაჭერა, მცირე და საშუალო ბიზნესის ჩათვლით</t>
  </si>
  <si>
    <r>
      <t>·</t>
    </r>
    <r>
      <rPr>
        <sz val="8"/>
        <color rgb="FFC00000"/>
        <rFont val="Times New Roman"/>
        <family val="1"/>
      </rPr>
      <t xml:space="preserve">         </t>
    </r>
    <r>
      <rPr>
        <sz val="8"/>
        <color theme="1"/>
        <rFont val="Sylfaen"/>
        <family val="1"/>
      </rPr>
      <t>მცირე და საშუალო საწარმოებისათვის დაფინანსების ხელმისაწვდომობის გაზრდა პროცენტის თანადაფინანსებით და საბანკო სესხებისთვის გირაოს უზრუნველყოფით;</t>
    </r>
  </si>
  <si>
    <r>
      <t>·</t>
    </r>
    <r>
      <rPr>
        <sz val="8"/>
        <color rgb="FFC00000"/>
        <rFont val="Times New Roman"/>
        <family val="1"/>
      </rPr>
      <t xml:space="preserve">         </t>
    </r>
    <r>
      <rPr>
        <sz val="8"/>
        <color theme="1"/>
        <rFont val="Sylfaen"/>
        <family val="1"/>
      </rPr>
      <t>მიკრო და მცირე საწარმოებისათვის მცირე გრანტების უზრუნველყოფა საწარმოო და მოწინავე სერვისების განვითარებისათვის საჭირო აღჭურვილობის შესყიდვაზე, ასევე ბიზნეს საქმიანობის გაფართოებისათვის აუცილებელი საკონსულტაციო მომსახურების შესყიდვაზე;</t>
    </r>
  </si>
  <si>
    <r>
      <t>·</t>
    </r>
    <r>
      <rPr>
        <sz val="8"/>
        <color rgb="FFC00000"/>
        <rFont val="Times New Roman"/>
        <family val="1"/>
      </rPr>
      <t xml:space="preserve">         </t>
    </r>
    <r>
      <rPr>
        <sz val="8"/>
        <color theme="1"/>
        <rFont val="Sylfaen"/>
        <family val="1"/>
      </rPr>
      <t>მცირე და საშუალო ბიზნესის ადამიანური რესურსების განვითარება (ტრეინინგ პროგრამები მფლობელთათვის, მენეჯერებისა და მცირე და საშუალო საწარმოების თანამშრომლებითვის);</t>
    </r>
  </si>
  <si>
    <r>
      <t>·</t>
    </r>
    <r>
      <rPr>
        <sz val="8"/>
        <color rgb="FFC00000"/>
        <rFont val="Times New Roman"/>
        <family val="1"/>
      </rPr>
      <t xml:space="preserve">       </t>
    </r>
    <r>
      <rPr>
        <sz val="8"/>
        <color theme="1"/>
        <rFont val="Sylfaen"/>
        <family val="1"/>
      </rPr>
      <t xml:space="preserve">ბიზნესის მხარდაჭერის ინსტიტუციების შექმნის ხელშეწყობა </t>
    </r>
    <r>
      <rPr>
        <sz val="8"/>
        <color rgb="FFFF0000"/>
        <rFont val="Sylfaen"/>
        <family val="1"/>
      </rPr>
      <t>მცირე და საშუალო ბიზნესის განვითარება და ღრმა და ყოვლისმომცველი თავისუფალი სავაჭრო სივრცე (TA EU)</t>
    </r>
  </si>
  <si>
    <t>2.2. ინოვაციების ხელშეწყობა</t>
  </si>
  <si>
    <t>გუმაშვილის მოწოდებული ჩასწორება</t>
  </si>
  <si>
    <r>
      <t>·</t>
    </r>
    <r>
      <rPr>
        <sz val="8"/>
        <color rgb="FFC00000"/>
        <rFont val="Times New Roman"/>
        <family val="1"/>
      </rPr>
      <t xml:space="preserve">         </t>
    </r>
    <r>
      <rPr>
        <sz val="8"/>
        <color theme="1"/>
        <rFont val="Sylfaen"/>
        <family val="1"/>
      </rPr>
      <t xml:space="preserve">ინოვაციური საქმიანობის გაზრდის მიზნით, დამწყები ბიზნესებისა და არსებული საწარმოებისთვის აღჭურვილობის, ტრეინინგისა და საგანმანათლებლო პროგრამების უზრუნველსაყოფად ტექნოლოგიური პარკების (დიდ ქალაქებში) ან/და საინოვაციო ცენტრების შექმნა (საშუალო ზომის ქალაქებში); </t>
    </r>
    <r>
      <rPr>
        <sz val="8"/>
        <color theme="3" tint="-0.249977111117893"/>
        <rFont val="Sylfaen"/>
        <family val="1"/>
      </rPr>
      <t xml:space="preserve"> ინოვაციებისა და ტექნოლოგიების განვითარების ხელშეწყობა არსებულ საწარმოებში და ინოვაციური ეკოსისტემის შექმნა</t>
    </r>
  </si>
  <si>
    <r>
      <t>·</t>
    </r>
    <r>
      <rPr>
        <sz val="8"/>
        <color rgb="FFC00000"/>
        <rFont val="Times New Roman"/>
        <family val="1"/>
      </rPr>
      <t xml:space="preserve">         </t>
    </r>
    <r>
      <rPr>
        <sz val="8"/>
        <color theme="1"/>
        <rFont val="Sylfaen"/>
        <family val="1"/>
      </rPr>
      <t xml:space="preserve">საწარმოებისა და კვლევითი ინსტიტუტების ერთობლივი პროექტების შემუშავება და განხორციელება;  </t>
    </r>
    <r>
      <rPr>
        <sz val="8"/>
        <color rgb="FFFF0000"/>
        <rFont val="Sylfaen"/>
        <family val="1"/>
      </rPr>
      <t>აგრარული მიწოდების ჯაჭვის ხელშეწყობა მცირე და საშუალო მეწარმეობის განვითარებისთვის (TA EIB), საქართველოს მცირე და საშუალო საწარმოების ზრდის ხელშეწყობა</t>
    </r>
  </si>
  <si>
    <t>24 12 (IBRD)</t>
  </si>
  <si>
    <r>
      <t>·</t>
    </r>
    <r>
      <rPr>
        <sz val="8"/>
        <color rgb="FFC00000"/>
        <rFont val="Times New Roman"/>
        <family val="1"/>
      </rPr>
      <t xml:space="preserve">     საინოვაციო საქმიანობის გაზრდის მიზნით, დამწყები ბიზნესებისა და არსებული საწარმოებისთვის აღჭურვილობის, ტრეინინგისა და საგანმანათლებლო პროგრამების უზრუნველსაყოფად ტექნოლოგიური პარკების (დიდ ქალაქებში) ან/და საინოვაციო ცენტრების შექმნა (საშუალო ზომის ქალაქებში)    </t>
    </r>
    <r>
      <rPr>
        <sz val="8"/>
        <color theme="1"/>
        <rFont val="Sylfaen"/>
        <family val="1"/>
      </rPr>
      <t>მცირე და საშუალო საწარმოების ინოვაციური პროექტების განვითარების დაფინანსება.</t>
    </r>
  </si>
  <si>
    <t>2.3. სტრატეგიული სექტორების მხარდაჭერა: ტურიზმი</t>
  </si>
  <si>
    <t>25 03 03, 25 03 04, 25 03 05 (WB მალე დაიწყებს ქვემო ქართლს)</t>
  </si>
  <si>
    <t>შევამოწმო</t>
  </si>
  <si>
    <t>პროექტი Check in Georgia</t>
  </si>
  <si>
    <t>2.4. სტრატეგიული სექტორების მხარდაჭერა: სოფლის მეურნეობა</t>
  </si>
  <si>
    <r>
      <t>·</t>
    </r>
    <r>
      <rPr>
        <sz val="7"/>
        <color rgb="FFC00000"/>
        <rFont val="Times New Roman"/>
        <family val="1"/>
      </rPr>
      <t xml:space="preserve">       </t>
    </r>
    <r>
      <rPr>
        <sz val="10"/>
        <color theme="1"/>
        <rFont val="Sylfaen"/>
        <family val="1"/>
      </rPr>
      <t>სასოფლო-სამეურნეო პროდუქტების მოყვანის ხელშეწყობა, სოფლის მეურნეობის დარგში ახალი საწარმოების შექმნა და არსებულის გაფართოება იაფი და ხელმისაწვდომი ფულადი სახსრებით, ლიზინგით, საპროცენტო სარგებლის თანადაფინასებით, სესხის უზრუნველყოფითა და აგროდაზღვევით</t>
    </r>
    <r>
      <rPr>
        <sz val="10"/>
        <color rgb="FFFF0000"/>
        <rFont val="Sylfaen"/>
        <family val="1"/>
      </rPr>
      <t xml:space="preserve"> სასოფლო-სამეურნეო წარმოების ეფექტიანობის აღდგენა საქართველოში (TA USAID)</t>
    </r>
  </si>
  <si>
    <t>31 06, 31 06 01, 31 0605</t>
  </si>
  <si>
    <r>
      <t>·</t>
    </r>
    <r>
      <rPr>
        <sz val="7"/>
        <color rgb="FFC00000"/>
        <rFont val="Times New Roman"/>
        <family val="1"/>
      </rPr>
      <t xml:space="preserve">       </t>
    </r>
    <r>
      <rPr>
        <sz val="10"/>
        <color theme="1"/>
        <rFont val="Sylfaen"/>
        <family val="1"/>
      </rPr>
      <t xml:space="preserve">სასოფლო-სამეურნეო კოოპერატივების ხელშეწყობა, </t>
    </r>
    <r>
      <rPr>
        <sz val="10"/>
        <color rgb="FFFF0000"/>
        <rFont val="Sylfaen"/>
        <family val="1"/>
      </rPr>
      <t>სასოფლო-სამეურნეო კოოპერატივების შესაძლებლობების განვითარება (TA ADA)</t>
    </r>
  </si>
  <si>
    <t>31  03გარდა 31  03 01, 
31  03 04, 
31  03 03, 
31  03 06)</t>
  </si>
  <si>
    <t xml:space="preserve"> </t>
  </si>
  <si>
    <r>
      <t>·</t>
    </r>
    <r>
      <rPr>
        <sz val="7"/>
        <color rgb="FFC00000"/>
        <rFont val="Times New Roman"/>
        <family val="1"/>
      </rPr>
      <t xml:space="preserve">       </t>
    </r>
    <r>
      <rPr>
        <sz val="10"/>
        <color theme="1"/>
        <rFont val="Sylfaen"/>
        <family val="1"/>
      </rPr>
      <t>სოფლის მეურნეობის სხვა სექტორების  განვითარება/დივერსიფიკაცია.</t>
    </r>
    <r>
      <rPr>
        <sz val="10"/>
        <color rgb="FFFF0000"/>
        <rFont val="Sylfaen"/>
        <family val="1"/>
      </rPr>
      <t xml:space="preserve"> კავკასიის სოფლის მეურნეობის განვითარების ინიციატივა (TA USDA)</t>
    </r>
  </si>
  <si>
    <t xml:space="preserve">31  03 04, </t>
  </si>
  <si>
    <t>2.5. ექსპორტის ხელშეწყობა</t>
  </si>
  <si>
    <r>
      <t>·</t>
    </r>
    <r>
      <rPr>
        <sz val="7"/>
        <color rgb="FFC00000"/>
        <rFont val="Times New Roman"/>
        <family val="1"/>
      </rPr>
      <t xml:space="preserve">       </t>
    </r>
    <r>
      <rPr>
        <sz val="10"/>
        <color theme="1"/>
        <rFont val="Sylfaen"/>
        <family val="1"/>
      </rPr>
      <t>საქართველოს საექსპორტო სტრატეგიის შემუშავება</t>
    </r>
  </si>
  <si>
    <r>
      <t>·</t>
    </r>
    <r>
      <rPr>
        <sz val="7"/>
        <color rgb="FFC00000"/>
        <rFont val="Times New Roman"/>
        <family val="1"/>
      </rPr>
      <t xml:space="preserve">       </t>
    </r>
    <r>
      <rPr>
        <sz val="10"/>
        <color theme="1"/>
        <rFont val="Sylfaen"/>
        <family val="1"/>
      </rPr>
      <t>საერთაშორისო გამოფენებისა და სავაჭრო მისიების ორგანიზება</t>
    </r>
  </si>
  <si>
    <r>
      <t>·</t>
    </r>
    <r>
      <rPr>
        <sz val="7"/>
        <color rgb="FFC00000"/>
        <rFont val="Times New Roman"/>
        <family val="1"/>
      </rPr>
      <t xml:space="preserve">       </t>
    </r>
    <r>
      <rPr>
        <sz val="10"/>
        <color theme="1"/>
        <rFont val="Sylfaen"/>
        <family val="1"/>
      </rPr>
      <t>უცხოელი მყიდველების დაკავშირება ქართველ მწარმოებლებთან</t>
    </r>
  </si>
  <si>
    <r>
      <t>·</t>
    </r>
    <r>
      <rPr>
        <sz val="7"/>
        <color rgb="FFC00000"/>
        <rFont val="Times New Roman"/>
        <family val="1"/>
      </rPr>
      <t xml:space="preserve">       </t>
    </r>
    <r>
      <rPr>
        <sz val="10"/>
        <color theme="1"/>
        <rFont val="Sylfaen"/>
        <family val="1"/>
      </rPr>
      <t>ქართული პროდუქციისა და მომსახურების პოპულარიზაცია საერთაშორისო ბაზრებზე</t>
    </r>
  </si>
  <si>
    <r>
      <t>·</t>
    </r>
    <r>
      <rPr>
        <sz val="7"/>
        <color rgb="FFC00000"/>
        <rFont val="Times New Roman"/>
        <family val="1"/>
      </rPr>
      <t xml:space="preserve">       </t>
    </r>
    <r>
      <rPr>
        <sz val="10"/>
        <color theme="1"/>
        <rFont val="Sylfaen"/>
        <family val="1"/>
      </rPr>
      <t>საზღვარგარეთ ქართული ვაზის და ღვინის პოპულარიზაცა და ექსპორტის ხელშეწყობა</t>
    </r>
  </si>
  <si>
    <r>
      <t>·</t>
    </r>
    <r>
      <rPr>
        <sz val="7"/>
        <color rgb="FFC00000"/>
        <rFont val="Times New Roman"/>
        <family val="1"/>
      </rPr>
      <t xml:space="preserve">       </t>
    </r>
    <r>
      <rPr>
        <sz val="10"/>
        <color theme="1"/>
        <rFont val="Sylfaen"/>
        <family val="1"/>
      </rPr>
      <t>საქართველოში საექსპორტო პროცედურების შესახებ ინფორმაციისა და უცხოურ ბაზრებზე საბაჟო ტარიფების შესახებ ინფორმაციის მიწოდება</t>
    </r>
  </si>
  <si>
    <r>
      <t>·</t>
    </r>
    <r>
      <rPr>
        <sz val="7"/>
        <color rgb="FFC00000"/>
        <rFont val="Times New Roman"/>
        <family val="1"/>
      </rPr>
      <t xml:space="preserve">       </t>
    </r>
    <r>
      <rPr>
        <sz val="10"/>
        <color theme="1"/>
        <rFont val="Sylfaen"/>
        <family val="1"/>
      </rPr>
      <t xml:space="preserve">ექსპორტის მენეჯერების გადამზადება </t>
    </r>
  </si>
  <si>
    <t>2.6.. შიდა ინვესტიციების ხელშეწყობა</t>
  </si>
  <si>
    <r>
      <t>·</t>
    </r>
    <r>
      <rPr>
        <sz val="7"/>
        <color rgb="FFC00000"/>
        <rFont val="Times New Roman"/>
        <family val="1"/>
      </rPr>
      <t xml:space="preserve">       </t>
    </r>
    <r>
      <rPr>
        <sz val="10"/>
        <color theme="1"/>
        <rFont val="Sylfaen"/>
        <family val="1"/>
      </rPr>
      <t>თბილისისა და ბათუმის გარდა საქართველოს ყველა რეგიონში სასტუმროების ინდუსტრიაში ჩართული მეწარმეების მხარდაჭერა (ტექნიკური და ფინანსური დახმარება - ფრენჩაიზი/მენეჯმენტის კონტრაქტების თანადაფინანსება და საერთაშორისო ბრენდის სასტუმროების განვითარება, სესხის საპროცენტო განაკვეთის თანადაფინანსება)</t>
    </r>
  </si>
  <si>
    <r>
      <t>·</t>
    </r>
    <r>
      <rPr>
        <sz val="8"/>
        <color rgb="FFC00000"/>
        <rFont val="Times New Roman"/>
        <family val="1"/>
      </rPr>
      <t xml:space="preserve">         </t>
    </r>
    <r>
      <rPr>
        <sz val="8"/>
        <color theme="1"/>
        <rFont val="Sylfaen"/>
        <family val="1"/>
      </rPr>
      <t>პირდაპირი უცხოური ინვესტიციების ხელშეწყობა (მარკეტინგული საქმიანობა და „აწარმოე საქართველოში - ინვესტიცია" პროგრამის მიერ შეთავაზებული უცხოელი ინვესტორების მხარდაჭერა).</t>
    </r>
  </si>
  <si>
    <t>პრიორიტეტი 3. ადამიანური კაპიტალის გაუმჯობესება</t>
  </si>
  <si>
    <t>3.1. .ზოგადი განათლების ხარისხის გაუმჯობესება</t>
  </si>
  <si>
    <r>
      <t>·</t>
    </r>
    <r>
      <rPr>
        <sz val="7"/>
        <color rgb="FFC00000"/>
        <rFont val="Times New Roman"/>
        <family val="1"/>
      </rPr>
      <t xml:space="preserve">       </t>
    </r>
    <r>
      <rPr>
        <sz val="10"/>
        <color theme="1"/>
        <rFont val="Sylfaen"/>
        <family val="1"/>
      </rPr>
      <t xml:space="preserve">საქართველოს რეგიონების საჯარო სკოლების ინფრასტრუქტურის განვითარება </t>
    </r>
    <r>
      <rPr>
        <sz val="10"/>
        <color rgb="FFFF0000"/>
        <rFont val="Sylfaen"/>
        <family val="1"/>
      </rPr>
      <t>და საგანმანათლებლო მომსახურეობის ხარისხის გაუმჯობესება</t>
    </r>
  </si>
  <si>
    <r>
      <t>·</t>
    </r>
    <r>
      <rPr>
        <sz val="7"/>
        <color rgb="FFC00000"/>
        <rFont val="Times New Roman"/>
        <family val="1"/>
      </rPr>
      <t xml:space="preserve">       </t>
    </r>
    <r>
      <rPr>
        <sz val="10"/>
        <color theme="1"/>
        <rFont val="Sylfaen"/>
        <family val="1"/>
      </rPr>
      <t>თბილისის საჯარო სკოლების რეაბილიტაცია და ენერგოეფექტურობის გაზრდა</t>
    </r>
  </si>
  <si>
    <r>
      <t>·</t>
    </r>
    <r>
      <rPr>
        <sz val="7"/>
        <color rgb="FFC00000"/>
        <rFont val="Times New Roman"/>
        <family val="1"/>
      </rPr>
      <t xml:space="preserve">       </t>
    </r>
    <r>
      <rPr>
        <sz val="10"/>
        <color theme="1"/>
        <rFont val="Sylfaen"/>
        <family val="1"/>
      </rPr>
      <t>მასწავლებელთა პროფესიული განვითარების ხელშეწყობ</t>
    </r>
    <r>
      <rPr>
        <sz val="10"/>
        <rFont val="Sylfaen"/>
        <family val="1"/>
      </rPr>
      <t>ა; სასკოლო აქტივობების ხელშეწყობა</t>
    </r>
  </si>
  <si>
    <r>
      <t>·</t>
    </r>
    <r>
      <rPr>
        <sz val="7"/>
        <color rgb="FFC00000"/>
        <rFont val="Times New Roman"/>
        <family val="1"/>
      </rPr>
      <t xml:space="preserve">       </t>
    </r>
    <r>
      <rPr>
        <sz val="10"/>
        <color theme="1"/>
        <rFont val="Sylfaen"/>
        <family val="1"/>
      </rPr>
      <t>საჯარო სკოლის მოსწავლეების ტრანსპორტით უზრუნველყოფა</t>
    </r>
  </si>
  <si>
    <t>32 02 04, 05; 32 08 03; 04 ;33 03 07
32 02 07</t>
  </si>
  <si>
    <r>
      <t>·</t>
    </r>
    <r>
      <rPr>
        <sz val="7"/>
        <color rgb="FFC00000"/>
        <rFont val="Times New Roman"/>
        <family val="1"/>
      </rPr>
      <t xml:space="preserve">       </t>
    </r>
    <r>
      <rPr>
        <sz val="10"/>
        <color theme="1"/>
        <rFont val="Sylfaen"/>
        <family val="1"/>
      </rPr>
      <t>მოსწავლეთა სწავლის მოტივაციის გაზრდა, მ.შ. წარმატებულ მოსწავლეთა წახალისება და სწავლა და დასვენება ერთად.</t>
    </r>
  </si>
  <si>
    <t>3.2 პროფესიული განათლების სისტემის გაუმჯობესება</t>
  </si>
  <si>
    <r>
      <t>·</t>
    </r>
    <r>
      <rPr>
        <sz val="7"/>
        <color rgb="FFC00000"/>
        <rFont val="Times New Roman"/>
        <family val="1"/>
      </rPr>
      <t xml:space="preserve">       </t>
    </r>
    <r>
      <rPr>
        <sz val="10"/>
        <color theme="1"/>
        <rFont val="Sylfaen"/>
        <family val="1"/>
      </rPr>
      <t>პროფესიული საგანმანათლებლო დაწესებულებების ინფრასტრუქტურის განვითარება</t>
    </r>
  </si>
  <si>
    <t xml:space="preserve">24 10; 32 03 01; </t>
  </si>
  <si>
    <r>
      <t>·</t>
    </r>
    <r>
      <rPr>
        <sz val="7"/>
        <color rgb="FFC00000"/>
        <rFont val="Times New Roman"/>
        <family val="1"/>
      </rPr>
      <t xml:space="preserve">       </t>
    </r>
    <r>
      <rPr>
        <sz val="10"/>
        <color theme="1"/>
        <rFont val="Sylfaen"/>
        <family val="1"/>
      </rPr>
      <t>საზღვაო პროფესიული განათლების ხელშეწყობა პროფესიულ სწავლებაში ჩართული მასწავლებლების პროფესიული განვითარება,</t>
    </r>
    <r>
      <rPr>
        <sz val="10"/>
        <color rgb="FFFF0000"/>
        <rFont val="Sylfaen"/>
        <family val="1"/>
      </rPr>
      <t xml:space="preserve"> პროფესიული განათლების განვითარების ხელშეწყობა, </t>
    </r>
  </si>
  <si>
    <r>
      <t>·</t>
    </r>
    <r>
      <rPr>
        <sz val="7"/>
        <color rgb="FFC00000"/>
        <rFont val="Times New Roman"/>
        <family val="1"/>
      </rPr>
      <t xml:space="preserve">       </t>
    </r>
    <r>
      <rPr>
        <sz val="10"/>
        <color theme="1"/>
        <rFont val="Sylfaen"/>
        <family val="1"/>
      </rPr>
      <t xml:space="preserve">კვალიფიკაციის განვითარება შრომის ბაზრის მოთხოვნების შესაბამისად, </t>
    </r>
    <r>
      <rPr>
        <sz val="10"/>
        <color rgb="FFFF0000"/>
        <rFont val="Sylfaen"/>
        <family val="1"/>
      </rPr>
      <t>კერძო სექტორის განვითარება და პროფესიული განათლება და ტრენინგი სამხრეთ კავკასიაში (TA GIZ)</t>
    </r>
  </si>
  <si>
    <r>
      <t>·</t>
    </r>
    <r>
      <rPr>
        <sz val="7"/>
        <color rgb="FFC00000"/>
        <rFont val="Times New Roman"/>
        <family val="1"/>
      </rPr>
      <t xml:space="preserve">       </t>
    </r>
    <r>
      <rPr>
        <sz val="10"/>
        <color theme="1"/>
        <rFont val="Sylfaen"/>
        <family val="1"/>
      </rPr>
      <t>მოდულური და ორმაგი პროფესიული პროგრამების განხორციელება, რომლებიც მოიცავენ სავალდებულო სამეწარმეო მოდულს</t>
    </r>
  </si>
  <si>
    <r>
      <t>·</t>
    </r>
    <r>
      <rPr>
        <sz val="7"/>
        <color rgb="FFC00000"/>
        <rFont val="Times New Roman"/>
        <family val="1"/>
      </rPr>
      <t xml:space="preserve">       </t>
    </r>
    <r>
      <rPr>
        <sz val="10"/>
        <color theme="1"/>
        <rFont val="Sylfaen"/>
        <family val="1"/>
      </rPr>
      <t>საჯარო სკოლებში შრომის უნარ-ჩვევების განვითარების პროგრამის განხორციელება.</t>
    </r>
  </si>
  <si>
    <t xml:space="preserve">3.3. უმაღლესი განათლების სისტემის ხარისხისა და ხელმისაწვდომობის გაზრდა. </t>
  </si>
  <si>
    <t xml:space="preserve"> 136.2 მლნ ლარი</t>
  </si>
  <si>
    <r>
      <t>·</t>
    </r>
    <r>
      <rPr>
        <sz val="7"/>
        <color rgb="FFC00000"/>
        <rFont val="Times New Roman"/>
        <family val="1"/>
      </rPr>
      <t xml:space="preserve">       </t>
    </r>
    <r>
      <rPr>
        <sz val="10"/>
        <color theme="1"/>
        <rFont val="Sylfaen"/>
        <family val="1"/>
      </rPr>
      <t>გამოცდების ორგანიზება</t>
    </r>
  </si>
  <si>
    <t>32 04 02; 32 01 03; 32 04 04; 33 03</t>
  </si>
  <si>
    <r>
      <t>·</t>
    </r>
    <r>
      <rPr>
        <sz val="7"/>
        <color rgb="FFC00000"/>
        <rFont val="Times New Roman"/>
        <family val="1"/>
      </rPr>
      <t xml:space="preserve">       </t>
    </r>
    <r>
      <rPr>
        <sz val="10"/>
        <color theme="1"/>
        <rFont val="Sylfaen"/>
        <family val="1"/>
      </rPr>
      <t xml:space="preserve">სახელმწიფო სასწავლო, სამაგისტრო გრანტები და ახალგაზრდების წახალისება, </t>
    </r>
    <r>
      <rPr>
        <sz val="10"/>
        <color rgb="FFFF0000"/>
        <rFont val="Sylfaen"/>
        <family val="1"/>
      </rPr>
      <t xml:space="preserve"> </t>
    </r>
    <r>
      <rPr>
        <sz val="10"/>
        <rFont val="Sylfaen"/>
        <family val="1"/>
      </rPr>
      <t>განათლების ხარისხის განვითარება და მართვა</t>
    </r>
  </si>
  <si>
    <r>
      <t>·</t>
    </r>
    <r>
      <rPr>
        <sz val="7"/>
        <color rgb="FFC00000"/>
        <rFont val="Times New Roman"/>
        <family val="1"/>
      </rPr>
      <t xml:space="preserve">       </t>
    </r>
    <r>
      <rPr>
        <sz val="10"/>
        <color theme="1"/>
        <rFont val="Sylfaen"/>
        <family val="1"/>
      </rPr>
      <t>უმაღლესი განათლების ხელშეწყობა.</t>
    </r>
  </si>
  <si>
    <t>3.4. კვლევითი სექტორის მხარდაჭერა</t>
  </si>
  <si>
    <r>
      <t>·</t>
    </r>
    <r>
      <rPr>
        <sz val="7"/>
        <color rgb="FFC00000"/>
        <rFont val="Times New Roman"/>
        <family val="1"/>
      </rPr>
      <t xml:space="preserve">       </t>
    </r>
    <r>
      <rPr>
        <sz val="10"/>
        <color theme="1"/>
        <rFont val="Sylfaen"/>
        <family val="1"/>
      </rPr>
      <t>სამეცნიერო გრანტების გაცემისა და სამეცნიერო კვლევების ხელშეწყობა</t>
    </r>
  </si>
  <si>
    <r>
      <t>·</t>
    </r>
    <r>
      <rPr>
        <sz val="7"/>
        <color rgb="FFC00000"/>
        <rFont val="Times New Roman"/>
        <family val="1"/>
      </rPr>
      <t xml:space="preserve">       </t>
    </r>
    <r>
      <rPr>
        <sz val="10"/>
        <color theme="1"/>
        <rFont val="Sylfaen"/>
        <family val="1"/>
      </rPr>
      <t>სამეცნიერო დაწესებულებების პროგრამები</t>
    </r>
  </si>
  <si>
    <r>
      <t>·</t>
    </r>
    <r>
      <rPr>
        <sz val="7"/>
        <color rgb="FFC00000"/>
        <rFont val="Times New Roman"/>
        <family val="1"/>
      </rPr>
      <t xml:space="preserve">       </t>
    </r>
    <r>
      <rPr>
        <sz val="10"/>
        <color theme="1"/>
        <rFont val="Sylfaen"/>
        <family val="1"/>
      </rPr>
      <t>მეცნიერების პოპულარიზაცია</t>
    </r>
  </si>
  <si>
    <t>·   სამეცნიერო კვლევითი ღონისძიებების ხელშეწყობა</t>
  </si>
  <si>
    <t>32 05 03, 31 04-310401</t>
  </si>
  <si>
    <r>
      <t>·</t>
    </r>
    <r>
      <rPr>
        <sz val="7"/>
        <color rgb="FFC00000"/>
        <rFont val="Times New Roman"/>
        <family val="1"/>
      </rPr>
      <t xml:space="preserve">       </t>
    </r>
    <r>
      <rPr>
        <sz val="10"/>
        <color theme="1"/>
        <rFont val="Sylfaen"/>
        <family val="1"/>
      </rPr>
      <t>სოფლის მეურნეობის დარგში მეცნიერთა ხელშეწყობა.</t>
    </r>
  </si>
  <si>
    <t xml:space="preserve">3.5. შრომის ბაზრის ხელმისაწვდომობის გაზრდა </t>
  </si>
  <si>
    <r>
      <t>·</t>
    </r>
    <r>
      <rPr>
        <sz val="7"/>
        <color rgb="FFC00000"/>
        <rFont val="Times New Roman"/>
        <family val="1"/>
      </rPr>
      <t xml:space="preserve">       </t>
    </r>
    <r>
      <rPr>
        <sz val="10"/>
        <color theme="1"/>
        <rFont val="Sylfaen"/>
        <family val="1"/>
      </rPr>
      <t>შრომის ბაზრის ანალიზიs, ინფორმაციული სისტემების დანერგვა/განვითარება</t>
    </r>
  </si>
  <si>
    <r>
      <t>·</t>
    </r>
    <r>
      <rPr>
        <sz val="7"/>
        <color rgb="FFC00000"/>
        <rFont val="Times New Roman"/>
        <family val="1"/>
      </rPr>
      <t xml:space="preserve">       </t>
    </r>
    <r>
      <rPr>
        <sz val="10"/>
        <color theme="1"/>
        <rFont val="Sylfaen"/>
        <family val="1"/>
      </rPr>
      <t>დასაქმების ხელშწყობის მომსახურებათა განვითარება</t>
    </r>
  </si>
  <si>
    <r>
      <t>·</t>
    </r>
    <r>
      <rPr>
        <sz val="7"/>
        <color rgb="FFC00000"/>
        <rFont val="Times New Roman"/>
        <family val="1"/>
      </rPr>
      <t xml:space="preserve">       </t>
    </r>
    <r>
      <rPr>
        <sz val="10"/>
        <color theme="1"/>
        <rFont val="Sylfaen"/>
        <family val="1"/>
      </rPr>
      <t>სამუშაოს მაძიებელთა პროფესიული მომზადება-გადამზადება და კვალიფიკაციის ამაღლება.</t>
    </r>
  </si>
  <si>
    <t>3.6 სოციალური ჯგუფების ინტეგრაციის ხელშეწყობა   (გენდერი)</t>
  </si>
  <si>
    <r>
      <t>·</t>
    </r>
    <r>
      <rPr>
        <sz val="7"/>
        <color rgb="FFC00000"/>
        <rFont val="Times New Roman"/>
        <family val="1"/>
      </rPr>
      <t xml:space="preserve">      </t>
    </r>
    <r>
      <rPr>
        <sz val="10"/>
        <color theme="1"/>
        <rFont val="Sylfaen"/>
        <family val="1"/>
      </rPr>
      <t>განსახლების ადგილებში დევნილთა დახმარება და მათი საცხოვრებელი პირობების გაუმჯობესება</t>
    </r>
  </si>
  <si>
    <r>
      <t>·</t>
    </r>
    <r>
      <rPr>
        <sz val="7"/>
        <color rgb="FFC00000"/>
        <rFont val="Times New Roman"/>
        <family val="1"/>
      </rPr>
      <t xml:space="preserve">      </t>
    </r>
    <r>
      <rPr>
        <sz val="10"/>
        <color theme="1"/>
        <rFont val="Sylfaen"/>
        <family val="1"/>
      </rPr>
      <t>დევნილთა საარსებო წყაროებით უზრუნველყოფა</t>
    </r>
  </si>
  <si>
    <r>
      <t>·</t>
    </r>
    <r>
      <rPr>
        <sz val="7"/>
        <color rgb="FFC00000"/>
        <rFont val="Times New Roman"/>
        <family val="1"/>
      </rPr>
      <t xml:space="preserve">     </t>
    </r>
    <r>
      <rPr>
        <sz val="10"/>
        <color theme="1"/>
        <rFont val="Sylfaen"/>
        <family val="1"/>
      </rPr>
      <t>ახალგაზრდობის სფეროში სახელმწიფო ხელშეწყობის ღონისძიებები,</t>
    </r>
    <r>
      <rPr>
        <sz val="10"/>
        <color rgb="FFFF0000"/>
        <rFont val="Sylfaen"/>
        <family val="1"/>
      </rPr>
      <t xml:space="preserve"> ახალგაზრდებში სამეწარმეო უნარების განვითარების ხელშეწყობა მათი დასაქმებისა და შემოსავლის ზრდისათვის (TA USAID),GIZ</t>
    </r>
  </si>
  <si>
    <r>
      <t>·</t>
    </r>
    <r>
      <rPr>
        <sz val="7"/>
        <color rgb="FFC00000"/>
        <rFont val="Times New Roman"/>
        <family val="1"/>
      </rPr>
      <t xml:space="preserve">      </t>
    </r>
    <r>
      <rPr>
        <sz val="10"/>
        <color theme="1"/>
        <rFont val="Sylfaen"/>
        <family val="1"/>
      </rPr>
      <t xml:space="preserve">ეროვნული უმცირესობების პროფესიული გადამზადება, </t>
    </r>
    <r>
      <rPr>
        <sz val="10"/>
        <color rgb="FFFF0000"/>
        <rFont val="Sylfaen"/>
        <family val="1"/>
      </rPr>
      <t>იძულებით გადაადგულებული პირებისა და ადგილობრივი მოსახლეობის  ეკონომიკური ჩართულობის ხელშეწყობა სამხრეთ კავკასიაში (TA GIZ).</t>
    </r>
  </si>
  <si>
    <r>
      <t>·</t>
    </r>
    <r>
      <rPr>
        <sz val="7"/>
        <color rgb="FFC00000"/>
        <rFont val="Times New Roman"/>
        <family val="1"/>
      </rPr>
      <t xml:space="preserve">     </t>
    </r>
    <r>
      <rPr>
        <sz val="10"/>
        <color theme="1"/>
        <rFont val="Sylfaen"/>
        <family val="1"/>
      </rPr>
      <t>ეკომიგრანტების საცხოვრებელი სახლებით უზრუნვეყოფა და დაბრუნებული მიგრანეტის სოცილაურ-ეკონომიკური რეინტეგრაცია.</t>
    </r>
  </si>
  <si>
    <t>32 03 03, 32 08,  GIZ</t>
  </si>
  <si>
    <r>
      <t>·</t>
    </r>
    <r>
      <rPr>
        <sz val="7"/>
        <color rgb="FFC00000"/>
        <rFont val="Times New Roman"/>
        <family val="1"/>
      </rPr>
      <t xml:space="preserve">     </t>
    </r>
    <r>
      <rPr>
        <sz val="10"/>
        <color theme="1"/>
        <rFont val="Sylfaen"/>
        <family val="1"/>
      </rPr>
      <t>სოციალურად დაუცველი ჯგუფების (იძულებით გადაადგილებული პირები, დევნილები, ეკომიგრანტები, შეზღუდული შესაძლებლობების მქონე პირები და ა.შ.) დახმარება თვით დასაქმებაში</t>
    </r>
  </si>
  <si>
    <t>3.7 სოციალური ინკლუზია</t>
  </si>
  <si>
    <r>
      <t>·</t>
    </r>
    <r>
      <rPr>
        <sz val="7"/>
        <color rgb="FFC00000"/>
        <rFont val="Times New Roman"/>
        <family val="1"/>
      </rPr>
      <t xml:space="preserve">       </t>
    </r>
    <r>
      <rPr>
        <sz val="10"/>
        <color theme="1"/>
        <rFont val="Sylfaen"/>
        <family val="1"/>
      </rPr>
      <t>მოსახლეობის მიზნობრივი ჯგუფების სოციალური დახმარება</t>
    </r>
  </si>
  <si>
    <r>
      <t>·</t>
    </r>
    <r>
      <rPr>
        <sz val="7"/>
        <color rgb="FFC00000"/>
        <rFont val="Times New Roman"/>
        <family val="1"/>
      </rPr>
      <t xml:space="preserve">       </t>
    </r>
    <r>
      <rPr>
        <sz val="10"/>
        <color theme="1"/>
        <rFont val="Sylfaen"/>
        <family val="1"/>
      </rPr>
      <t>სოციალური რეაბილიტაცია და ბავშვზე ზრუნვა;</t>
    </r>
  </si>
  <si>
    <r>
      <t>·</t>
    </r>
    <r>
      <rPr>
        <sz val="7"/>
        <color rgb="FFC00000"/>
        <rFont val="Times New Roman"/>
        <family val="1"/>
      </rPr>
      <t xml:space="preserve">       </t>
    </r>
    <r>
      <rPr>
        <sz val="10"/>
        <color theme="1"/>
        <rFont val="Sylfaen"/>
        <family val="1"/>
      </rPr>
      <t xml:space="preserve">განსაკუთრებული საგანმანათლებლო საჭიროებების ბავშთა სპეციალური დაწესებულებების ხელშეწყობა </t>
    </r>
  </si>
  <si>
    <t xml:space="preserve">
32 06გარდა 32 06 02</t>
  </si>
  <si>
    <r>
      <t>·</t>
    </r>
    <r>
      <rPr>
        <sz val="7"/>
        <color rgb="FFC00000"/>
        <rFont val="Times New Roman"/>
        <family val="1"/>
      </rPr>
      <t xml:space="preserve">       </t>
    </r>
    <r>
      <rPr>
        <sz val="10"/>
        <color theme="1"/>
        <rFont val="Sylfaen"/>
        <family val="1"/>
      </rPr>
      <t>ინკლუზიური განათლება</t>
    </r>
  </si>
  <si>
    <t>06 02 21შესავსებია</t>
  </si>
  <si>
    <r>
      <t>·</t>
    </r>
    <r>
      <rPr>
        <sz val="7"/>
        <color rgb="FFC00000"/>
        <rFont val="Times New Roman"/>
        <family val="1"/>
      </rPr>
      <t xml:space="preserve">       </t>
    </r>
    <r>
      <rPr>
        <sz val="10"/>
        <color theme="1"/>
        <rFont val="Sylfaen"/>
        <family val="1"/>
      </rPr>
      <t>უსახლკაროთა მხარდაჭერა მუნიციპალიტეტების მიერ</t>
    </r>
  </si>
  <si>
    <r>
      <t>·</t>
    </r>
    <r>
      <rPr>
        <sz val="7"/>
        <color rgb="FFC00000"/>
        <rFont val="Times New Roman"/>
        <family val="1"/>
      </rPr>
      <t xml:space="preserve">       </t>
    </r>
    <r>
      <rPr>
        <sz val="10"/>
        <color theme="1"/>
        <rFont val="Sylfaen"/>
        <family val="1"/>
      </rPr>
      <t>სოციალურად დაუცველი პირებისათვის კომუნალური მომსახურების გადასახადის და საზოგადოებრივი ტრანსპორტის საფასურის თანადაფინანსება (მუნიციპალიტეტის დონეზე), სოციალურად დაუცველი სტუდენტებისთვის უმაღლესი განათლების ხარჯების თანადაფინანსება.</t>
    </r>
  </si>
  <si>
    <t>პრიორიტეტი 4 - ადგილობრივი განვითარების მხარდაჭერა და სპეციფიური ტერიტორიების ხელშეწყობა,  რაც ეფუძნება მათ ენდოგენურ განვითარებს.</t>
  </si>
  <si>
    <t>4.1  რეგიონული განვითარების სტრატეგიის რეალიზაციის ხელშეწყობა: მცირე ზომის ტექნიკური და სოციალური ინფრასტრუქტურის განვითარება</t>
  </si>
  <si>
    <t>1,072 მილიონი ლარი.</t>
  </si>
  <si>
    <t>შესატანია მუნიციპალიტეტებიდან და ქალაქებიდან მიღებული დაჯამებული ინფორმაცია. ქალაქები დაჯამებულია, ველოდებით მუნიციპალიტეტებს</t>
  </si>
  <si>
    <t>25 03 06 ?</t>
  </si>
  <si>
    <r>
      <t>·</t>
    </r>
    <r>
      <rPr>
        <sz val="7"/>
        <color rgb="FFC00000"/>
        <rFont val="Times New Roman"/>
        <family val="1"/>
      </rPr>
      <t xml:space="preserve">       </t>
    </r>
    <r>
      <rPr>
        <sz val="10"/>
        <color theme="1"/>
        <rFont val="Sylfaen"/>
        <family val="1"/>
      </rPr>
      <t xml:space="preserve">სოციალურ-ეკონომიკურ განვითარებაზე მნიშვნელოვანი გავლენის მომხდენი ადგილობრივი ინფრასტრუქტურის განვითარება და რეაბილიტაცია </t>
    </r>
  </si>
  <si>
    <r>
      <t>·</t>
    </r>
    <r>
      <rPr>
        <sz val="7"/>
        <color rgb="FFC00000"/>
        <rFont val="Times New Roman"/>
        <family val="1"/>
      </rPr>
      <t xml:space="preserve">       </t>
    </r>
    <r>
      <rPr>
        <sz val="10"/>
        <color theme="1"/>
        <rFont val="Sylfaen"/>
        <family val="1"/>
      </rPr>
      <t xml:space="preserve">ადგილობრივი ენდოგენური განვითარებისა და ადგილობრივი ტურიზმის ხელშეწყობა, კულტურული და ბუნებრივი მემკვიდრეობის შენარჩუნება და გამოყენება </t>
    </r>
  </si>
  <si>
    <r>
      <t>·</t>
    </r>
    <r>
      <rPr>
        <sz val="7"/>
        <color rgb="FFC00000"/>
        <rFont val="Times New Roman"/>
        <family val="1"/>
      </rPr>
      <t xml:space="preserve">       </t>
    </r>
    <r>
      <rPr>
        <sz val="10"/>
        <color theme="1"/>
        <rFont val="Sylfaen"/>
        <family val="1"/>
      </rPr>
      <t>სკოლამდელი და საბაზისო განათლების, სამედიცინო დაწესებულებების და სხვა სახის საზოგადოებრივი მომსახურეობის ხარისხის გაუმჯობესების უზრუნველყოფა</t>
    </r>
  </si>
  <si>
    <t>მხოლოდ თბილისი  02 05+02 06+03 02</t>
  </si>
  <si>
    <r>
      <t>·</t>
    </r>
    <r>
      <rPr>
        <sz val="7"/>
        <color rgb="FFC00000"/>
        <rFont val="Times New Roman"/>
        <family val="1"/>
      </rPr>
      <t xml:space="preserve">       </t>
    </r>
    <r>
      <rPr>
        <sz val="10"/>
        <color theme="1"/>
        <rFont val="Sylfaen"/>
        <family val="1"/>
      </rPr>
      <t>ადგილობრივი გზების, წყალმომარაგების და წყალარინების სისტემების, მყარი ნარჩენების მართვის ინფრასტრუქტურის, ქუჩის განათების, სპორტული კომპლექსების რეაბილიტაცია და მოვლა-მშენებლობა.</t>
    </r>
  </si>
  <si>
    <r>
      <t>·</t>
    </r>
    <r>
      <rPr>
        <sz val="7"/>
        <color rgb="FFC00000"/>
        <rFont val="Times New Roman"/>
        <family val="1"/>
      </rPr>
      <t xml:space="preserve">       </t>
    </r>
    <r>
      <rPr>
        <sz val="10"/>
        <color theme="1"/>
        <rFont val="Sylfaen"/>
        <family val="1"/>
      </rPr>
      <t xml:space="preserve">შემოქმედებითი ბიზნესის განვითარებისათვის ინფრასტრუქტურის შექმნა (ინკუბატორები, ამაჩქარებლები), </t>
    </r>
    <r>
      <rPr>
        <sz val="10"/>
        <color rgb="FFFF0000"/>
        <rFont val="Sylfaen"/>
        <family val="1"/>
      </rPr>
      <t xml:space="preserve">სოფლის განვითარების ხელშეწყობა საქართველოში(TA ADA) </t>
    </r>
  </si>
  <si>
    <r>
      <t>·</t>
    </r>
    <r>
      <rPr>
        <sz val="7"/>
        <color rgb="FFC00000"/>
        <rFont val="Times New Roman"/>
        <family val="1"/>
      </rPr>
      <t xml:space="preserve">       </t>
    </r>
    <r>
      <rPr>
        <sz val="10"/>
        <color theme="1"/>
        <rFont val="Sylfaen"/>
        <family val="1"/>
      </rPr>
      <t>ადგილობრივი გზების მშენებლობა და რეაბილიტაცია</t>
    </r>
  </si>
  <si>
    <t>ჩავასწორო MDF-ის მიხედვით</t>
  </si>
  <si>
    <r>
      <t>·</t>
    </r>
    <r>
      <rPr>
        <sz val="7"/>
        <color rgb="FFC00000"/>
        <rFont val="Times New Roman"/>
        <family val="1"/>
      </rPr>
      <t xml:space="preserve">       </t>
    </r>
    <r>
      <rPr>
        <sz val="10"/>
        <color theme="1"/>
        <rFont val="Sylfaen"/>
        <family val="1"/>
      </rPr>
      <t>სასოფლო დასახლებებში წყლისა და წყალარინების სისტემების განვითარება</t>
    </r>
  </si>
  <si>
    <r>
      <t>·</t>
    </r>
    <r>
      <rPr>
        <sz val="7"/>
        <color rgb="FFC00000"/>
        <rFont val="Times New Roman"/>
        <family val="1"/>
      </rPr>
      <t xml:space="preserve">       </t>
    </r>
    <r>
      <rPr>
        <sz val="10"/>
        <color theme="1"/>
        <rFont val="Sylfaen"/>
        <family val="1"/>
      </rPr>
      <t>ადგილობრივი ეკონომიკის დივერსიფიკაცია არაფერმერული ბიზნესის შექმნის ხელშეწყობით</t>
    </r>
  </si>
  <si>
    <t>NPARD</t>
  </si>
  <si>
    <r>
      <t>·</t>
    </r>
    <r>
      <rPr>
        <sz val="7"/>
        <color rgb="FFC00000"/>
        <rFont val="Times New Roman"/>
        <family val="1"/>
      </rPr>
      <t xml:space="preserve">       </t>
    </r>
    <r>
      <rPr>
        <sz val="10"/>
        <color theme="1"/>
        <rFont val="Sylfaen"/>
        <family val="1"/>
      </rPr>
      <t>ლოკალური სამოქმედო ჯგუფების განვითარება 8 საპილოტე ტერიტორიაზე</t>
    </r>
  </si>
  <si>
    <t>4.3. მაღალმთიანი რეგიონების განვითარება</t>
  </si>
  <si>
    <t>რეგფონდი, 25 03 10 MDF</t>
  </si>
  <si>
    <r>
      <t>·</t>
    </r>
    <r>
      <rPr>
        <sz val="7"/>
        <color rgb="FFC00000"/>
        <rFont val="Times New Roman"/>
        <family val="1"/>
      </rPr>
      <t xml:space="preserve">       </t>
    </r>
    <r>
      <rPr>
        <sz val="10"/>
        <color theme="1"/>
        <rFont val="Sylfaen"/>
        <family val="1"/>
      </rPr>
      <t>მაღალმთიანი დასახლებების ინფრასტრუქტურის გაუმჯობესება</t>
    </r>
  </si>
  <si>
    <t>31 06 05</t>
  </si>
  <si>
    <r>
      <t>·</t>
    </r>
    <r>
      <rPr>
        <sz val="7"/>
        <color rgb="FFC00000"/>
        <rFont val="Times New Roman"/>
        <family val="1"/>
      </rPr>
      <t xml:space="preserve">       </t>
    </r>
    <r>
      <rPr>
        <sz val="10"/>
        <color theme="1"/>
        <rFont val="Sylfaen"/>
        <family val="1"/>
      </rPr>
      <t>მაღალმთიან დასახლებებში მცირე და საშუალო ბიზნესისა და ფერმერული მეურნეობების განვითარება</t>
    </r>
  </si>
  <si>
    <r>
      <t>·</t>
    </r>
    <r>
      <rPr>
        <sz val="7"/>
        <color rgb="FFC00000"/>
        <rFont val="Times New Roman"/>
        <family val="1"/>
      </rPr>
      <t xml:space="preserve">       </t>
    </r>
    <r>
      <rPr>
        <sz val="10"/>
        <color theme="1"/>
        <rFont val="Sylfaen"/>
        <family val="1"/>
      </rPr>
      <t xml:space="preserve">სოციალური შეღავათები მაღალმთიან დასახლებებში მომუშავე მასწავლებლების, ექიმების და ა.შ., აგრეთვე პენსიონერებისთვის  </t>
    </r>
  </si>
  <si>
    <r>
      <t>·</t>
    </r>
    <r>
      <rPr>
        <sz val="7"/>
        <color rgb="FFC00000"/>
        <rFont val="Times New Roman"/>
        <family val="1"/>
      </rPr>
      <t xml:space="preserve">       </t>
    </r>
    <r>
      <rPr>
        <sz val="10"/>
        <color theme="1"/>
        <rFont val="Sylfaen"/>
        <family val="1"/>
      </rPr>
      <t>ყაზბეგისა და დუშეთის მუნიციპალიტეტების მაღალმთიანი დასახლებების მოსახლეობისათვის მიწოდებული ბუნებრივი აირის ღირებულების ანაზღაურება</t>
    </r>
  </si>
  <si>
    <r>
      <t>·</t>
    </r>
    <r>
      <rPr>
        <sz val="7"/>
        <color rgb="FFC00000"/>
        <rFont val="Times New Roman"/>
        <family val="1"/>
      </rPr>
      <t xml:space="preserve">       </t>
    </r>
    <r>
      <rPr>
        <sz val="10"/>
        <color theme="1"/>
        <rFont val="Sylfaen"/>
        <family val="1"/>
      </rPr>
      <t>გზების, წყლისა და წყალარინების</t>
    </r>
    <r>
      <rPr>
        <sz val="11"/>
        <color theme="1"/>
        <rFont val="Sylfaen"/>
        <family val="1"/>
      </rPr>
      <t xml:space="preserve"> </t>
    </r>
    <r>
      <rPr>
        <sz val="10"/>
        <color theme="1"/>
        <rFont val="Sylfaen"/>
        <family val="1"/>
      </rPr>
      <t>სისტემების განვითარება</t>
    </r>
  </si>
  <si>
    <t>4.4. ანაკლიის პორტის ტერიტორიის განვითარება</t>
  </si>
  <si>
    <t>პორტის მშენებლობა 9 ეტაპად</t>
  </si>
  <si>
    <t>4.5. საზღვრისპირა და მაკრო-რეგიონული თანამშროლობა</t>
  </si>
  <si>
    <t>24 19</t>
  </si>
  <si>
    <r>
      <t>·</t>
    </r>
    <r>
      <rPr>
        <sz val="7"/>
        <color rgb="FFC00000"/>
        <rFont val="Times New Roman"/>
        <family val="1"/>
      </rPr>
      <t xml:space="preserve">       </t>
    </r>
    <r>
      <rPr>
        <sz val="10"/>
        <color theme="1"/>
        <rFont val="Sylfaen"/>
        <family val="1"/>
      </rPr>
      <t>ტრანს-სასაზღვრო რეგიონში ტურისტული და სავაჭრო შესაძლებლობების გაზრდის ხელშეწყობა</t>
    </r>
  </si>
  <si>
    <r>
      <t>·</t>
    </r>
    <r>
      <rPr>
        <sz val="7"/>
        <color rgb="FFC00000"/>
        <rFont val="Times New Roman"/>
        <family val="1"/>
      </rPr>
      <t xml:space="preserve">       </t>
    </r>
    <r>
      <rPr>
        <sz val="10"/>
        <color theme="1"/>
        <rFont val="Sylfaen"/>
        <family val="1"/>
      </rPr>
      <t xml:space="preserve">სამოქალაქო  და კერძო სექტორის თანამშრომლობის ხელშეწყობა საზღვრისპირა რეგიონებში </t>
    </r>
    <r>
      <rPr>
        <sz val="10"/>
        <color rgb="FFFF0000"/>
        <rFont val="Sylfaen"/>
        <family val="1"/>
      </rPr>
      <t xml:space="preserve">საჯარო კერძო პარტნიორობის განვითარება (TA ADB), </t>
    </r>
    <r>
      <rPr>
        <i/>
        <sz val="10"/>
        <color rgb="FFFF0000"/>
        <rFont val="Sylfaen"/>
        <family val="1"/>
      </rPr>
      <t>GIZ</t>
    </r>
  </si>
  <si>
    <t>ალბათ ბლექსი-ს პროგრამა ჯიტაში</t>
  </si>
  <si>
    <r>
      <t>·</t>
    </r>
    <r>
      <rPr>
        <sz val="7"/>
        <color rgb="FFC00000"/>
        <rFont val="Times New Roman"/>
        <family val="1"/>
      </rPr>
      <t xml:space="preserve">       </t>
    </r>
    <r>
      <rPr>
        <sz val="10"/>
        <color theme="1"/>
        <rFont val="Sylfaen"/>
        <family val="1"/>
      </rPr>
      <t>გარემოსდაცვითი პრობლემების შესახებ ცნობიერების ამაღლება და შავი ზღვის აუზის ფარგლებში მდინარისა და საზღვაო ნარჩენების მართვის წარმატებული პრაქტიკის დანერგვა</t>
    </r>
  </si>
  <si>
    <r>
      <t>·</t>
    </r>
    <r>
      <rPr>
        <sz val="7"/>
        <color rgb="FFC00000"/>
        <rFont val="Times New Roman"/>
        <family val="1"/>
      </rPr>
      <t xml:space="preserve">       </t>
    </r>
    <r>
      <rPr>
        <sz val="10"/>
        <color theme="1"/>
        <rFont val="Sylfaen"/>
        <family val="1"/>
      </rPr>
      <t>ერთობლივი გარემოსდაცვითი მონიტორინგის სისტემების გაუმჯობესება</t>
    </r>
  </si>
  <si>
    <t>კავკასიის სოფლის მეურნეობის განვითარების ინიციატივა - FY2018-USAID, GIZ</t>
  </si>
  <si>
    <r>
      <t>·</t>
    </r>
    <r>
      <rPr>
        <sz val="7"/>
        <color rgb="FFC00000"/>
        <rFont val="Times New Roman"/>
        <family val="1"/>
      </rPr>
      <t xml:space="preserve">       </t>
    </r>
    <r>
      <rPr>
        <sz val="10"/>
        <color theme="1"/>
        <rFont val="Sylfaen"/>
        <family val="1"/>
      </rPr>
      <t>სოფლის მეურნეობისა და მასთან დაკავშირებულ სექტორების მოდერნიზაცია</t>
    </r>
  </si>
  <si>
    <t>32 04 02-ში გამყოფი ხაზის განათლების პროგრამა</t>
  </si>
  <si>
    <t>ერთობლივი საზღვრისპირა პროექტები კულტურის სექტორში.</t>
  </si>
  <si>
    <t xml:space="preserve">4.6 საქართველოს ზრდის პოტენციალის გაძლიერება ურბანული ტერიტორიების ფუნქციური ინტეგრაციის ხელშეწყობით </t>
  </si>
  <si>
    <r>
      <t>·</t>
    </r>
    <r>
      <rPr>
        <sz val="7"/>
        <color rgb="FFC00000"/>
        <rFont val="Times New Roman"/>
        <family val="1"/>
      </rPr>
      <t xml:space="preserve">       </t>
    </r>
    <r>
      <rPr>
        <sz val="10"/>
        <color theme="1"/>
        <rFont val="Sylfaen"/>
        <family val="1"/>
      </rPr>
      <t>სტრატეგიული და გენერალური გეგმის შემუშავება თბილისის ფუნქციური ზონისათვის (საჭიროებისამებრ ყველა სხვა ფუნქციური ზონებისათვის)</t>
    </r>
  </si>
  <si>
    <r>
      <t>·</t>
    </r>
    <r>
      <rPr>
        <sz val="7"/>
        <color rgb="FFC00000"/>
        <rFont val="Times New Roman"/>
        <family val="1"/>
      </rPr>
      <t xml:space="preserve">       </t>
    </r>
    <r>
      <rPr>
        <sz val="10"/>
        <color theme="1"/>
        <rFont val="Sylfaen"/>
        <family val="1"/>
      </rPr>
      <t xml:space="preserve">საკანონმდებლო და არასაკანონმდებლო (სახელმძღვანელო, ინსტრუმენტები) წინადადებების მომზადება, რათა მოხდეს ურბანულ ფუნქციურ ზონებში თანამშრომლობის გაძლიერება,  ზემოთ აღნიშნულ სფეროებში. </t>
    </r>
  </si>
  <si>
    <t xml:space="preserve">პრიორიტეტი 5 რეგიონული განვითარების ინსტიტუტების ხარისხისა და ეფექტიანობის ზრდა, პილოტური რეგიონული  განვითარების პროგრამების მომზადება. </t>
  </si>
  <si>
    <t>5.1. რეგიონული განვითარების ინსტიტუტების შესაძლებლობების გაძლიერება ეროვნულ დონეზე</t>
  </si>
  <si>
    <t>activities</t>
  </si>
  <si>
    <r>
      <t>·</t>
    </r>
    <r>
      <rPr>
        <sz val="8"/>
        <color rgb="FFC00000"/>
        <rFont val="Times New Roman"/>
        <family val="1"/>
      </rPr>
      <t xml:space="preserve">         </t>
    </r>
    <r>
      <rPr>
        <b/>
        <sz val="8"/>
        <color theme="1"/>
        <rFont val="Sylfaen"/>
        <family val="1"/>
      </rPr>
      <t>ტექნიკური დახმარება</t>
    </r>
    <r>
      <rPr>
        <sz val="8"/>
        <color theme="1"/>
        <rFont val="Sylfaen"/>
        <family val="1"/>
      </rPr>
      <t xml:space="preserve"> - ექსპერტთა ჩართულობა, თემატური და მეთოდური კვლევების მომზადება რეგიონული განვითარების პროგრამის ეფექტური დაგეგმვისა და განხორციელებისათვის.</t>
    </r>
  </si>
  <si>
    <r>
      <t>·</t>
    </r>
    <r>
      <rPr>
        <sz val="8"/>
        <color rgb="FFC00000"/>
        <rFont val="Times New Roman"/>
        <family val="1"/>
      </rPr>
      <t xml:space="preserve">         </t>
    </r>
    <r>
      <rPr>
        <b/>
        <sz val="8"/>
        <color theme="1"/>
        <rFont val="Sylfaen"/>
        <family val="1"/>
      </rPr>
      <t>ადამიანური შესაძლებლობების განვითარება</t>
    </r>
    <r>
      <rPr>
        <sz val="8"/>
        <color theme="1"/>
        <rFont val="Sylfaen"/>
        <family val="1"/>
      </rPr>
      <t xml:space="preserve"> - მაგ. ტრენინგები, კონსულტაციები,  სასწავლო ტურები და ექსპერტების გაცვლა, როგორც საქართველოს ფარგლებში, ასევე აღმოსავლეთ პარტნიორობის ქვეყნებსა და ევროკავშირს შორის.   </t>
    </r>
  </si>
  <si>
    <r>
      <t>·</t>
    </r>
    <r>
      <rPr>
        <sz val="8"/>
        <color rgb="FFC00000"/>
        <rFont val="Times New Roman"/>
        <family val="1"/>
      </rPr>
      <t xml:space="preserve">         </t>
    </r>
    <r>
      <rPr>
        <b/>
        <sz val="8"/>
        <color theme="1"/>
        <rFont val="Sylfaen"/>
        <family val="1"/>
      </rPr>
      <t>ღონისძიებების ორგანიზება</t>
    </r>
    <r>
      <rPr>
        <sz val="8"/>
        <color theme="1"/>
        <rFont val="Sylfaen"/>
        <family val="1"/>
      </rPr>
      <t xml:space="preserve"> - კონფერენციები, კომიტეტის შეხვედრები, სამუშაო შეხვედრები, შეხვედრები საჯარო ინფორმაციის გაზიარებისათვის, სასწავლო ტურები, საერთაშორისო კონფერენციებში და კონსულტაციებში მონაწილეობა ევროკავშირის და აღმოსავლეთ პარტნიორობის ქვეყნების შესაბამის  კოლეგებთან ერთად.</t>
    </r>
  </si>
  <si>
    <r>
      <t>·</t>
    </r>
    <r>
      <rPr>
        <sz val="8"/>
        <color rgb="FFC00000"/>
        <rFont val="Times New Roman"/>
        <family val="1"/>
      </rPr>
      <t xml:space="preserve">         </t>
    </r>
    <r>
      <rPr>
        <b/>
        <sz val="8"/>
        <color theme="1"/>
        <rFont val="Sylfaen"/>
        <family val="1"/>
      </rPr>
      <t>ცოდნის მართვა</t>
    </r>
    <r>
      <rPr>
        <sz val="8"/>
        <color theme="1"/>
        <rFont val="Sylfaen"/>
        <family val="1"/>
      </rPr>
      <t xml:space="preserve"> - არქივებისა და ვებ-გვერდების შექმნა, ასევე პუბლიკაციების გამოქვეყნება, რომელიც შეიცვას ძირითად სტრატეგიულ, მეთოდურ დოკუმენტაციას, საინფორმაციო მასალებს და სასწავლო კურიკულუმს; ექსპერტთა ქსელის შექმნა, რეგიონული განვითარების შესახებ ეროვნული ცოდნის ბაზის ჩამოყალიბებისა და საქართველოს მასშტაბით რეგიონული დეველოპერების პროფესიული საზოგადოების გაძლიერების მიზნით.</t>
    </r>
  </si>
  <si>
    <r>
      <t>·</t>
    </r>
    <r>
      <rPr>
        <sz val="8"/>
        <color rgb="FFC00000"/>
        <rFont val="Times New Roman"/>
        <family val="1"/>
      </rPr>
      <t xml:space="preserve">         </t>
    </r>
    <r>
      <rPr>
        <sz val="8"/>
        <color theme="1"/>
        <rFont val="Sylfaen"/>
        <family val="1"/>
      </rPr>
      <t>ღონისძიებები პროგრამაში დასაქმებული ადამიანური რესურების შენარჩუნებისათვის.</t>
    </r>
  </si>
  <si>
    <t xml:space="preserve">5.2. ანალიტიკური ბაზის გაძლიერება მტკიცებულებებზე დაფუძნებული რეგიონული პოლიტიკის განხორციელებისათვის.  </t>
  </si>
  <si>
    <r>
      <t>·</t>
    </r>
    <r>
      <rPr>
        <sz val="8"/>
        <color rgb="FFC00000"/>
        <rFont val="Times New Roman"/>
        <family val="1"/>
      </rPr>
      <t xml:space="preserve">         </t>
    </r>
    <r>
      <rPr>
        <sz val="8"/>
        <color theme="1"/>
        <rFont val="Sylfaen"/>
        <family val="1"/>
      </rPr>
      <t>საქსტატისა და სხვა ინსტიტუტების მიერ სტატისტიკური მეთოდოლოგიის შემუშავება, სტატისტიკური მონაცემების შეგროვება და ანალიზი,  რაც აუცილებელია თანამედროვე რეგიონული პოლიტიკის განსახორციელებლად და რეგიონული განვითარების პროგრამის განხორციელების მონიტორინგისათვის;</t>
    </r>
  </si>
  <si>
    <r>
      <t>·</t>
    </r>
    <r>
      <rPr>
        <sz val="8"/>
        <color rgb="FFC00000"/>
        <rFont val="Times New Roman"/>
        <family val="1"/>
      </rPr>
      <t xml:space="preserve">         </t>
    </r>
    <r>
      <rPr>
        <sz val="8"/>
        <color theme="1"/>
        <rFont val="Sylfaen"/>
        <family val="1"/>
      </rPr>
      <t xml:space="preserve">რეგიონულ, სოფლის და სივრცით განვითარებასთან დაკავშირებული კვლევების, ქსელური ღონისძიებების, ტრენინგებისა და პუბლიკაციების დაფინანსება რეგიონული განვითარების პოლიტიკის პროფესიონალებისათვის; ასევე სექტორული პოლიტიკის შემუშავება, რომელიც ხელს უწყობს რეგიონალურ განვითარებას. </t>
    </r>
    <r>
      <rPr>
        <sz val="8"/>
        <color rgb="FFFF0000"/>
        <rFont val="Sylfaen"/>
        <family val="1"/>
      </rPr>
      <t>ადგილობრივი თვითმმართველობის პროგრამა სამხრეთ კავკასიაში (TA GERMANY&lt; GIZ)</t>
    </r>
  </si>
  <si>
    <r>
      <t>·</t>
    </r>
    <r>
      <rPr>
        <sz val="8"/>
        <color rgb="FFC00000"/>
        <rFont val="Times New Roman"/>
        <family val="1"/>
      </rPr>
      <t xml:space="preserve">         </t>
    </r>
    <r>
      <rPr>
        <sz val="8"/>
        <color theme="1"/>
        <rFont val="Sylfaen"/>
        <family val="1"/>
      </rPr>
      <t>რეფორმების ცენტრის და საქსტატის იმ თანამშრომლების აყვანის ხარჯები, რომლებიც  პირდაპირ ხელს უწყობენ რეგიონული განვითარების პროგრამის განხორციელებას,   ადამიანური რესურსების შენარჩუნების ღონისძიებების ჩათვლით</t>
    </r>
  </si>
  <si>
    <t xml:space="preserve">5.3 პარტნიორობისა და თანამშრომლობის ხელშეწყობა </t>
  </si>
  <si>
    <r>
      <t>·</t>
    </r>
    <r>
      <rPr>
        <sz val="8"/>
        <color rgb="FFC00000"/>
        <rFont val="Times New Roman"/>
        <family val="1"/>
      </rPr>
      <t xml:space="preserve">         </t>
    </r>
    <r>
      <rPr>
        <b/>
        <sz val="8"/>
        <color theme="1"/>
        <rFont val="Sylfaen"/>
        <family val="1"/>
      </rPr>
      <t>ტექნიკური დახმარება</t>
    </r>
    <r>
      <rPr>
        <sz val="8"/>
        <color theme="1"/>
        <rFont val="Sylfaen"/>
        <family val="1"/>
      </rPr>
      <t xml:space="preserve"> - ექსპერტების ჩართულობა, თემატური და მეთოდური კვლევების მომზადება რეგიონული პოლიტიკის არასამთავრობო დაინტერესებული მხარეების მუშაობის ხელშეწყობის მიზნით</t>
    </r>
  </si>
  <si>
    <r>
      <t>·</t>
    </r>
    <r>
      <rPr>
        <sz val="8"/>
        <color rgb="FFC00000"/>
        <rFont val="Times New Roman"/>
        <family val="1"/>
      </rPr>
      <t xml:space="preserve">         </t>
    </r>
    <r>
      <rPr>
        <sz val="8"/>
        <color theme="1"/>
        <rFont val="Sylfaen"/>
        <family val="1"/>
      </rPr>
      <t xml:space="preserve">რეგიონულ და მუნიციპალურ დონეზე </t>
    </r>
    <r>
      <rPr>
        <b/>
        <sz val="8"/>
        <color theme="1"/>
        <rFont val="Sylfaen"/>
        <family val="1"/>
      </rPr>
      <t xml:space="preserve">ადმინისტრაციული შესაძლებლობების განვითარება </t>
    </r>
    <r>
      <rPr>
        <sz val="8"/>
        <color theme="1"/>
        <rFont val="Sylfaen"/>
        <family val="1"/>
      </rPr>
      <t>რეგიონული პოლიტიკის კონტექსტში</t>
    </r>
  </si>
  <si>
    <r>
      <t>·</t>
    </r>
    <r>
      <rPr>
        <sz val="8"/>
        <color rgb="FFC00000"/>
        <rFont val="Times New Roman"/>
        <family val="1"/>
      </rPr>
      <t xml:space="preserve">         </t>
    </r>
    <r>
      <rPr>
        <b/>
        <sz val="8"/>
        <color theme="1"/>
        <rFont val="Sylfaen"/>
        <family val="1"/>
      </rPr>
      <t>ტრენინგები, კონსულტაციები, სასწავლო ტურები და ექსპერტების გაცვლა</t>
    </r>
    <r>
      <rPr>
        <sz val="8"/>
        <color theme="1"/>
        <rFont val="Sylfaen"/>
        <family val="1"/>
      </rPr>
      <t xml:space="preserve"> როგორც საქართველოს ფარგლებში, ასევე აღმოსავლეთ პარტნიორობის ქვეყნებსა და ევროკავშირს შორის  </t>
    </r>
  </si>
  <si>
    <r>
      <t>·</t>
    </r>
    <r>
      <rPr>
        <sz val="8"/>
        <color rgb="FFC00000"/>
        <rFont val="Times New Roman"/>
        <family val="1"/>
      </rPr>
      <t xml:space="preserve">         </t>
    </r>
    <r>
      <rPr>
        <sz val="8"/>
        <color theme="1"/>
        <rFont val="Sylfaen"/>
        <family val="1"/>
      </rPr>
      <t xml:space="preserve"> </t>
    </r>
    <r>
      <rPr>
        <b/>
        <sz val="8"/>
        <color theme="1"/>
        <rFont val="Sylfaen"/>
        <family val="1"/>
      </rPr>
      <t>ღონისძიებების ორგანიზება</t>
    </r>
    <r>
      <rPr>
        <sz val="8"/>
        <color theme="1"/>
        <rFont val="Sylfaen"/>
        <family val="1"/>
      </rPr>
      <t xml:space="preserve"> - კონფერენციები, კომიტეტის შეხვედრები, სამუშაო შეხვედრები, შეხვედრები საჯარო ინფორმაცის გაზიარებისათვის, სასწავლო ტურები, საერთაშორისო კონფერენციებში მონაწილეობა და კონსულტაციები ევროკავშირის და აღმოსავლეთ პარტნიორობის ქვეყნების  შესაბამისი სტრუქტურების წარმომადგენლებთან </t>
    </r>
  </si>
  <si>
    <r>
      <t>·</t>
    </r>
    <r>
      <rPr>
        <sz val="8"/>
        <color rgb="FFC00000"/>
        <rFont val="Times New Roman"/>
        <family val="1"/>
      </rPr>
      <t xml:space="preserve">         </t>
    </r>
    <r>
      <rPr>
        <b/>
        <sz val="8"/>
        <color theme="1"/>
        <rFont val="Sylfaen"/>
        <family val="1"/>
      </rPr>
      <t xml:space="preserve">მცირე საოფისე ინფრასტრუქტურა, </t>
    </r>
    <r>
      <rPr>
        <sz val="8"/>
        <color theme="1"/>
        <rFont val="Sylfaen"/>
        <family val="1"/>
      </rPr>
      <t>საოფისე ფართი და სააგენტოები, რომლებიც უშუალოდ ჩართულნი არიან რგპ-ს განხორციელებაში რეგიონულ და ადგილობრივ დონეზე</t>
    </r>
  </si>
  <si>
    <r>
      <t>·</t>
    </r>
    <r>
      <rPr>
        <sz val="8"/>
        <color rgb="FFC00000"/>
        <rFont val="Times New Roman"/>
        <family val="1"/>
      </rPr>
      <t xml:space="preserve">         </t>
    </r>
    <r>
      <rPr>
        <sz val="8"/>
        <color theme="1"/>
        <rFont val="Sylfaen"/>
        <family val="1"/>
      </rPr>
      <t>ღონისძიებები აღნიშნული  უწყებების  ადამიანური რესურსების  შენარჩუნებისათვის.</t>
    </r>
  </si>
  <si>
    <t xml:space="preserve">5.4 რეგიონული პოლიტიკის ინსტრუმენტების შემუშავება: რეგიონული განვითარების პროგრამების მომზადება ორი პილოტური რეგიონისათვის. </t>
  </si>
  <si>
    <r>
      <t>·</t>
    </r>
    <r>
      <rPr>
        <sz val="8"/>
        <color rgb="FFC00000"/>
        <rFont val="Times New Roman"/>
        <family val="1"/>
      </rPr>
      <t xml:space="preserve">         </t>
    </r>
    <r>
      <rPr>
        <sz val="8"/>
        <color theme="1"/>
        <rFont val="Sylfaen"/>
        <family val="1"/>
      </rPr>
      <t>ინტეგრირებული რეგიონული და ადგილობრივი ინვესტიციების მომზადება, რომლებიც შეავსებენ სექტორულ და სხვა ინსტრუმენტებს.  შესაძლებელი ღონისძიებების  ჩამონათვალი:</t>
    </r>
  </si>
  <si>
    <t>o საშუალო ზომის ურბანული ცენტრების განვითარება და სოციალურ-ეკონომიკური რესტრუქტურიზაცია</t>
  </si>
  <si>
    <t>o  რეგიონული მცირე და საშუალო საწარმოების მხარდაჭერა, განსაკუთრებით იმ  საწარმოების მხარდაჭერა, რომლებიც რეგიონის კონკურენტუნარიან სექტორებში ოპერირებენ</t>
  </si>
  <si>
    <t>o  კულტურული და ბუნებრივი მემკვიდრეობის შენარჩუნება და მისი გამოყენება ეკონომიკური მიზნებისათვის.</t>
  </si>
  <si>
    <t>o  იმ მცირე ინფრასტრუქტურის მხარდაჭერა, რომელიც პირდაპირ უკავშირდება ეკონომიკური პოტენციალის განვითარებას (მაგ. ტურიზმის სფეროში)</t>
  </si>
  <si>
    <t xml:space="preserve">o CLLD ტიპის აქტივობების განხორციელება, რაც წაახალისებს ადგილობრივ მონაწილეობას ეკონომიკურ განვითარებაში. </t>
  </si>
  <si>
    <r>
      <t>·</t>
    </r>
    <r>
      <rPr>
        <sz val="8"/>
        <color rgb="FFC00000"/>
        <rFont val="Times New Roman"/>
        <family val="1"/>
      </rPr>
      <t xml:space="preserve"> </t>
    </r>
    <r>
      <rPr>
        <sz val="8"/>
        <color theme="1"/>
        <rFont val="Sylfaen"/>
        <family val="1"/>
      </rPr>
      <t xml:space="preserve">   ორი საპილოტე პროგრამის განხორციელებაში ჩართული რეგიონული და ადგილობრივი ინსტიტუტების შესაძლებლობების გაძლიერება. </t>
    </r>
  </si>
  <si>
    <t>24 13 ნაწილი</t>
  </si>
  <si>
    <r>
      <t>·</t>
    </r>
    <r>
      <rPr>
        <sz val="8"/>
        <color rgb="FFC00000"/>
        <rFont val="Times New Roman"/>
        <family val="1"/>
      </rPr>
      <t xml:space="preserve">         </t>
    </r>
    <r>
      <rPr>
        <sz val="8"/>
        <color theme="1"/>
        <rFont val="Sylfaen"/>
        <family val="1"/>
      </rPr>
      <t>მოსახლეობის ციფრული ცოდნის გაზრდის მიზნით ტრენინგების ჩატარება</t>
    </r>
    <r>
      <rPr>
        <sz val="8"/>
        <color rgb="FFFF0000"/>
        <rFont val="Sylfaen"/>
        <family val="1"/>
      </rPr>
      <t xml:space="preserve">  ბიუჯეტის კანონში კოდია 24 13, WB და ქვია ასე"ფიზიკური პირებისა და მეწარმეების გადამზადება, რომლის
მიზანია მათი კომპიუტერული წიგნიერიბის დონის 
ამაღლება და მათში ინოვაციებზე ორიენტირებული უნარჩვევების
ფორმირება</t>
    </r>
  </si>
  <si>
    <r>
      <t>·</t>
    </r>
    <r>
      <rPr>
        <sz val="8"/>
        <color rgb="FFC00000"/>
        <rFont val="Times New Roman"/>
        <family val="1"/>
      </rPr>
      <t xml:space="preserve">         </t>
    </r>
    <r>
      <rPr>
        <sz val="8"/>
        <color theme="1"/>
        <rFont val="Sylfaen"/>
        <family val="1"/>
      </rPr>
      <t>მაღალსიჩქარიან ინტერნეტზე ხელმისაწვდომლობის გაზრდის მიზნით, ცალკეული პირებისა და მცირე და საშუალო ბიზნესებისთვის რეგიონებში ინტერნეტის მონტაჟის სუბსიდირება და კომპიუტერული ტექნიკის შესყიდვის თანადაფინანსება.</t>
    </r>
    <r>
      <rPr>
        <sz val="8"/>
        <color rgb="FFFF0000"/>
        <rFont val="Sylfaen"/>
        <family val="1"/>
      </rPr>
      <t xml:space="preserve">  24  13 ის ნაწილია ასეთი სახელით :რეგიონებში მცხოვრები სოც.დაუცველი მოსახლეობის და ,ეწარმეების დახმარება ფართოზოლოვან ინტერნეტში მათი ჩართვის მიზნით</t>
    </r>
  </si>
  <si>
    <t>აქ ერთი აქტივობის ხაზი აკლია: 1.2.6 თბილისისა და ქუთაისის ლოგისტიკური ცენტრების განვითარება, ბიუჯეტი მხოლოდ 2018-167,900ლარი</t>
  </si>
  <si>
    <t>24 13 მოწოდებული ჩასწორება იყო 4.5მლნ ყოველ წელს, მაგრამ აქ ისეა, როგორც ბიუჯეტში</t>
  </si>
  <si>
    <t>1.4.1.1 გაზის გარეშე არსებული სოფლების გაზიფიცირება</t>
  </si>
  <si>
    <t>მე როგორც გავიგე ეს ღონისძიება GITA ს უნდა ქონდეს, ან სულ ამოვიღოთ</t>
  </si>
  <si>
    <r>
      <t>·</t>
    </r>
    <r>
      <rPr>
        <sz val="8"/>
        <rFont val="Times New Roman"/>
        <family val="1"/>
      </rPr>
      <t>       კინოინდუსტრიის განვითარების ხელშეწყობა</t>
    </r>
    <r>
      <rPr>
        <sz val="8"/>
        <rFont val="Sylfaen"/>
        <family val="1"/>
      </rPr>
      <t>;</t>
    </r>
  </si>
  <si>
    <r>
      <t>·</t>
    </r>
    <r>
      <rPr>
        <sz val="7"/>
        <color rgb="FFFF0000"/>
        <rFont val="Times New Roman"/>
        <family val="1"/>
      </rPr>
      <t xml:space="preserve">       </t>
    </r>
    <r>
      <rPr>
        <sz val="10"/>
        <color rgb="FFFF0000"/>
        <rFont val="Sylfaen"/>
        <family val="1"/>
      </rPr>
      <t>სასტუმრო ინდუსტრიის განვითარების ხელშეწყობა რეგიონებში</t>
    </r>
  </si>
  <si>
    <r>
      <t>·</t>
    </r>
    <r>
      <rPr>
        <sz val="7"/>
        <color rgb="FFC00000"/>
        <rFont val="Times New Roman"/>
        <family val="1"/>
      </rPr>
      <t xml:space="preserve">       </t>
    </r>
    <r>
      <rPr>
        <sz val="10"/>
        <color theme="1"/>
        <rFont val="Sylfaen"/>
        <family val="1"/>
      </rPr>
      <t>მეღვინეობის განვითარება და ექსპორტი</t>
    </r>
  </si>
  <si>
    <t>ამოსაღებია</t>
  </si>
  <si>
    <t>4.2. სოფლის  ტიპის დასახლებების განვითარება</t>
  </si>
  <si>
    <t>1.2.5. ქუთაისის საერთაშორისო აეროპორტის ტურისტულ სატრანსპორტო ჰაბად ჩამოყალიბება</t>
  </si>
  <si>
    <t>1.2.4. აეროპორტის ინფრასტრუქტურის განვითარება, მათ შორის დამატებითი ინფრასტრუქტურის მოწყობა</t>
  </si>
  <si>
    <t>1.2.3. ანაკლიის ღრმაწყლოვან პორტთან დამაკავშირებელი საავტომობილო გზისა და რკინიგზის მშენებლობა</t>
  </si>
  <si>
    <t>1.2.2. ანაკლიის ღრმაწყლოვანი პორტის მშენებლობა</t>
  </si>
  <si>
    <t>1.8.5 საქართველოს დაცული ტერიტორიების  განვითარება.</t>
  </si>
  <si>
    <t>1.8.3 ალგეთის, ყაზბეგის, კინტრიშის და ფშავ-ხევსურეთის დაცული ტერიტორიების დამხმარე ზონების განვითარება (მიმდებარედ მცხოვრები მოსახლეობის სოციალურ-ეკონომიკური მდგომარეობის გაუმჯობესება) (KFW)</t>
  </si>
  <si>
    <t>1.8.4 ცნობიერების ამაღლებასთან და ეკო-განათლებასთან დაკავშირებული ღონისძიებები ალგეთის, ყაზბეგისა, კინტრიშისა და ფშავ-ხევსურეთის დაცულ ტერიტორიებზე (KFW)</t>
  </si>
  <si>
    <t>2018-2021 სახელმწიფო ბიუჯეტი</t>
  </si>
  <si>
    <t>ადგილობრივი ბიუჯეტი</t>
  </si>
  <si>
    <r>
      <rPr>
        <b/>
        <sz val="8"/>
        <rFont val="Sylfaen"/>
        <family val="1"/>
      </rPr>
      <t>1.1.1</t>
    </r>
    <r>
      <rPr>
        <sz val="8"/>
        <rFont val="Sylfaen"/>
        <family val="1"/>
      </rPr>
      <t xml:space="preserve"> E60 და E70 საერთაშორისო სატრანსპორტო კორიდორების და სხვა ჩქაროსნული ავტომაგისტრალების განვითარება საერთაშორისო მნიშვნელობის საავტომობილო გზების მოდერნიზაციით </t>
    </r>
  </si>
  <si>
    <r>
      <rPr>
        <b/>
        <sz val="8"/>
        <rFont val="Sylfaen"/>
        <family val="1"/>
      </rPr>
      <t>1.1.2</t>
    </r>
    <r>
      <rPr>
        <sz val="8"/>
        <rFont val="Sylfaen"/>
        <family val="1"/>
      </rPr>
      <t xml:space="preserve"> არსებული შიდასახელმწიფოებრივი მნიშვნელობის საავტომობილო გზების ქსელების რეაბილიტაცია </t>
    </r>
  </si>
  <si>
    <r>
      <rPr>
        <b/>
        <sz val="8"/>
        <rFont val="Sylfaen"/>
        <family val="1"/>
      </rPr>
      <t>1.1.3</t>
    </r>
    <r>
      <rPr>
        <sz val="8"/>
        <rFont val="Sylfaen"/>
        <family val="1"/>
      </rPr>
      <t xml:space="preserve"> ხიდების მშენებლობა რეაბილიტაცია</t>
    </r>
  </si>
  <si>
    <r>
      <rPr>
        <b/>
        <sz val="8"/>
        <rFont val="Sylfaen"/>
        <family val="1"/>
      </rPr>
      <t>1.4.1</t>
    </r>
    <r>
      <rPr>
        <sz val="8"/>
        <rFont val="Sylfaen"/>
        <family val="1"/>
      </rPr>
      <t xml:space="preserve">. ელექტროენერგიის არსებული ქსელის გაფართოება და რეაბილიტაცია, მოსახლეობის გაზმომარაგება შერჩეულ რეგიონებში, მათ შორის:
</t>
    </r>
  </si>
  <si>
    <r>
      <rPr>
        <b/>
        <sz val="8"/>
        <color theme="1"/>
        <rFont val="Sylfaen"/>
        <family val="1"/>
      </rPr>
      <t>1.4.2</t>
    </r>
    <r>
      <rPr>
        <sz val="8"/>
        <color theme="1"/>
        <rFont val="Sylfaen"/>
        <family val="1"/>
      </rPr>
      <t xml:space="preserve"> ყაზბეგის და დუშეთის მუნიციპალიტეტების მოსახლეობის მიერ ბუნებრივი გაზის მოხმარების სუბსიდირება</t>
    </r>
  </si>
  <si>
    <r>
      <rPr>
        <b/>
        <sz val="8"/>
        <rFont val="Sylfaen"/>
        <family val="1"/>
      </rPr>
      <t>1.4.3</t>
    </r>
    <r>
      <rPr>
        <sz val="8"/>
        <rFont val="Sylfaen"/>
        <family val="1"/>
      </rPr>
      <t xml:space="preserve"> ენგურისა და ვარდნილის ჰიდროელექტროსადგურების რეაბილიტაცია (სამეგრელო-ზემო სვანეთისა და  აფხაზეთის რეგიონები და დასავლეთი საქართველო) და ქვე-სადგურის მშენებლობა ჯვარში</t>
    </r>
  </si>
  <si>
    <r>
      <rPr>
        <b/>
        <sz val="8"/>
        <color theme="1"/>
        <rFont val="Sylfaen"/>
        <family val="1"/>
      </rPr>
      <t>1.4.5.</t>
    </r>
    <r>
      <rPr>
        <sz val="8"/>
        <color theme="1"/>
        <rFont val="Sylfaen"/>
        <family val="1"/>
      </rPr>
      <t xml:space="preserve"> კერძო კომპანიების მიერ განახლებადი ენერგიის წყაროებში ინვესტირების ხელშეწყობა</t>
    </r>
  </si>
  <si>
    <r>
      <rPr>
        <b/>
        <sz val="8"/>
        <rFont val="Sylfaen"/>
        <family val="1"/>
      </rPr>
      <t>1.7.1</t>
    </r>
    <r>
      <rPr>
        <sz val="8"/>
        <rFont val="Sylfaen"/>
        <family val="1"/>
      </rPr>
      <t>. კულტურული მემკვიდრეობის დაცვა და სამუზეუმო სისტემის გაუმჯობესება</t>
    </r>
  </si>
  <si>
    <r>
      <rPr>
        <b/>
        <sz val="8"/>
        <rFont val="Sylfaen"/>
        <family val="1"/>
      </rPr>
      <t>1.7.2</t>
    </r>
    <r>
      <rPr>
        <sz val="8"/>
        <rFont val="Sylfaen"/>
        <family val="1"/>
      </rPr>
      <t>. კულტურის სფეროს ინფრასტრუქტურის განვითარება და ფინანსური მდგრადობა</t>
    </r>
  </si>
  <si>
    <r>
      <rPr>
        <b/>
        <sz val="8"/>
        <rFont val="Sylfaen"/>
        <family val="1"/>
      </rPr>
      <t>1.7.4.</t>
    </r>
    <r>
      <rPr>
        <sz val="8"/>
        <rFont val="Sylfaen"/>
        <family val="1"/>
      </rPr>
      <t xml:space="preserve"> კულტურული მემკვიდრეობის ძეგლების გარშემო მცირე ინფრასრუქტურის განვითარების მხარდაჭერა</t>
    </r>
  </si>
  <si>
    <r>
      <rPr>
        <b/>
        <sz val="8"/>
        <rFont val="Sylfaen"/>
        <family val="1"/>
      </rPr>
      <t>1.7.5.</t>
    </r>
    <r>
      <rPr>
        <sz val="8"/>
        <rFont val="Sylfaen"/>
        <family val="1"/>
      </rPr>
      <t xml:space="preserve"> რეგიონებში კულტურის მხარდაჭერის ღონისძიებები - კულტურული მემკვიდრეობის  (მატერიალური და არა მატერიალური) დაცვის მიმართულებით მცირე ინვესტიციების მხარდაჭერა</t>
    </r>
  </si>
  <si>
    <r>
      <rPr>
        <b/>
        <sz val="8"/>
        <rFont val="Sylfaen"/>
        <family val="1"/>
      </rPr>
      <t>1.9.1.</t>
    </r>
    <r>
      <rPr>
        <sz val="8"/>
        <rFont val="Sylfaen"/>
        <family val="1"/>
      </rPr>
      <t xml:space="preserve"> მეტროს სადგურებისა და ვაგონების რეკონსტრუქცია</t>
    </r>
  </si>
  <si>
    <r>
      <rPr>
        <b/>
        <sz val="8"/>
        <rFont val="Sylfaen"/>
        <family val="1"/>
      </rPr>
      <t>1.9.2.</t>
    </r>
    <r>
      <rPr>
        <sz val="8"/>
        <rFont val="Sylfaen"/>
        <family val="1"/>
      </rPr>
      <t xml:space="preserve"> დაბალ ემისიანი საზოგადოებრივი ტრანსპორტის (ავტობუსები, საბაგიროების მშენებლობა/რეაბილიტაცია) განვითარება თბილისსა და ბათუმში</t>
    </r>
  </si>
  <si>
    <r>
      <rPr>
        <b/>
        <sz val="8"/>
        <rFont val="Sylfaen"/>
        <family val="1"/>
      </rPr>
      <t>1.9.3.</t>
    </r>
    <r>
      <rPr>
        <sz val="8"/>
        <rFont val="Sylfaen"/>
        <family val="1"/>
      </rPr>
      <t xml:space="preserve"> ინვესტიციები ინფრასტრუქტურაში, საზოგადოებრივი ტრანსპორტის უკეთესად ორგანიზებისა და გადაადგილების ალტერნატიული საშუალებების გამოყენების უზრუნველყოფა (მულტიმოდალური ჰაბები, პარკირების ადგილები, ველოსიპედის ბილიკები, და ა.შ.)</t>
    </r>
  </si>
  <si>
    <r>
      <rPr>
        <b/>
        <sz val="8"/>
        <rFont val="Sylfaen"/>
        <family val="1"/>
      </rPr>
      <t>1.9.4.</t>
    </r>
    <r>
      <rPr>
        <sz val="8"/>
        <rFont val="Sylfaen"/>
        <family val="1"/>
      </rPr>
      <t xml:space="preserve"> საგზაო ქსელის გადატვირთული მოძრაობის შემცირების უზრუნველმყოფი ინფრასტრუქტურის მშენებლობა-აღდგენა, თბილისსა და სხვა ქალაქებში</t>
    </r>
  </si>
  <si>
    <r>
      <rPr>
        <b/>
        <sz val="8"/>
        <rFont val="Sylfaen"/>
        <family val="1"/>
      </rPr>
      <t>1.9.5.</t>
    </r>
    <r>
      <rPr>
        <sz val="8"/>
        <rFont val="Sylfaen"/>
        <family val="1"/>
      </rPr>
      <t xml:space="preserve"> შიდა საქალაქო სატრანსპორტო სისტემის ორგანიზება და თბილისის რაიონების დაკავშირების გაუმჯობესება თბილისის ფუნქციური არეალის ინტეგრირებულ სატრანსპორტო სისტემასთან (თბილისის ფუნქციური არეალის ინტეგრირებული სატრანსპორტო სისტემა)</t>
    </r>
  </si>
  <si>
    <r>
      <rPr>
        <b/>
        <sz val="8"/>
        <rFont val="Sylfaen"/>
        <family val="1"/>
      </rPr>
      <t>2.3.1.</t>
    </r>
    <r>
      <rPr>
        <sz val="8"/>
        <rFont val="Sylfaen"/>
        <family val="1"/>
      </rPr>
      <t xml:space="preserve"> საერთაშორისო ტურისტული გამოფენა-ბაზრობები და პრეს და ინფო ტურები</t>
    </r>
  </si>
  <si>
    <r>
      <rPr>
        <b/>
        <sz val="8"/>
        <rFont val="Sylfaen"/>
        <family val="1"/>
      </rPr>
      <t>2.3.2.</t>
    </r>
    <r>
      <rPr>
        <sz val="8"/>
        <rFont val="Sylfaen"/>
        <family val="1"/>
      </rPr>
      <t xml:space="preserve"> რეკლამა და მარკეტინგული კამპანიები/აქტივობები</t>
    </r>
  </si>
  <si>
    <r>
      <rPr>
        <b/>
        <sz val="8"/>
        <rFont val="Sylfaen"/>
        <family val="1"/>
      </rPr>
      <t>2.3.3.</t>
    </r>
    <r>
      <rPr>
        <sz val="8"/>
        <rFont val="Sylfaen"/>
        <family val="1"/>
      </rPr>
      <t xml:space="preserve"> ტურისტული პროდუქტებისა განვითარება</t>
    </r>
  </si>
  <si>
    <r>
      <rPr>
        <b/>
        <sz val="8"/>
        <rFont val="Sylfaen"/>
        <family val="1"/>
      </rPr>
      <t>2.3.4.</t>
    </r>
    <r>
      <rPr>
        <sz val="8"/>
        <rFont val="Sylfaen"/>
        <family val="1"/>
      </rPr>
      <t xml:space="preserve"> მცირე ტურისტული ინფრასტრუქტურის შექმნა</t>
    </r>
  </si>
  <si>
    <r>
      <rPr>
        <b/>
        <sz val="8"/>
        <rFont val="Sylfaen"/>
        <family val="1"/>
      </rPr>
      <t>2.3.5</t>
    </r>
    <r>
      <rPr>
        <sz val="8"/>
        <rFont val="Sylfaen"/>
        <family val="1"/>
      </rPr>
      <t xml:space="preserve"> ტურიზმის სფეროში ხარისხის განვითარება</t>
    </r>
  </si>
  <si>
    <r>
      <rPr>
        <b/>
        <sz val="8"/>
        <rFont val="Sylfaen"/>
        <family val="1"/>
      </rPr>
      <t>2.4.1.</t>
    </r>
    <r>
      <rPr>
        <sz val="8"/>
        <rFont val="Sylfaen"/>
        <family val="1"/>
      </rPr>
      <t xml:space="preserve"> სასოფლო-სამეურნეო პროდუქტების მოყვანის ხელშეწყობა, სოფლის მეურნეობის დარგში ახალი საწარმოების შექმნა და არსებულის გაფართოება იაფი და ხელმისაწვდომი ფულადი სახსრებით, ლიზინგით, საპროცენტო სარგებლის თანადაფინასებით, სესხის უზრუნველყოფითა და აგროდაზღვევით;  </t>
    </r>
    <r>
      <rPr>
        <sz val="8"/>
        <color rgb="FFFF0000"/>
        <rFont val="Sylfaen"/>
        <family val="1"/>
      </rPr>
      <t>სასოფლო-სამეურნეო წარმოების ეფექტიანობის აღდგენა საქართველოში (TA USAID)</t>
    </r>
  </si>
  <si>
    <r>
      <rPr>
        <b/>
        <sz val="8"/>
        <rFont val="Sylfaen"/>
        <family val="1"/>
      </rPr>
      <t>2.4.2.</t>
    </r>
    <r>
      <rPr>
        <sz val="8"/>
        <rFont val="Sylfaen"/>
        <family val="1"/>
      </rPr>
      <t xml:space="preserve"> სასოფლო-სამეურნეო კოოპერატივების ხელშეწყობა,  </t>
    </r>
    <r>
      <rPr>
        <sz val="8"/>
        <color rgb="FFFF0000"/>
        <rFont val="Sylfaen"/>
        <family val="1"/>
      </rPr>
      <t>სასოფლო-სამეურნეო კოოპერატივების შესაძლებლობების განვითარება (TA ADA)</t>
    </r>
  </si>
  <si>
    <r>
      <rPr>
        <b/>
        <sz val="8"/>
        <rFont val="Sylfaen"/>
        <family val="1"/>
      </rPr>
      <t>2.4.3.</t>
    </r>
    <r>
      <rPr>
        <sz val="8"/>
        <rFont val="Sylfaen"/>
        <family val="1"/>
      </rPr>
      <t xml:space="preserve"> მეღვინეობის განვითარება </t>
    </r>
    <r>
      <rPr>
        <sz val="8"/>
        <color rgb="FFFF0000"/>
        <rFont val="Sylfaen"/>
        <family val="1"/>
      </rPr>
      <t xml:space="preserve"> და ექსპორტი</t>
    </r>
  </si>
  <si>
    <r>
      <rPr>
        <b/>
        <sz val="8"/>
        <rFont val="Sylfaen"/>
        <family val="1"/>
      </rPr>
      <t>2.4.4.</t>
    </r>
    <r>
      <rPr>
        <sz val="8"/>
        <rFont val="Sylfaen"/>
        <family val="1"/>
      </rPr>
      <t xml:space="preserve"> სოფლის მეურნეობის სხვა სექტორების  განვითარება/დივერსიფიკაცია. </t>
    </r>
    <r>
      <rPr>
        <sz val="8"/>
        <color rgb="FFFF0000"/>
        <rFont val="Sylfaen"/>
        <family val="1"/>
      </rPr>
      <t>კავკასიის სოფლის მეურნეობის განვითარების ინიციატივა (TA USAID)</t>
    </r>
  </si>
  <si>
    <r>
      <rPr>
        <b/>
        <sz val="8"/>
        <rFont val="Sylfaen"/>
        <family val="1"/>
      </rPr>
      <t>2.5.1.</t>
    </r>
    <r>
      <rPr>
        <sz val="8"/>
        <rFont val="Sylfaen"/>
        <family val="1"/>
      </rPr>
      <t xml:space="preserve"> საქართველოს საექსპორტო სტრატეგიის შემუშავება</t>
    </r>
  </si>
  <si>
    <r>
      <rPr>
        <b/>
        <sz val="8"/>
        <rFont val="Sylfaen"/>
        <family val="1"/>
      </rPr>
      <t>2.5.2.</t>
    </r>
    <r>
      <rPr>
        <sz val="8"/>
        <rFont val="Sylfaen"/>
        <family val="1"/>
      </rPr>
      <t xml:space="preserve"> საერთაშორისო გამოფენებისა და სავაჭრო მისიების ორგანიზება</t>
    </r>
  </si>
  <si>
    <r>
      <rPr>
        <b/>
        <sz val="8"/>
        <rFont val="Sylfaen"/>
        <family val="1"/>
      </rPr>
      <t>2.5.3.</t>
    </r>
    <r>
      <rPr>
        <sz val="8"/>
        <rFont val="Sylfaen"/>
        <family val="1"/>
      </rPr>
      <t xml:space="preserve"> უცხოელი მყიდველების დაკავშირება ქართველ მწარმოებლებთან</t>
    </r>
  </si>
  <si>
    <r>
      <rPr>
        <b/>
        <sz val="8"/>
        <rFont val="Sylfaen"/>
        <family val="1"/>
      </rPr>
      <t>2.5.4.</t>
    </r>
    <r>
      <rPr>
        <sz val="8"/>
        <rFont val="Sylfaen"/>
        <family val="1"/>
      </rPr>
      <t xml:space="preserve"> ქართული პროდუქციისა და მომსახურების პოპულარიზაცია საერთაშორისო ბაზრებზე</t>
    </r>
  </si>
  <si>
    <r>
      <rPr>
        <b/>
        <sz val="8"/>
        <color theme="1"/>
        <rFont val="Sylfaen"/>
        <family val="1"/>
      </rPr>
      <t>2.6.1.</t>
    </r>
    <r>
      <rPr>
        <sz val="8"/>
        <color theme="1"/>
        <rFont val="Sylfaen"/>
        <family val="1"/>
      </rPr>
      <t xml:space="preserve"> პროგრამა „აწარმოე საქართველოში“ ინფრასტრუქტურული მხარდაჭერის მიმართულების ფარგლებში დაინტერესებული მეწარმეებისთვის სახელმწიფო საკუთრებაში არსებული უძრავი ქონების სიმბოლურ ფასად, 1 (ერთი) ლარად გადაცემა გარკვეული საინვესტიციო ვალდებულებებით.ლიცენზიების შეთავაზებას, სასტუმროს პროექტების, სასტუმროს მშენებლობისთვის მზა ინფრასტრუქტურის (ელექტროენერგია, წყალი, გაზი) შეთავაზებას გულისხმობს</t>
    </r>
  </si>
  <si>
    <r>
      <rPr>
        <b/>
        <sz val="8"/>
        <color theme="1"/>
        <rFont val="Sylfaen"/>
        <family val="1"/>
      </rPr>
      <t>2.6.2.</t>
    </r>
    <r>
      <rPr>
        <sz val="8"/>
        <color theme="1"/>
        <rFont val="Sylfaen"/>
        <family val="1"/>
      </rPr>
      <t xml:space="preserve"> „აწარმოე საქართველოში“ პროგრამის ფარგლებში ფინანსებზე ხელმისაწვდომობის გაუმჯობესება ბანკის მიერ გაცემული სესხის საპროცენტო განაკვეთის თანადაფინანსების საშუალებით (არაუმეტეს 10%-ით ლარში გაცემულ სესხებზე პირველი 24 თვის განმავლობაში და უზრუნველყოფის თანადაფინანსება სესხის 50%-ის მოცულობით, სესხის გაცემიდან 48 თვის განმავლობაში (არაუმეტეს  2 500 000 ლარისა)).</t>
    </r>
  </si>
  <si>
    <r>
      <rPr>
        <b/>
        <sz val="8"/>
        <color theme="1"/>
        <rFont val="Sylfaen"/>
        <family val="1"/>
      </rPr>
      <t>2.6.3.</t>
    </r>
    <r>
      <rPr>
        <sz val="8"/>
        <color theme="1"/>
        <rFont val="Sylfaen"/>
        <family val="1"/>
      </rPr>
      <t xml:space="preserve"> თბილისისა და ბათუმის გარდა საქართველოს ყველა რეგიონში სასტუმროების ინდუსტრიაში ჩართული მეწარმეების მხარდაჭერა (ტექნიკური და ფინანსური დახმარება - ფრენჩაიზი/მენეჯმენტის კონტრაქტების თანადაფინანსება და საერთაშორისო ბრენდის სასტუმროების განვითარება, სესხის საპროცენტო განაკვეთის თანადაფინანსება)</t>
    </r>
  </si>
  <si>
    <r>
      <rPr>
        <b/>
        <sz val="8"/>
        <color theme="1"/>
        <rFont val="Sylfaen"/>
        <family val="1"/>
      </rPr>
      <t>2.6.4.</t>
    </r>
    <r>
      <rPr>
        <sz val="8"/>
        <color theme="1"/>
        <rFont val="Sylfaen"/>
        <family val="1"/>
      </rPr>
      <t xml:space="preserve"> პირდაპირი უცხოური ინვესტიციების ხელშეწყობა და პოტენციური უცხოელი ინვესტორების მხარდაჭერა სსიპ „აწარმოე საქართველოში“</t>
    </r>
  </si>
  <si>
    <r>
      <rPr>
        <b/>
        <sz val="8"/>
        <rFont val="Sylfaen"/>
        <family val="1"/>
      </rPr>
      <t>3.1.1.</t>
    </r>
    <r>
      <rPr>
        <sz val="8"/>
        <rFont val="Sylfaen"/>
        <family val="1"/>
      </rPr>
      <t xml:space="preserve"> რეგიონებში საჯარო სკოლების ინფრასტრუქტურის განვითარება და მათ შორის ადაპტირებული ფიზიკური გარემოს უზრუნველყოფა და საგანმანათლებლო მომსახურეობის ხარისხის გაუმჯობესება</t>
    </r>
  </si>
  <si>
    <r>
      <rPr>
        <b/>
        <sz val="8"/>
        <rFont val="Sylfaen"/>
        <family val="1"/>
      </rPr>
      <t>3.1.2.</t>
    </r>
    <r>
      <rPr>
        <sz val="8"/>
        <rFont val="Sylfaen"/>
        <family val="1"/>
      </rPr>
      <t xml:space="preserve"> თბილისის საჯარო სკოლების რეაბილიტაცია და ენერგოეფექტურობის გაზრდა</t>
    </r>
  </si>
  <si>
    <r>
      <rPr>
        <b/>
        <sz val="8"/>
        <rFont val="Sylfaen"/>
        <family val="1"/>
      </rPr>
      <t>3.1.3.</t>
    </r>
    <r>
      <rPr>
        <sz val="8"/>
        <rFont val="Sylfaen"/>
        <family val="1"/>
      </rPr>
      <t xml:space="preserve"> მასწავლებელთა პროფესიული განვითარების ხელშეწყობა; სასკოლო აქტივობების ხელშეწყობა</t>
    </r>
  </si>
  <si>
    <r>
      <rPr>
        <b/>
        <sz val="8"/>
        <rFont val="Sylfaen"/>
        <family val="1"/>
      </rPr>
      <t xml:space="preserve">3.1.4. </t>
    </r>
    <r>
      <rPr>
        <sz val="8"/>
        <rFont val="Sylfaen"/>
        <family val="1"/>
      </rPr>
      <t>საჯარო სკოლის მოსწავლეების ტრანსპორტით უზრუნველყოფა</t>
    </r>
  </si>
  <si>
    <r>
      <rPr>
        <b/>
        <sz val="8"/>
        <rFont val="Sylfaen"/>
        <family val="1"/>
      </rPr>
      <t>3.1.5.</t>
    </r>
    <r>
      <rPr>
        <sz val="8"/>
        <rFont val="Sylfaen"/>
        <family val="1"/>
      </rPr>
      <t xml:space="preserve"> მოსწავლეთა სწავლის მოტივაციის გაზრდა, მ.შ. წარმატებულ მოსწავლეთა წახალისება და სწავლა და დასვენება ერთად.</t>
    </r>
  </si>
  <si>
    <r>
      <rPr>
        <b/>
        <sz val="8"/>
        <rFont val="Sylfaen"/>
        <family val="1"/>
      </rPr>
      <t xml:space="preserve">3.2.1 </t>
    </r>
    <r>
      <rPr>
        <sz val="8"/>
        <rFont val="Sylfaen"/>
        <family val="1"/>
      </rPr>
      <t>არსებული პროფესიული საგანმანათლებლო დაწესებულებების ინფრასტრუქტურის განვითარება ან/და ახალი პროფესიული საგანმანათლებლო დაწესებულებების დაფუძნება</t>
    </r>
  </si>
  <si>
    <r>
      <rPr>
        <b/>
        <sz val="8"/>
        <rFont val="Sylfaen"/>
        <family val="1"/>
      </rPr>
      <t>3.2.2</t>
    </r>
    <r>
      <rPr>
        <sz val="8"/>
        <rFont val="Sylfaen"/>
        <family val="1"/>
      </rPr>
      <t xml:space="preserve">  პროფესიული განათლების განვითარების ხელშეწყობა; პროფესიული განათლების მაწავლებელთა პროფესიული განვითარება, </t>
    </r>
  </si>
  <si>
    <r>
      <rPr>
        <b/>
        <sz val="8"/>
        <rFont val="Sylfaen"/>
        <family val="1"/>
      </rPr>
      <t>3.2.3.</t>
    </r>
    <r>
      <rPr>
        <sz val="8"/>
        <rFont val="Sylfaen"/>
        <family val="1"/>
      </rPr>
      <t xml:space="preserve"> კერძო სექტორის განვითარება და პროფესიული განათლება და ტრენინგი სამხრეთ კავკასიაში (TA GIZ) - კვალიფიკაციის განვითარება შრომის ბაზრის მოთხოვნების შესაბამისად,  </t>
    </r>
  </si>
  <si>
    <r>
      <rPr>
        <b/>
        <sz val="8"/>
        <rFont val="Sylfaen"/>
        <family val="1"/>
      </rPr>
      <t>3.2.4.</t>
    </r>
    <r>
      <rPr>
        <sz val="8"/>
        <rFont val="Sylfaen"/>
        <family val="1"/>
      </rPr>
      <t xml:space="preserve"> მოდულური და ორმაგი პროფესიული პროგრამების განხორციელება, რომლებიც მოიცავენ სავალდებულო სამეწარმეო მოდულს</t>
    </r>
  </si>
  <si>
    <r>
      <rPr>
        <b/>
        <sz val="8"/>
        <rFont val="Sylfaen"/>
        <family val="1"/>
      </rPr>
      <t>3.2.5.</t>
    </r>
    <r>
      <rPr>
        <sz val="8"/>
        <rFont val="Sylfaen"/>
        <family val="1"/>
      </rPr>
      <t xml:space="preserve"> საჯარო სკოლებში შრომის უნარ-ჩვევების განვითარების პროგრამის განხორციელება</t>
    </r>
  </si>
  <si>
    <r>
      <rPr>
        <b/>
        <sz val="8"/>
        <rFont val="Sylfaen"/>
        <family val="1"/>
      </rPr>
      <t xml:space="preserve">3.3.1. </t>
    </r>
    <r>
      <rPr>
        <sz val="8"/>
        <rFont val="Sylfaen"/>
        <family val="1"/>
      </rPr>
      <t>სახელმწიფო სასწავლო, სამაგისტრო გრანტები და ახალგაზრდების წახალისება; უმაღლესი განათლების ხარისხის განვითარება და მართვა</t>
    </r>
  </si>
  <si>
    <r>
      <rPr>
        <b/>
        <sz val="8"/>
        <rFont val="Sylfaen"/>
        <family val="1"/>
      </rPr>
      <t>3.3.2.</t>
    </r>
    <r>
      <rPr>
        <sz val="8"/>
        <rFont val="Sylfaen"/>
        <family val="1"/>
      </rPr>
      <t xml:space="preserve"> უმაღლესი განათლების ხელშეწყობა.</t>
    </r>
  </si>
  <si>
    <r>
      <rPr>
        <b/>
        <sz val="8"/>
        <color theme="1"/>
        <rFont val="Sylfaen"/>
        <family val="1"/>
      </rPr>
      <t>3.4.1.</t>
    </r>
    <r>
      <rPr>
        <sz val="8"/>
        <color theme="1"/>
        <rFont val="Sylfaen"/>
        <family val="1"/>
      </rPr>
      <t xml:space="preserve"> სამეცნიერო გრანტების გაცემისა და სამეცნიერო კვლევების ხელშეწყობა</t>
    </r>
  </si>
  <si>
    <r>
      <rPr>
        <b/>
        <sz val="8"/>
        <rFont val="Sylfaen"/>
        <family val="1"/>
      </rPr>
      <t>3.4.2.</t>
    </r>
    <r>
      <rPr>
        <sz val="8"/>
        <rFont val="Sylfaen"/>
        <family val="1"/>
      </rPr>
      <t xml:space="preserve"> სამეცნიერო დაწესებულებების პროგრამების შემუშავება</t>
    </r>
  </si>
  <si>
    <r>
      <rPr>
        <b/>
        <sz val="8"/>
        <rFont val="Sylfaen"/>
        <family val="1"/>
      </rPr>
      <t>3.4.3.</t>
    </r>
    <r>
      <rPr>
        <sz val="8"/>
        <rFont val="Sylfaen"/>
        <family val="1"/>
      </rPr>
      <t xml:space="preserve"> მეცნიერების პოპულარიზაცია</t>
    </r>
  </si>
  <si>
    <r>
      <rPr>
        <b/>
        <sz val="8"/>
        <rFont val="Sylfaen"/>
        <family val="1"/>
      </rPr>
      <t>3.4.4.</t>
    </r>
    <r>
      <rPr>
        <sz val="8"/>
        <rFont val="Sylfaen"/>
        <family val="1"/>
      </rPr>
      <t xml:space="preserve"> სამეცნიერო კვლევების ხელშეწყობა</t>
    </r>
  </si>
  <si>
    <r>
      <rPr>
        <b/>
        <sz val="8"/>
        <rFont val="Sylfaen"/>
        <family val="1"/>
      </rPr>
      <t>3.4.5.</t>
    </r>
    <r>
      <rPr>
        <sz val="8"/>
        <rFont val="Sylfaen"/>
        <family val="1"/>
      </rPr>
      <t xml:space="preserve"> სოფლის მეურნეობის დარგში მეცნიერთა ხელშეწყობა.</t>
    </r>
  </si>
  <si>
    <r>
      <rPr>
        <b/>
        <sz val="8"/>
        <rFont val="Sylfaen"/>
        <family val="1"/>
      </rPr>
      <t xml:space="preserve">3.5.1. </t>
    </r>
    <r>
      <rPr>
        <sz val="8"/>
        <rFont val="Sylfaen"/>
        <family val="1"/>
      </rPr>
      <t>შრომის ბაზრის ანალიზის, ინფორმაციული სისტემების დანერგვა/განვითარება</t>
    </r>
  </si>
  <si>
    <r>
      <rPr>
        <b/>
        <sz val="8"/>
        <rFont val="Sylfaen"/>
        <family val="1"/>
      </rPr>
      <t xml:space="preserve">3.5.2. </t>
    </r>
    <r>
      <rPr>
        <sz val="8"/>
        <rFont val="Sylfaen"/>
        <family val="1"/>
      </rPr>
      <t>დასაქმების ხელშწყობის მომსახურებათა განვითარება</t>
    </r>
  </si>
  <si>
    <r>
      <rPr>
        <b/>
        <sz val="8"/>
        <rFont val="Sylfaen"/>
        <family val="1"/>
      </rPr>
      <t xml:space="preserve">3.5.3. </t>
    </r>
    <r>
      <rPr>
        <sz val="8"/>
        <rFont val="Sylfaen"/>
        <family val="1"/>
      </rPr>
      <t>სამუშაოს მაძიებელთა პროფესიული მომზადება-გადამზადება და კვალიფიკაციის ამაღლება.</t>
    </r>
  </si>
  <si>
    <r>
      <rPr>
        <b/>
        <sz val="8"/>
        <rFont val="Sylfaen"/>
        <family val="1"/>
      </rPr>
      <t>3.6.1.</t>
    </r>
    <r>
      <rPr>
        <sz val="8"/>
        <rFont val="Sylfaen"/>
        <family val="1"/>
      </rPr>
      <t xml:space="preserve"> განსახლების ადგილებში იძულებით გადაადგილებულ პირთა - დევნილთა დახმარება და მათი საცხოვრებელი პირობების გაუმჯობესება</t>
    </r>
  </si>
  <si>
    <r>
      <rPr>
        <b/>
        <sz val="8"/>
        <rFont val="Sylfaen"/>
        <family val="1"/>
      </rPr>
      <t>3.6.2.</t>
    </r>
    <r>
      <rPr>
        <sz val="8"/>
        <rFont val="Sylfaen"/>
        <family val="1"/>
      </rPr>
      <t xml:space="preserve"> დევნილთა საარსებო წყაროებით უზრუნველყოფა</t>
    </r>
  </si>
  <si>
    <r>
      <rPr>
        <b/>
        <sz val="8"/>
        <rFont val="Sylfaen"/>
        <family val="1"/>
      </rPr>
      <t xml:space="preserve">3.6.3. </t>
    </r>
    <r>
      <rPr>
        <sz val="8"/>
        <rFont val="Sylfaen"/>
        <family val="1"/>
      </rPr>
      <t>ახალგაზრდობის სფეროში სახელმწიფო ხელშეწყობის ღონისძიებები (TA USAID, GIZ)</t>
    </r>
  </si>
  <si>
    <r>
      <rPr>
        <b/>
        <sz val="8"/>
        <rFont val="Sylfaen"/>
        <family val="1"/>
      </rPr>
      <t xml:space="preserve">3.6.4. </t>
    </r>
    <r>
      <rPr>
        <sz val="8"/>
        <rFont val="Sylfaen"/>
        <family val="1"/>
      </rPr>
      <t>ეროვნული უმცირესობების პროფესიული გადამზადება</t>
    </r>
  </si>
  <si>
    <r>
      <rPr>
        <b/>
        <sz val="8"/>
        <rFont val="Sylfaen"/>
        <family val="1"/>
      </rPr>
      <t xml:space="preserve">3.6.5. </t>
    </r>
    <r>
      <rPr>
        <sz val="8"/>
        <rFont val="Sylfaen"/>
        <family val="1"/>
      </rPr>
      <t>ეკომიგრანტების საცხოვრებელი სახლებით უზრუნველყოფა და დაბრუნებული მიგრანტების სოციალურ-ეკონომიკური რეინტეგრაცია.</t>
    </r>
  </si>
  <si>
    <r>
      <rPr>
        <b/>
        <sz val="8"/>
        <rFont val="Sylfaen"/>
        <family val="1"/>
      </rPr>
      <t>3.6.6.</t>
    </r>
    <r>
      <rPr>
        <sz val="8"/>
        <rFont val="Sylfaen"/>
        <family val="1"/>
      </rPr>
      <t xml:space="preserve"> სოციალურად დაუცველი ჯგუფების (იძულებით გადაადგილებული პირები - დევნილები, ეკომიგრანტები, შეზღუდული შესაძლებლობების მქონე პირები და ა.შ.) დახმარება თვით დასაქმებაში</t>
    </r>
  </si>
  <si>
    <r>
      <rPr>
        <b/>
        <sz val="8"/>
        <rFont val="Sylfaen"/>
        <family val="1"/>
      </rPr>
      <t>3.7.1.</t>
    </r>
    <r>
      <rPr>
        <sz val="8"/>
        <rFont val="Sylfaen"/>
        <family val="1"/>
      </rPr>
      <t xml:space="preserve"> მოსახლეობის მიზნობრივი ჯგუფების სოციალური დახმარება</t>
    </r>
  </si>
  <si>
    <r>
      <rPr>
        <b/>
        <sz val="8"/>
        <rFont val="Sylfaen"/>
        <family val="1"/>
      </rPr>
      <t>3.7.2.</t>
    </r>
    <r>
      <rPr>
        <sz val="8"/>
        <rFont val="Sylfaen"/>
        <family val="1"/>
      </rPr>
      <t xml:space="preserve"> სოციალური რეაბილიტაცია და ბავშვზე ზრუნვა;</t>
    </r>
  </si>
  <si>
    <r>
      <rPr>
        <b/>
        <sz val="8"/>
        <rFont val="Sylfaen"/>
        <family val="1"/>
      </rPr>
      <t>3.7.3.</t>
    </r>
    <r>
      <rPr>
        <sz val="8"/>
        <rFont val="Sylfaen"/>
        <family val="1"/>
      </rPr>
      <t xml:space="preserve"> განსაკუთრებული საგანმანათლებლო საჭიროებების ბავშთა სპეციალური დაწესებულებების ხელშეწყობა </t>
    </r>
  </si>
  <si>
    <r>
      <rPr>
        <b/>
        <sz val="8"/>
        <rFont val="Sylfaen"/>
        <family val="1"/>
      </rPr>
      <t>3.7.4.</t>
    </r>
    <r>
      <rPr>
        <sz val="8"/>
        <rFont val="Sylfaen"/>
        <family val="1"/>
      </rPr>
      <t xml:space="preserve"> ინკლუზიური განათლების მხარდაჭერა</t>
    </r>
  </si>
  <si>
    <r>
      <rPr>
        <b/>
        <sz val="8"/>
        <rFont val="Sylfaen"/>
        <family val="1"/>
      </rPr>
      <t>4.3.1</t>
    </r>
    <r>
      <rPr>
        <sz val="8"/>
        <rFont val="Sylfaen"/>
        <family val="1"/>
      </rPr>
      <t>. მაღალმთიანი დასახლებების ინფრასტრუქტურის გაუმჯობესება</t>
    </r>
  </si>
  <si>
    <r>
      <rPr>
        <b/>
        <sz val="8"/>
        <rFont val="Sylfaen"/>
        <family val="1"/>
      </rPr>
      <t>4.3.2.</t>
    </r>
    <r>
      <rPr>
        <sz val="8"/>
        <rFont val="Sylfaen"/>
        <family val="1"/>
      </rPr>
      <t xml:space="preserve"> მაღალმთიან დასახლებებში დამწყები ბიზნესის, მცირე და საშუალო მეწარმეობისა და ფერმერული მეურნეობების განვითარება</t>
    </r>
  </si>
  <si>
    <r>
      <rPr>
        <b/>
        <sz val="8"/>
        <rFont val="Sylfaen"/>
        <family val="1"/>
      </rPr>
      <t>4.3.3.</t>
    </r>
    <r>
      <rPr>
        <sz val="8"/>
        <rFont val="Sylfaen"/>
        <family val="1"/>
      </rPr>
      <t xml:space="preserve"> ყაზბეგისა და დუშეთის მუნიციპალიტეტების მაღალმთიანი დასახლებების მოსახლეობისათვის მიწოდებული ბუნებრივი აირის ღირებულების ანაზღაურება</t>
    </r>
  </si>
  <si>
    <r>
      <rPr>
        <b/>
        <sz val="8"/>
        <rFont val="Sylfaen"/>
        <family val="1"/>
      </rPr>
      <t>4.4.1</t>
    </r>
    <r>
      <rPr>
        <sz val="8"/>
        <rFont val="Sylfaen"/>
        <family val="1"/>
      </rPr>
      <t xml:space="preserve"> ღონისძიება განხორციელდება 9 ფაზის ფარგლებში. დღესდღეობით, მიმდინარეობს პროექტის პირველი ეტაპის მოსამზადებელი ფაზა, რომელიც მოიცავს ადრეული სამუშაოებს (ტექნიკური კვლევები, გენერალური გეგმა, წინასწარი დიზაინი და ა.შ.). 2017 წლის დეკემბერში დაიწყო პირველი ეტაპით გათვალისწინებული მშენებლობა. </t>
    </r>
  </si>
  <si>
    <r>
      <t>5.4.1.4</t>
    </r>
    <r>
      <rPr>
        <sz val="8"/>
        <color rgb="FFC00000"/>
        <rFont val="Sylfaen"/>
        <family val="1"/>
      </rPr>
      <t xml:space="preserve">   </t>
    </r>
    <r>
      <rPr>
        <sz val="8"/>
        <color theme="1"/>
        <rFont val="Sylfaen"/>
        <family val="1"/>
      </rPr>
      <t>იმ მცირე ინფრასტრუქტურის მხარდაჭერა, რომელიც პირდაპირ უკავშირდება ეკონომიკური პოტენციალის განვითარებას (მაგ. ტურიზმის სფეროში)</t>
    </r>
  </si>
  <si>
    <t>2018-2021 მთლიანი ჯამი</t>
  </si>
  <si>
    <r>
      <rPr>
        <b/>
        <sz val="8"/>
        <rFont val="Sylfaen"/>
        <family val="1"/>
      </rPr>
      <t>2.2.1.</t>
    </r>
    <r>
      <rPr>
        <sz val="8"/>
        <rFont val="Sylfaen"/>
        <family val="1"/>
      </rPr>
      <t xml:space="preserve"> საქართველოში ინოვაციების და ტექნოლოგიების განვითარების ხელშეწყობა</t>
    </r>
  </si>
  <si>
    <t>2.2.1.1 ინოვაციების ინფრასტრუქტურის განვითარება</t>
  </si>
  <si>
    <t xml:space="preserve">2.2.1.2 სტარტაპების დაფინანსება (მათ შორის მიკრო-გრანტების პროგრამა) </t>
  </si>
  <si>
    <t>2.2.1.3 საქართველოს მასშტაბით ტრენინგებისა და სხვადასხვა ღონისძიების ორგანიზება</t>
  </si>
  <si>
    <t>2.2.2.2 ინოვაციების სერვისების განვითარება</t>
  </si>
  <si>
    <r>
      <rPr>
        <b/>
        <sz val="8"/>
        <rFont val="Sylfaen"/>
        <family val="1"/>
      </rPr>
      <t xml:space="preserve">1.3.2: </t>
    </r>
    <r>
      <rPr>
        <sz val="8"/>
        <rFont val="Sylfaen"/>
        <family val="1"/>
      </rPr>
      <t xml:space="preserve">  1.ინტერნეტი განვითარებისთვის - ციფრული წიგნიერების ტრენინგის ჩატარება  საქართველოს რეგიონებში მცხოვრები სოციალურად დაუცველი 60 ათასი ოჯახისთვის და ტრენინგის წარმატებით გავლის შემთხვევაში მათი ინტერნეტში ჩართვის საფასურის ანაზღაურება ვაუჩერის მეშვეობით (150 ლარიანი ვაუჩერი).  2.საქართველოს რეგიონებში მოქმედი  10 ათასი მიკრო, მცირე და საშუალო მეწარმეების ტრენინგი ელექტრონულ კომერციაში, ელექტრონულ ბიზნესში და ელექტრონულ მმართველობაში. ტრენინგის წარმატებით გავლის შემთხვევაში 10, 000 საწარმოს ინტერნეტში  ჩართვა/ინტერნეტის სიჩქარის გაზრდა ვაუჩერის მეშვეობით (200 ლარიანი ვაუჩერი) </t>
    </r>
  </si>
  <si>
    <r>
      <t xml:space="preserve">1.3.3. </t>
    </r>
    <r>
      <rPr>
        <sz val="8"/>
        <rFont val="Sylfaen"/>
        <family val="1"/>
      </rPr>
      <t>ფართოზოლოვანი, ოპტიკურ-ბოჭკოვანი ინფრასტრუქტურის განვითარების სახელმწიფო პროგრამის ფარგლებში, ფართოზოლოვანი ინფრასტრუქტურის მშენებლობა:</t>
    </r>
  </si>
  <si>
    <t>1.3.3.1 ინფრასტრუქტურის პროექტირება და მშენებლობა</t>
  </si>
  <si>
    <t>1.3.3.3 ინფრასტრუქტურისა და ქსელის მომსახურება</t>
  </si>
  <si>
    <t>1.3.3.2 ქსელის დაგეგმარება და მოწყობა</t>
  </si>
  <si>
    <t>1.3.3.4 საბითუმო ფართოზოლოვანი მომსახურების მიწოდება.</t>
  </si>
  <si>
    <t>2.2.2.3 ინოვაციების დაფინანსება, მ.შ. სტარტაპების საგრანტო თანადაფინანსება, არსებული საწარმოების ინოვაციური საქმიანობის თანადაფინანსება, ინოვაციების დაფინანსების სხვადასხვა სისტემის ჩამოყალიბების ხელშეწყობა.</t>
  </si>
  <si>
    <r>
      <rPr>
        <b/>
        <sz val="8"/>
        <rFont val="Sylfaen"/>
        <family val="1"/>
      </rPr>
      <t>2.5.5.</t>
    </r>
    <r>
      <rPr>
        <sz val="8"/>
        <rFont val="Sylfaen"/>
        <family val="1"/>
      </rPr>
      <t xml:space="preserve"> საზღვარგარეთ ქართული ღვინის პოპულარიზაცა და ექსპორტის ხელშეწყობა</t>
    </r>
  </si>
  <si>
    <r>
      <rPr>
        <b/>
        <sz val="8"/>
        <rFont val="Sylfaen"/>
        <family val="1"/>
      </rPr>
      <t>2.5.6.</t>
    </r>
    <r>
      <rPr>
        <sz val="8"/>
        <rFont val="Sylfaen"/>
        <family val="1"/>
      </rPr>
      <t xml:space="preserve"> საქართველოში საექსპორტო პროცედურების შესახებ ინფორმაციისა და უცხოურ ბაზრებზე საბაჟო ტარიფების შესახებ ინფორმაციის მიწოდება</t>
    </r>
  </si>
  <si>
    <r>
      <rPr>
        <b/>
        <sz val="8"/>
        <rFont val="Sylfaen"/>
        <family val="1"/>
      </rPr>
      <t>2.5.8.</t>
    </r>
    <r>
      <rPr>
        <sz val="8"/>
        <rFont val="Sylfaen"/>
        <family val="1"/>
      </rPr>
      <t xml:space="preserve"> ექსპორტის მენეჯერების გადამზადება </t>
    </r>
  </si>
  <si>
    <r>
      <rPr>
        <b/>
        <sz val="8"/>
        <color theme="1"/>
        <rFont val="Sylfaen"/>
        <family val="1"/>
      </rPr>
      <t>2.1.1.</t>
    </r>
    <r>
      <rPr>
        <sz val="8"/>
        <color theme="1"/>
        <rFont val="Sylfaen"/>
        <family val="1"/>
      </rPr>
      <t xml:space="preserve"> მცირე და საშუალო საწარმოებისათვის დაფინანსების ხელმისაწვდომობის გაზრდა პროცენტის თანადაფინანსებით და საბანკო სესხებისთვის გარანტიის უზრუნველყოფით</t>
    </r>
  </si>
  <si>
    <r>
      <rPr>
        <b/>
        <sz val="8"/>
        <color theme="1"/>
        <rFont val="Sylfaen"/>
        <family val="1"/>
      </rPr>
      <t>2.1.2.</t>
    </r>
    <r>
      <rPr>
        <sz val="8"/>
        <color theme="1"/>
        <rFont val="Sylfaen"/>
        <family val="1"/>
      </rPr>
      <t xml:space="preserve"> მიკრო და მცირე საწარმოებისათვის მცირე გრანტების უზრუნველყოფა საწარმოო და მოწინავე სერვისების განვითარებისათვის საჭირო აღჭურვილობის შესყიდვაზე, ასევე ბიზნეს საქმიანობის გაფართოებისათვის აუცილებელი საკონსულტაციო მომსახურების შესყიდვაზე</t>
    </r>
  </si>
  <si>
    <r>
      <rPr>
        <b/>
        <sz val="8"/>
        <color theme="1"/>
        <rFont val="Sylfaen"/>
        <family val="1"/>
      </rPr>
      <t>2.1.3</t>
    </r>
    <r>
      <rPr>
        <sz val="8"/>
        <color theme="1"/>
        <rFont val="Sylfaen"/>
        <family val="1"/>
      </rPr>
      <t>. მცირე და საშუალო ბიზნესის ადამიანური რესურსების განვითარება (ტრეინინგ პროგრამები მფლობელთათვის, მენეჯერებისა და მცირე და საშუალო საწარმოების თანამშრომლებითვის)</t>
    </r>
  </si>
  <si>
    <r>
      <rPr>
        <b/>
        <sz val="8"/>
        <rFont val="Sylfaen"/>
        <family val="1"/>
      </rPr>
      <t>2.1.4</t>
    </r>
    <r>
      <rPr>
        <sz val="8"/>
        <rFont val="Sylfaen"/>
        <family val="1"/>
      </rPr>
      <t xml:space="preserve"> კინოინდუსტრიის განვითარების ხელშეწყობა</t>
    </r>
  </si>
  <si>
    <t>4.1.2.1 სკოლამდელი და საბაზისო განათლება</t>
  </si>
  <si>
    <t>4.1.2.2 სამედიცინო დაწესებულებების და ჯანდაცვის სერვისების ხარისხის გაუმჯობესება</t>
  </si>
  <si>
    <r>
      <rPr>
        <b/>
        <sz val="8"/>
        <rFont val="Sylfaen"/>
        <family val="1"/>
      </rPr>
      <t>2.2.2</t>
    </r>
    <r>
      <rPr>
        <sz val="8"/>
        <rFont val="Sylfaen"/>
        <family val="1"/>
      </rPr>
      <t xml:space="preserve"> საქართველოს ეროვნული ინოვაციური ეკოსისტემის განვითარება </t>
    </r>
    <r>
      <rPr>
        <sz val="8"/>
        <color rgb="FFFF0000"/>
        <rFont val="Sylfaen"/>
        <family val="1"/>
      </rPr>
      <t>(IBRD)</t>
    </r>
  </si>
  <si>
    <r>
      <rPr>
        <sz val="8"/>
        <rFont val="Times New Roman"/>
        <family val="1"/>
      </rPr>
      <t>2.2.2.1.</t>
    </r>
    <r>
      <rPr>
        <sz val="8"/>
        <rFont val="Sylfaen"/>
        <family val="1"/>
      </rPr>
      <t xml:space="preserve"> ინოვაციების ინფრასტრუქტურის შექმნა; მიზანშეწონილობის კვლევის შედეგად შერჩეულ საქართველოს მუნიციპალიტეტებში (თავდაპირველად 13 საპილოტე მუნიციპალიტეტი. პროექტის დასასრულისთვის რიცხვმა უნდა მიაღწიოს 50 მუნიციპალიტეტს) რეგიონული ინოვაციების ჰაბებისა და/ან ინოვაციების ცენტრების რემონტი, აღჭურვა და მათი ფუნქციონირების უზრუნველყოფა.</t>
    </r>
  </si>
  <si>
    <r>
      <rPr>
        <b/>
        <sz val="8"/>
        <rFont val="Sylfaen"/>
        <family val="1"/>
      </rPr>
      <t>2.3.6.</t>
    </r>
    <r>
      <rPr>
        <sz val="8"/>
        <rFont val="Sylfaen"/>
        <family val="1"/>
      </rPr>
      <t xml:space="preserve"> პროექტი "Ckeck-in Georgia"</t>
    </r>
  </si>
  <si>
    <r>
      <rPr>
        <b/>
        <sz val="8"/>
        <rFont val="Sylfaen"/>
        <family val="1"/>
      </rPr>
      <t>4.1.2.</t>
    </r>
    <r>
      <rPr>
        <sz val="8"/>
        <rFont val="Sylfaen"/>
        <family val="1"/>
      </rPr>
      <t xml:space="preserve"> ადგილობრივი, ენდოგენური განვითარების წახალისება (ადგილობრივი კომპანიების საინვესტიციო შესაძლებლობების ზრდა), ადგილობრივი ტურიზმი, კულტურული და ბუნებრივი მემკვიდრეობის შენარჩუნება და გამოყენება, ასევე სხვა სახის საზოგადოებრივი მომსახურეობის ხარისხის უზრუნველყოფისთვის მნიშვნელოვანი ინფრასტრუქტურის განვითარება, მათ შორის:</t>
    </r>
  </si>
  <si>
    <t>BSC CBC –  20 პროექტი</t>
  </si>
  <si>
    <r>
      <rPr>
        <b/>
        <sz val="8"/>
        <color theme="1"/>
        <rFont val="Sylfaen"/>
        <family val="1"/>
      </rPr>
      <t xml:space="preserve">ტექნიკური დახმარება </t>
    </r>
    <r>
      <rPr>
        <sz val="8"/>
        <color theme="1"/>
        <rFont val="Sylfaen"/>
        <family val="1"/>
      </rPr>
      <t>ექსპერტების ჩართულობა, თემატური და მეთოდოლოგიური კვლევების მომზადება რგპ-ს ეფქტიანი დაგეგმვისა და განხორციელების მიზნით.  (მშ. საპილოტე რეგიონები და შესაბამისი საოპერაციო პროგრამები)</t>
    </r>
  </si>
  <si>
    <r>
      <rPr>
        <b/>
        <sz val="8"/>
        <rFont val="Sylfaen"/>
        <family val="1"/>
      </rPr>
      <t>5.1.1.</t>
    </r>
    <r>
      <rPr>
        <sz val="8"/>
        <rFont val="Sylfaen"/>
        <family val="1"/>
      </rPr>
      <t xml:space="preserve">  ადამიანური შესაძლებლობების განვითარება - მაგ. ტრენინგები, კონსულტაციები,  სასწავლო ტურები და ექსპერტების გაცვლა, როგორც საქართველოს ფარგლებში, ასევე აღმოსავლეთ პარტნიორობის ქვეყნებსა და ევროკავშირს შორის;  </t>
    </r>
  </si>
  <si>
    <r>
      <rPr>
        <b/>
        <sz val="8"/>
        <rFont val="Sylfaen"/>
        <family val="1"/>
      </rPr>
      <t>5.1.2.</t>
    </r>
    <r>
      <rPr>
        <sz val="8"/>
        <rFont val="Sylfaen"/>
        <family val="1"/>
      </rPr>
      <t xml:space="preserve">  ღონისძიებების ორგანიზება - კონფერენციები, კომიტეტის შეხვედრები, სამუშაო შეხვედრები, შეხვედრები საჯარო ინფორმაციის გაზიარებისათვის, სასწავლო ტურები, საერთაშორისო კონფერენციებში და კონსულტაციებში მონაწილეობა ევროკავშირის და აღმოსავლეთ პარტნიორობის ქვეყნების შესაბამის  კოლეგებთან ერთად;</t>
    </r>
  </si>
  <si>
    <r>
      <rPr>
        <b/>
        <sz val="8"/>
        <rFont val="Sylfaen"/>
        <family val="1"/>
      </rPr>
      <t>5.1.3.</t>
    </r>
    <r>
      <rPr>
        <sz val="8"/>
        <rFont val="Sylfaen"/>
        <family val="1"/>
      </rPr>
      <t xml:space="preserve"> ცოდნის მართვა - არქივებისა და ვებ-გვერდების შექმნა, ასევე პუბლიკაციების გამოქვეყნება, რომელიც შეიცვას ძირითად სტრატეგიულ, მეთოდურ დოკუმენტაციას, საინფორმაციო მასალებს და სასწავლო კურიკულუმს; ექსპერტთა ქსელის შექმნა, რეგიონული განვითარების შესახებ ეროვნული ცოდნის ბაზის ჩამოყალიბებისა და საქართველოს მასშტაბით რეგიონული დეველოპერების პროფესიული საზოგადოების გაძლიერების მიზნით.;</t>
    </r>
  </si>
  <si>
    <r>
      <rPr>
        <b/>
        <sz val="8"/>
        <rFont val="Sylfaen"/>
        <family val="1"/>
      </rPr>
      <t>5.2.1.</t>
    </r>
    <r>
      <rPr>
        <sz val="8"/>
        <rFont val="Sylfaen"/>
        <family val="1"/>
      </rPr>
      <t xml:space="preserve"> • საქსტატისა და სხვა ინსტიტუტების ინსტიტუციების მიერ სტატისტიკური მეთოდოლოგიის შემუშავების მხარდაჭერაა, თემატური სტატისტიკური მონაცემების შეგროვება და ანალიზი, რაც აუცილებელია თანამედროვე რეგიონული პოლიტიკის განსახორციელებლად და რეგიონული განვითარების პროგრამის განხორციელების მონიტორინგისათვის</t>
    </r>
  </si>
  <si>
    <r>
      <rPr>
        <b/>
        <sz val="8"/>
        <rFont val="Sylfaen"/>
        <family val="1"/>
      </rPr>
      <t>5.2.3.</t>
    </r>
    <r>
      <rPr>
        <sz val="8"/>
        <rFont val="Sylfaen"/>
        <family val="1"/>
      </rPr>
      <t xml:space="preserve"> • სსიპ ვანო ხუხუნაიშვილის სახელობის ეფექტიანი მმართველობის სისტემის და ტერიტორიული მოწყობის რეფორმის ცენტრის რეფორმების ცენტრის და საქსტატის იმ თანამშრომლების ხარჯები, რომლებიც  პირდაპირ ხელს უწყობენ რგპ-ის განხორციელებას, ადამიანური რესურსების შენარჩუნების ღონისძიებების ჩათვლით.</t>
    </r>
  </si>
  <si>
    <r>
      <rPr>
        <b/>
        <sz val="8"/>
        <rFont val="Sylfaen"/>
        <family val="1"/>
      </rPr>
      <t>5.3.1.</t>
    </r>
    <r>
      <rPr>
        <sz val="8"/>
        <rFont val="Sylfaen"/>
        <family val="1"/>
      </rPr>
      <t xml:space="preserve"> ადგილობრივ დონეზე ადმინისტრაციული შესაძლებლობების განვითარება რეგიონული განვითარების პოლიტიკის კონტექსტში</t>
    </r>
  </si>
  <si>
    <r>
      <rPr>
        <b/>
        <sz val="8"/>
        <rFont val="Sylfaen"/>
        <family val="1"/>
      </rPr>
      <t>5.3.2.</t>
    </r>
    <r>
      <rPr>
        <sz val="8"/>
        <rFont val="Sylfaen"/>
        <family val="1"/>
      </rPr>
      <t xml:space="preserve"> ტრენინგები, კონსულტაციები, სასწავლო ტურები და ექსპერტების გაცვლა როგორც საქართველოს ფარგლებში, ასევე აღმოსავლეთ პარტნიორობის ქვეყნებსა და ევროკავშირს შორის</t>
    </r>
  </si>
  <si>
    <r>
      <rPr>
        <b/>
        <sz val="8"/>
        <rFont val="Sylfaen"/>
        <family val="1"/>
      </rPr>
      <t>5.3.3.</t>
    </r>
    <r>
      <rPr>
        <sz val="8"/>
        <rFont val="Sylfaen"/>
        <family val="1"/>
      </rPr>
      <t xml:space="preserve">  ღონისძიებების ორგანიზება - კონფერენციები, კომიტეტის შეხვედრები, სამუშაო შეხვედრები, შეხვედრები საჯარო ინფორმაცის გაზიარებისათვის, სასწავლო ტურები, საერთაშორისო კონფერენციებში მონაწილეობა და კონსულტაციები ევროკავშირის და აღმოსავლეთ პარტნიორობის ქვეყნების შესაბამისი სტრუქტურების წარმომადგენლებთან.</t>
    </r>
  </si>
  <si>
    <r>
      <rPr>
        <b/>
        <sz val="8"/>
        <rFont val="Sylfaen"/>
        <family val="1"/>
      </rPr>
      <t>5.4.1.</t>
    </r>
    <r>
      <rPr>
        <sz val="8"/>
        <rFont val="Sylfaen"/>
        <family val="1"/>
      </rPr>
      <t xml:space="preserve"> ინტეგრირებული რეგიონული განვითარების პროგრამ(ებ)ის მომზადება ორი საპილოტე რეგიონისთვის, რომლებიც შეავსებენ სექტორულ და სხვა ინსტრუმენტებს. შესაძლებელი ღონისძიებების ჩამონათვალი, რომლებიც შესაძლებელია განხორციელდნენ ამ პროგრამ(ებ)ის  მეშვეობით:</t>
    </r>
  </si>
  <si>
    <r>
      <t>5.4.1.2</t>
    </r>
    <r>
      <rPr>
        <sz val="8"/>
        <color rgb="FFC00000"/>
        <rFont val="Sylfaen"/>
        <family val="1"/>
      </rPr>
      <t> </t>
    </r>
    <r>
      <rPr>
        <sz val="8"/>
        <color theme="1"/>
        <rFont val="Sylfaen"/>
        <family val="1"/>
      </rPr>
      <t xml:space="preserve"> რეგიონული მცირე და საშუალო საწარმოების მხარდაჭერა, განსაკუთრებით იმ  საწარმოების მხარდაჭერა, რომლებიც რეგიონის კონკურენტუნარიან სექტორებში ოპერირებენ</t>
    </r>
  </si>
  <si>
    <r>
      <t>5.4.1.5</t>
    </r>
    <r>
      <rPr>
        <sz val="8"/>
        <color rgb="FFC00000"/>
        <rFont val="Sylfaen"/>
        <family val="1"/>
      </rPr>
      <t>  </t>
    </r>
    <r>
      <rPr>
        <sz val="8"/>
        <color theme="1"/>
        <rFont val="Sylfaen"/>
        <family val="1"/>
      </rPr>
      <t>CLLD ტიპის აქტივობების განხორციელება, რაც წაახალისებს ადგილობრივ მონაწილეობას ეკონომიკურ განვითარებაში</t>
    </r>
  </si>
  <si>
    <r>
      <rPr>
        <b/>
        <sz val="8"/>
        <rFont val="Sylfaen"/>
        <family val="1"/>
      </rPr>
      <t>2.5.7.</t>
    </r>
    <r>
      <rPr>
        <sz val="8"/>
        <rFont val="Sylfaen"/>
        <family val="1"/>
      </rPr>
      <t xml:space="preserve"> ექსპორტის გზამკვლევის მომზადება </t>
    </r>
    <r>
      <rPr>
        <sz val="8"/>
        <color rgb="FFFF0000"/>
        <rFont val="Sylfaen"/>
        <family val="1"/>
      </rPr>
      <t>(აშშ განვითარების სააგენტო - ზუსტად უნდა დადგინდეს დაფინანსების მოცულობა)</t>
    </r>
  </si>
  <si>
    <r>
      <rPr>
        <b/>
        <sz val="8"/>
        <rFont val="Sylfaen"/>
        <family val="1"/>
      </rPr>
      <t>2.5.9.</t>
    </r>
    <r>
      <rPr>
        <sz val="8"/>
        <rFont val="Sylfaen"/>
        <family val="1"/>
      </rPr>
      <t xml:space="preserve"> ექსპორტის სასერტიფიკატო პროგრამა </t>
    </r>
    <r>
      <rPr>
        <sz val="8"/>
        <color rgb="FFFF0000"/>
        <rFont val="Sylfaen"/>
        <family val="1"/>
      </rPr>
      <t>(ეს და ზედა იდენტურია თუ ცალცალკე გადის?..) .</t>
    </r>
  </si>
  <si>
    <r>
      <rPr>
        <b/>
        <sz val="8"/>
        <rFont val="Sylfaen"/>
        <family val="1"/>
      </rPr>
      <t>1.4.4</t>
    </r>
    <r>
      <rPr>
        <b/>
        <sz val="8"/>
        <color rgb="FFC00000"/>
        <rFont val="Sylfaen"/>
        <family val="1"/>
      </rPr>
      <t>. </t>
    </r>
    <r>
      <rPr>
        <sz val="8"/>
        <color theme="1"/>
        <rFont val="Sylfaen"/>
        <family val="1"/>
      </rPr>
      <t xml:space="preserve">სამეგრელო-ზემო სვანეთის რეგიონი, აფხაზეთი და დასავლეთი საქართველო, კახეთი;  500 კვ ეგხ წყალტუბო -ახალციხე - ტორტუმი; გურიის გადაცემის ინფრასტრუქტურის გაძლიერება;  ხელედულა-ლაჯანური-ონი; კახეთის ინფრასტრუქტურის გაძლიერება; 500 კვ ეგხ ჯვარი-წყალტუბო </t>
    </r>
  </si>
  <si>
    <r>
      <t>5.4.1.6</t>
    </r>
    <r>
      <rPr>
        <sz val="8"/>
        <color rgb="FFC00000"/>
        <rFont val="Sylfaen"/>
        <family val="1"/>
      </rPr>
      <t xml:space="preserve">   </t>
    </r>
    <r>
      <rPr>
        <sz val="8"/>
        <color theme="1"/>
        <rFont val="Sylfaen"/>
        <family val="1"/>
      </rPr>
      <t xml:space="preserve">ორი საპილოტე პროგრამის განხორციელებაში ჩართული რეგიონული და ადგილობრივი ინსტიტუტების შესაძლებლობების გაძლიერება. </t>
    </r>
  </si>
  <si>
    <r>
      <t>5.4.1.3</t>
    </r>
    <r>
      <rPr>
        <sz val="8"/>
        <color rgb="FFC00000"/>
        <rFont val="Sylfaen"/>
        <family val="1"/>
      </rPr>
      <t xml:space="preserve">  </t>
    </r>
    <r>
      <rPr>
        <sz val="8"/>
        <rFont val="Sylfaen"/>
        <family val="1"/>
      </rPr>
      <t>კულტურული და ბუნებრივი მემკვიდრეობის შენარჩუნება და გამოყენება ეკონომიკური მიზნებისთვის</t>
    </r>
  </si>
  <si>
    <t>ღონისძიება: 1.1.  საერთაშორისო და შიდასახელმწიფოებრივი მნიშვნელობის გზების საავტომობილო გაუმჯობესება</t>
  </si>
  <si>
    <r>
      <t xml:space="preserve">1.3.4. </t>
    </r>
    <r>
      <rPr>
        <sz val="8"/>
        <rFont val="Sylfaen"/>
        <family val="1"/>
      </rPr>
      <t xml:space="preserve">ფართოზოლოვანი ქსელების განვითარების მიზნით ინფრასტრუქტურის გაზიარების რეგულაციების შემუშავება </t>
    </r>
    <r>
      <rPr>
        <sz val="8"/>
        <color rgb="FFFF0000"/>
        <rFont val="Sylfaen"/>
        <family val="1"/>
      </rPr>
      <t/>
    </r>
  </si>
  <si>
    <t>  ღონისძიება 1.4. ენერგო-ინფრასტრუქტურის გაუმჯობესება და განახლებადი ენერგიის წყაროების პოტენციალის გაფართოება</t>
  </si>
  <si>
    <t>ღონისძიება: 1.8. ბუნებრივი მემკვიდრეობის (ეროვნული პარკები, ნაკრძალები და სხვა კატეგორიის დაცული ტერიტორიები) შენარჩუნება და პოპულარიზაცია</t>
  </si>
  <si>
    <t>ღონისძიება: 2.1. საწარმოების, მათ შორის მცირე და საშუალო ზომის საწარმოების მხარდაჭერა</t>
  </si>
  <si>
    <r>
      <rPr>
        <b/>
        <sz val="8"/>
        <color theme="1"/>
        <rFont val="Sylfaen"/>
        <family val="1"/>
      </rPr>
      <t>2.1.5.</t>
    </r>
    <r>
      <rPr>
        <sz val="8"/>
        <color theme="1"/>
        <rFont val="Sylfaen"/>
        <family val="1"/>
      </rPr>
      <t xml:space="preserve"> საქართველოს მცირე და საშუალო საწარმოების ზრდის / მხარდამჭერი ინსტიტუციების ხელშეწყობა</t>
    </r>
  </si>
  <si>
    <r>
      <rPr>
        <b/>
        <sz val="8"/>
        <rFont val="Sylfaen"/>
        <family val="1"/>
      </rPr>
      <t>2.1.6.</t>
    </r>
    <r>
      <rPr>
        <sz val="8"/>
        <rFont val="Sylfaen"/>
        <family val="1"/>
      </rPr>
      <t xml:space="preserve"> მცირე და საშუალო ბიზნესის განვითარება და ღრმა და ყოვლისმომცველი თავისუფალი სავაჭრო სივრცე </t>
    </r>
  </si>
  <si>
    <t>საქართველოს განათლებისა და მეცნიერების სამინისტრო, სსიპ - მასწავლებელთა პროფესიული განვითარების ეროვნული ცენტრი.</t>
  </si>
  <si>
    <t>საქართველოს განათლებისა და მეცნიერების სამინისტრო, სსიპ - შეფასებისა და გამოცდების ეროვნული ცენტრი, სსიპ - განათლების ხარისხის განვითარების ეროვნული ცენტრი.</t>
  </si>
  <si>
    <t>საქართველოს განათლებისა და მეცნიერების სამინისტრო, შოთა რუსთაველის ეროვნული სამეცნიერო ფონდი, სოფლის მეურნეობის მეცნიერებათა აკადემია; სსიპ სოფლის მეურნეობის სამეცნიერო-კვლევითი ცენტრი.</t>
  </si>
  <si>
    <t>საქართველოს შრომის, ჯანმრთელობისა და სოციალური დაცვის სამინისტრო, საქართველოს ეკონომიკისა და მდგრადი განვითარების სამინისტრო, საქართველოს განათლებისა და მეცნიერების სამინისტრო, სსიპ - სოციალური მომსახურების სააგენტო.</t>
  </si>
  <si>
    <t>სსიპ - სოციალური მომსახურების სააგენტო / საქართველოს შრომის, ჯანმრთელობისა და სოციალური დაცვის სამინისტრო.</t>
  </si>
  <si>
    <t xml:space="preserve">სსიპ - საქართველოს მუნიციპალური განვითარების ფონდი.; მუნიციპალიტეტები, რაც გულისხმობს დაფინანსებას საქართველოს რეგიონებში განსახორციელებელი პროექტების ფონდიდან, </t>
  </si>
  <si>
    <t xml:space="preserve">შპს „ანაკლიის განვითარების კონსორციუმი“, სსიპ ანაკლიის ღრმაწყლოვანი ნავსადგურის განვითარების სააგენტო, საქართველოს რეგიონული განვითარებისა და ინფრასტრუქტურის სამინისტრო. </t>
  </si>
  <si>
    <t>სსიპ − ვანო ხუხუნაიშვილის სახელობის ეფექტიანი მმართველობის სისტემის და ტერიტორიული მოწყობის რეფორმის ცენტრი / საქართველოს რეგიონული განვითარებისა და ინფრასტრუქტურის სამინისტრო; კონსულტაციისა და ტრენინგის ცენტრი (CTC) (პროექტი „რეგიონების მხარდაჭერა მდგრადი განვითარებისათვის“ ევროკავშირის სექტორული დახმარების პროგრამის ფარგლებში).</t>
  </si>
  <si>
    <t>საქართველოს რეგიონული განვითარებისა და ინფრასტრუქტურის სამინისტროს გამგებლობაში არსებული სახელმწიფო საქვეუწყებო დაწესებულება - საქართველოს საავტომობილო გზების დეპარტამენტი, სსიპ -საქართველოს მუნიციპალური განვითარების ფონდი, სსიპ - ევრაზიის სატრანსპორტო დერეფნის საინვესტიციო ცენტრი</t>
  </si>
  <si>
    <t xml:space="preserve">საქართველოს ეკონომიკისა და მდგრადი განვითარების სამინისტრო, სსიპ საზღვაო ტრანსპორტის სააგენტო, შპს საქართველოს აეროპორტების გაერთიანება, სსიპ საქართველოს სახელმწიფო ჰიდროგრაფიული სამსახური, სს „საქართველოს რკინიგზა“, შპს „ანაკლიის განვითარების კონსორციუმი“, სსიპ „ანაკლიის ღრმაწყლოვანი ნავსადგურის განვითარების სააგენტო“ და საქართველოს რეგიონული განვითარებისა და ინფრასტრუქტურის სამინისტროს გამგებლობაში არსებული სახელმწიფო საქვეუწყებო დაწესებულება - საქართველოს საავტომობილო გზების დეპარტამენტი. </t>
  </si>
  <si>
    <t>განმახორციელებელი ორგანოები და პარტნიორები</t>
  </si>
  <si>
    <t xml:space="preserve">საქართველოს ეკონომიკისა და მდგრადი განვითარების სამინისტრო, სსიპ - საქართველოს ინოვაციებისა და ტექნოლოგიების სააგენტო; ა(ა)იპ „ოუფენ ნეტი“; საქართველოს კომუნიკაციების ეროვნული კომისია; სხვადასხვა დონორები/პარტნიორები (მ.შ. საერთაშორისო საქველმოქმედო ფონდი „ქართუ“) </t>
  </si>
  <si>
    <t>საქართველოს ეკონომიკისა და მდგრადი განვითარების სამინისტრო და სსიპ - საქართველოს მუნიციპალური განვითარების ფონდი</t>
  </si>
  <si>
    <t>საქართველოს რეგიონული განვითარებისა და ინფრასტრუქტურის სამინისტროს გამგებლობაში არსებული სახელმწიფო საქვეუწყებო დაწესებულება - საქართველოს საავტომობილო გზების დეპარტამენტი; სსიპ - საქართველოს მუნიციპალური განვითარების ფონდი; სსიპ - გარემოს ეროვნული სააგენტო, საქართველოს ეკონომიკისა და მდგრადი განვითარების  სამინისტრო; საქართველოს ოკუპირებული ტერიტორიებიდან იძულებით გადაადგილებულ პირთა, განსახლებისა და ლტოლვილთა სამინისტრო და თბილისის მუნიციპალიტეტი</t>
  </si>
  <si>
    <t>საქართველოს რეგიონული განვითარებისა და ინფრასტრუქტურის სამინისტრო, შპს „საქართველოს გაერთიანებული წყალმომარაგების კომპანია“, შპს „საქართველოს მყარი ნარჩენების მართვის კომპანია“ და სსიპ - საქართველოს მუნიციპალური განვითარების ფონდი</t>
  </si>
  <si>
    <t>საქართველოს კულტურისა და სპორტის სამინისტრო, სსიპ - საქართველოს კულტურული მემკვიდრეობის დაცვის ეროვნული სააგენტო და საქართველოს კულტურისა და სპორტის სამინისტროს სხვა დაქვემდებარებული სსიპ-ები</t>
  </si>
  <si>
    <t>სსიპ დაცული ტერიტორიების სააგენტო, საქართველოს გარემოსა და სოფლის მეურნეობის სამინისტრო; გერმანიის რეკონსტრუქციის საკრედიტო ბანკი (KfW).</t>
  </si>
  <si>
    <t>სსიპ - აწარმოე საქართველოში, გერმანიის საერთაშორისო თანამშრომლობის საზოგადოება, სს „საპარტნიორო ფონდი“; ევროკავშირის ტექნიკური დახმარების პროექტი „მცირე და საშუალო ბიზნესის განვითარება და ღრმა და ყოვლისმომცველი თავისუფალი სავაჭრო სივრცე“.</t>
  </si>
  <si>
    <t>საქართველოს ეკონომიკისა და მდგრადი განვითარების სამინისტროს სსიპ - საქართველოს ტურიზმის ეროვნული ადმინისტრაცია და სსიპ - „აწარმოე საქართველოში“.</t>
  </si>
  <si>
    <t>საქართველოს გარემოსა და სოფლის მეურნეობის სამინისტრო, სსიპ - ღვინის ეროვნული სააგენტო, ა(ა)იპ „სოფლის მეურნეობის პროექტების მართვის სააგენტო“ და სსიპ - სასოფლო-სამეურნეო კოოპერატივების განვითარების სააგენტო; საქართველოს ფერმერთა ასოციაცია, „სი-ენ-ეფ-ეი საქართველო“, „ჯი-პა“, აშშ საერთაშორისო განვითარების სააგენტო (USAID); ავსტრიის განვითარების სააგენტო (ADA).</t>
  </si>
  <si>
    <t>საქართველოს ეკონომიკისა და მდგრადი განვითარების სამინისტროს სსიპ „აწარმოე საქართველოში“, საქართველოს გარემოსა და სოფლის მეურნეობის სამინისტრო; საქართველოს სავაჭრო-სამრეწველო პალატა; აშშ განვითარების სააგენტო</t>
  </si>
  <si>
    <t>საქართველოს ეკონომიკისა და მდგრადი განვითარების სამინისტრო და მისი სსიპ - „აწარმოე საქართველოში“; სახელმწიფო ქონების ეროვნული სააგენტო</t>
  </si>
  <si>
    <t>საქართველოს განათლების და მეცნიერების სამინისტრო და სსიპ - საქართველოს მუნიციპალური განვითარების ფონდი, სსიპ მასწავლებელთა პროფესიული განვითარების ეროვნული ცენტრი; ააიპ ათასწლეულის გამოწვევის ფონდი - საქართველო (MCA - Georgia); სსიპ - საგანმანთლებლო და სამეცნიერო ინფრასტრუქტურის განვითარების სააგენტო.</t>
  </si>
  <si>
    <t xml:space="preserve">საქართველოს ოკუპირებული ტერიტორიებიდან იძულებით გადაადგილებულ პირთა, განსახლებისა და ლტოლვილთა სამინისტრო; საქართველოს შრომის, ჯანმრთელობისა და სოციალური დაცვის სამინისტრო; საქართველოს განათლებისა და მეცნიერების სამინისტრო; გერმანიის საერთაშორისო თანამშრომლობის საზოგადოება (GIZ), აშშ საერთაშორისო განვითარების სააგენტო (USAID). </t>
  </si>
  <si>
    <t>საქართველოს გარემოს დაცვისა და სოფლის მეურნეობის სამინისტრო/სსიპ სასოფლო-სამეურნეო კოოპერატივების განვითარების სააგენტო; საქართველოს რეგიონული განვითარებისა და ინფრასტრუქტურის სამინისტრო; საქართველოს განათლებისა და მეცნიერების სამინისტრო; საქართველოს შრომის, ჯანმრთელობისა და სოციალური დაცვის სამინისტრო.</t>
  </si>
  <si>
    <t xml:space="preserve">საქართველოს რეგიონული განვითარებისა და ინფრასტრუქტურის სამინისტრო, საქართველოს საგარეო საქმეთა სამინისტრო (ზოგადი კოორდინაცია),, საერთაშორისო თანამშრომლობის საზოგადოება (GIZ); </t>
  </si>
  <si>
    <t>სსიპ − ვანო ხუხუნაიშვილის სახელობის ეფექტიანი მმართველობის სისტემის და ტერიტორიული მოწყობის რეფორმის ცენტრი ,საქართველოს რეგიონული განვითარებისა და ინფრასტრუქტურის სამინისტრო; ევროკავშირის წარმომადგენლობა საქართველოში</t>
  </si>
  <si>
    <t>სსიპ − ვანო ხუხუნაიშვილის სახელობის ეფექტიანი მმართველობის სისტემის და ტერიტორიული მოწყობის რეფორმის ცენტრი, საქართველოს რეგიონული განვითარებისა და ინფრასტრუქტურის სამინისტრო; ევროკავშირის წარმომადგენლობა საქართველოში; გაერთიანებული ერების განვითარების პროგრამა, გერმანიის საერთაშორისო თანამშრომლობის საზოგადოება (ადგილობრივი თვითმმართველობის პროგრამა სამხრეთ კავკასიაში). და სხვა საერთაშორისო დონორები.</t>
  </si>
  <si>
    <t>საქართველოს რეგიონული განვითარებისა და ინფრასტრუქტურის სამინისტრო; ევროკავშირის წარმომადგენლობა საქართველოში.</t>
  </si>
  <si>
    <t>საქართველოს რეგიონული განვითარებისა და ინფრასტრუქტურის სამინისტროს სსიპ საქართველოს მუნიციპალური განვითარების ფონდი; 5 თვითმმართველი ქალაქი</t>
  </si>
  <si>
    <t>სსიპ - საქართველოს ინოვაციებისა და ტექნოლოგიების სააგენტო / საქართველოს ეკონომიკის და მდგრადი განვითარების სამინისტრო; რეკონსტრუქციისა და განვითარების საერთაშორისო ბანკი (IBRD).  </t>
  </si>
  <si>
    <t>რგპ 2018-2021 დანართი: დეტალური ფინანსური გეგმა</t>
  </si>
  <si>
    <r>
      <t xml:space="preserve">ღონისძიება: 4.2.  სოფლის განვითარება </t>
    </r>
    <r>
      <rPr>
        <b/>
        <sz val="8"/>
        <color rgb="FFC00000"/>
        <rFont val="Sylfaen"/>
        <family val="1"/>
      </rPr>
      <t>(</t>
    </r>
    <r>
      <rPr>
        <b/>
        <u val="singleAccounting"/>
        <sz val="8"/>
        <color rgb="FFC00000"/>
        <rFont val="Sylfaen"/>
        <family val="1"/>
      </rPr>
      <t>შენიშვნა:</t>
    </r>
    <r>
      <rPr>
        <b/>
        <sz val="8"/>
        <color rgb="FFC00000"/>
        <rFont val="Sylfaen"/>
        <family val="1"/>
      </rPr>
      <t xml:space="preserve"> </t>
    </r>
    <r>
      <rPr>
        <sz val="8"/>
        <color rgb="FFC00000"/>
        <rFont val="Sylfaen"/>
        <family val="1"/>
      </rPr>
      <t>ანგარიშგება არ ხოცრიელდება ამ პროგრამის ფარგლებში</t>
    </r>
    <r>
      <rPr>
        <b/>
        <sz val="8"/>
        <color rgb="FFC00000"/>
        <rFont val="Sylfaen"/>
        <family val="1"/>
      </rPr>
      <t>)</t>
    </r>
  </si>
  <si>
    <r>
      <rPr>
        <b/>
        <sz val="8"/>
        <rFont val="Sylfaen"/>
        <family val="1"/>
      </rPr>
      <t xml:space="preserve">4.5.1. </t>
    </r>
    <r>
      <rPr>
        <sz val="8"/>
        <rFont val="Sylfaen"/>
        <family val="1"/>
      </rPr>
      <t xml:space="preserve">EaPTC –  2 პროექტი </t>
    </r>
  </si>
  <si>
    <r>
      <rPr>
        <b/>
        <sz val="8"/>
        <rFont val="Sylfaen"/>
        <family val="1"/>
      </rPr>
      <t>4.6.1.</t>
    </r>
    <r>
      <rPr>
        <sz val="8"/>
        <color rgb="FFFF0000"/>
        <rFont val="Sylfaen"/>
        <family val="1"/>
      </rPr>
      <t xml:space="preserve"> </t>
    </r>
    <r>
      <rPr>
        <sz val="8"/>
        <rFont val="Sylfaen"/>
        <family val="1"/>
      </rPr>
      <t xml:space="preserve">მეთოდოლოგიური (სახელმძღვანელო, ინსტრუმენტები) წინადადებების მომზადება, რათა მოხდეს ურბანულ ფუნქციურ ზონებში თანამშრომლობის გაძლიერება,  ზემოთ აღნიშნულ სფეროებში </t>
    </r>
    <r>
      <rPr>
        <b/>
        <sz val="8"/>
        <color rgb="FFFF0000"/>
        <rFont val="Sylfaen"/>
        <family val="1"/>
      </rPr>
      <t>(ადმინისტრაციული ხარჯი</t>
    </r>
    <r>
      <rPr>
        <sz val="8"/>
        <color rgb="FFFF0000"/>
        <rFont val="Sylfaen"/>
        <family val="1"/>
      </rPr>
      <t>)</t>
    </r>
  </si>
  <si>
    <r>
      <rPr>
        <b/>
        <sz val="8"/>
        <rFont val="Sylfaen"/>
        <family val="1"/>
      </rPr>
      <t>4.6.2.</t>
    </r>
    <r>
      <rPr>
        <sz val="8"/>
        <rFont val="Sylfaen"/>
        <family val="1"/>
      </rPr>
      <t xml:space="preserve"> </t>
    </r>
    <r>
      <rPr>
        <sz val="8"/>
        <color rgb="FFFF0000"/>
        <rFont val="Sylfaen"/>
        <family val="1"/>
      </rPr>
      <t xml:space="preserve"> </t>
    </r>
    <r>
      <rPr>
        <sz val="8"/>
        <rFont val="Sylfaen"/>
        <family val="1"/>
      </rPr>
      <t>პირველადი კვლევ(ებ)ის მომზადება თბილისის, ქუთაისის და ბათუმის ფუნქციური ზონებისთვის.</t>
    </r>
    <r>
      <rPr>
        <sz val="8"/>
        <color rgb="FFFF0000"/>
        <rFont val="Sylfaen"/>
        <family val="1"/>
      </rPr>
      <t xml:space="preserve">  </t>
    </r>
    <r>
      <rPr>
        <b/>
        <sz val="8"/>
        <color rgb="FFFF0000"/>
        <rFont val="Sylfaen"/>
        <family val="1"/>
      </rPr>
      <t>(დაახლ. 60000 ლარი კვლევაზე)</t>
    </r>
  </si>
  <si>
    <r>
      <rPr>
        <b/>
        <sz val="8"/>
        <rFont val="Sylfaen"/>
        <family val="1"/>
      </rPr>
      <t xml:space="preserve">5.2.2. </t>
    </r>
    <r>
      <rPr>
        <sz val="8"/>
        <rFont val="Sylfaen"/>
        <family val="1"/>
      </rPr>
      <t>•რეგიონულ, სოფლის და სივრცით განვითარებასთან დაკავშირებული კვლევების, ქსელური ღონისძიებების, ტრენინგებისა და პუბლიკაციების დაფინანსება რეგიონული პოლიტიკის პროფესიონალებისათვის; ასევე სექტორული პოლიტიკის შემუშავება, რომელიც ხელს უწყობს რეგიონალურ განვითარებას. (</t>
    </r>
    <r>
      <rPr>
        <sz val="8"/>
        <color rgb="FFFF0000"/>
        <rFont val="Sylfaen"/>
        <family val="1"/>
      </rPr>
      <t xml:space="preserve">ადგილობრივი თვითმმართველობის პროგრამა სამხრეთ კავკასიაში (TA GERMANY&lt; GIZ) </t>
    </r>
  </si>
  <si>
    <t>სსიპ − ვანო ხუხუნაიშვილის სახელობის ეფექტიანი მმართველობის სისტემის და ტერიტორიული მოწყობის რეფორმის ცენტრი, რეგიონული განვითარებისა და ინფრასტრუქტურის სამინისტრო; სსიპ - საქართველოს სტატისტიკის ეროვნული სამსახური; ევროკავშირის წარმომადგენლობა საქართველოში; გაერთიანებული ერების განვითარების პროგრამა, გერმანიის საერთაშორისო თანამშრომლობის საზოგადოება (ადგილობრივი თვითმმართველობის პროგრამა სამხრეთ კავკასიაში). და სხვა საერთაშორისო დონორები</t>
  </si>
  <si>
    <r>
      <t xml:space="preserve">1.3.1. </t>
    </r>
    <r>
      <rPr>
        <sz val="8"/>
        <color theme="1"/>
        <rFont val="Sylfaen"/>
        <family val="1"/>
      </rPr>
      <t xml:space="preserve">საქართველოს „ფართოზოლოვანი ინფრასტრუქტურის განვითარების სტრატეგიის“ შემუშავება                         </t>
    </r>
    <r>
      <rPr>
        <sz val="8"/>
        <color rgb="FFFF0000"/>
        <rFont val="Sylfaen"/>
        <family val="1"/>
      </rPr>
      <t xml:space="preserve">(„ციფრული ბაზრების ჰარმონიზაციის (HDM)“ ევროკომისიის პროექტის ფარგლებში - დასაზუსტებელი/ბიუჯეტის მოცულობით) </t>
    </r>
  </si>
  <si>
    <r>
      <rPr>
        <b/>
        <u/>
        <sz val="8"/>
        <rFont val="Sylfaen"/>
        <family val="1"/>
      </rPr>
      <t>პრიორიტეტი 1</t>
    </r>
    <r>
      <rPr>
        <b/>
        <sz val="8"/>
        <rFont val="Sylfaen"/>
        <family val="1"/>
      </rPr>
      <t xml:space="preserve"> - ქვეყნის და მისი რეგიონების კონკურენტუნარიანობისდა მდგრადი განვითარების ხელშემწყობი ძირითადი ინფრასტრუქტურის გაუმჯობესება</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</si>
</sst>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_(* #,##0_);_(* \(#,##0\);_(* &quot;-&quot;??_);_(@_)"/>
  </numFmts>
  <fonts count="84" x14ac:knownFonts="1">
    <font>
      <sz val="11"/>
      <color theme="1"/>
      <name val="Calibri"/>
      <family val="2"/>
      <scheme val="minor"/>
    </font>
    <font>
      <sz val="11"/>
      <color theme="1"/>
      <name val="Calibri"/>
      <family val="2"/>
      <scheme val="minor"/>
    </font>
    <font>
      <sz val="11"/>
      <color theme="1"/>
      <name val="Sylfaen"/>
      <family val="1"/>
    </font>
    <font>
      <sz val="10"/>
      <color theme="1"/>
      <name val="Sylfaen"/>
      <family val="1"/>
    </font>
    <font>
      <b/>
      <sz val="9"/>
      <color indexed="81"/>
      <name val="Tahoma"/>
      <family val="2"/>
    </font>
    <font>
      <sz val="9"/>
      <color indexed="81"/>
      <name val="Tahoma"/>
      <family val="2"/>
    </font>
    <font>
      <sz val="8"/>
      <color theme="1"/>
      <name val="Sylfaen"/>
      <family val="1"/>
    </font>
    <font>
      <b/>
      <sz val="11"/>
      <name val="Sylfaen"/>
      <family val="1"/>
    </font>
    <font>
      <b/>
      <sz val="10"/>
      <color theme="1"/>
      <name val="Calibri"/>
      <family val="1"/>
      <scheme val="minor"/>
    </font>
    <font>
      <b/>
      <sz val="12"/>
      <color theme="0"/>
      <name val="Calibri"/>
      <family val="1"/>
      <scheme val="minor"/>
    </font>
    <font>
      <b/>
      <sz val="9"/>
      <color theme="0"/>
      <name val="Calibri"/>
      <family val="1"/>
      <scheme val="minor"/>
    </font>
    <font>
      <b/>
      <sz val="11"/>
      <color theme="0"/>
      <name val="Calibri"/>
      <family val="1"/>
      <scheme val="minor"/>
    </font>
    <font>
      <b/>
      <sz val="10"/>
      <color theme="0"/>
      <name val="Calibri"/>
      <family val="1"/>
      <scheme val="minor"/>
    </font>
    <font>
      <sz val="11"/>
      <color theme="1"/>
      <name val="Calibri"/>
      <family val="1"/>
      <scheme val="minor"/>
    </font>
    <font>
      <b/>
      <sz val="11"/>
      <name val="Calibri"/>
      <family val="1"/>
      <scheme val="minor"/>
    </font>
    <font>
      <sz val="8"/>
      <color theme="1"/>
      <name val="Calibri"/>
      <family val="1"/>
      <scheme val="minor"/>
    </font>
    <font>
      <sz val="10"/>
      <color theme="1"/>
      <name val="Calibri"/>
      <family val="1"/>
      <scheme val="minor"/>
    </font>
    <font>
      <sz val="8"/>
      <name val="Calibri"/>
      <family val="1"/>
      <scheme val="minor"/>
    </font>
    <font>
      <u val="singleAccounting"/>
      <sz val="10"/>
      <color theme="1"/>
      <name val="Calibri"/>
      <family val="1"/>
      <scheme val="minor"/>
    </font>
    <font>
      <b/>
      <sz val="11"/>
      <color theme="1"/>
      <name val="Calibri"/>
      <family val="1"/>
      <scheme val="minor"/>
    </font>
    <font>
      <sz val="8"/>
      <color rgb="FFC00000"/>
      <name val="Calibri"/>
      <family val="1"/>
      <scheme val="minor"/>
    </font>
    <font>
      <sz val="10"/>
      <color rgb="FF000000"/>
      <name val="Calibri"/>
      <family val="1"/>
      <scheme val="minor"/>
    </font>
    <font>
      <b/>
      <sz val="11"/>
      <color rgb="FFC00000"/>
      <name val="Calibri"/>
      <family val="1"/>
      <scheme val="minor"/>
    </font>
    <font>
      <sz val="8"/>
      <color rgb="FF000000"/>
      <name val="Calibri"/>
      <family val="1"/>
      <scheme val="minor"/>
    </font>
    <font>
      <sz val="11"/>
      <color rgb="FFC00000"/>
      <name val="Calibri"/>
      <family val="1"/>
      <scheme val="minor"/>
    </font>
    <font>
      <sz val="11"/>
      <name val="Calibri"/>
      <family val="1"/>
      <scheme val="minor"/>
    </font>
    <font>
      <b/>
      <sz val="14"/>
      <name val="Calibri"/>
      <family val="1"/>
      <scheme val="minor"/>
    </font>
    <font>
      <sz val="10"/>
      <name val="Calibri"/>
      <family val="1"/>
      <scheme val="minor"/>
    </font>
    <font>
      <b/>
      <sz val="11"/>
      <color theme="1"/>
      <name val="Sylfaen"/>
      <family val="1"/>
    </font>
    <font>
      <sz val="9"/>
      <name val="Sylfaen"/>
      <family val="1"/>
    </font>
    <font>
      <b/>
      <sz val="9"/>
      <name val="Sylfaen"/>
      <family val="1"/>
    </font>
    <font>
      <sz val="9"/>
      <color theme="1"/>
      <name val="Sylfaen"/>
      <family val="1"/>
    </font>
    <font>
      <b/>
      <sz val="8"/>
      <color theme="0"/>
      <name val="Calibri"/>
      <family val="2"/>
      <charset val="238"/>
      <scheme val="minor"/>
    </font>
    <font>
      <sz val="10"/>
      <color theme="1"/>
      <name val="Calibri"/>
      <family val="2"/>
      <scheme val="minor"/>
    </font>
    <font>
      <sz val="9"/>
      <color theme="1"/>
      <name val="Calibri"/>
      <family val="2"/>
      <scheme val="minor"/>
    </font>
    <font>
      <sz val="8"/>
      <color theme="1"/>
      <name val="Calibri"/>
      <family val="2"/>
      <scheme val="minor"/>
    </font>
    <font>
      <b/>
      <sz val="8"/>
      <color rgb="FFC00000"/>
      <name val="Arial Narrow"/>
      <family val="2"/>
    </font>
    <font>
      <sz val="10"/>
      <color rgb="FFC00000"/>
      <name val="Symbol"/>
      <family val="1"/>
      <charset val="2"/>
    </font>
    <font>
      <sz val="7"/>
      <color rgb="FFC00000"/>
      <name val="Times New Roman"/>
      <family val="1"/>
    </font>
    <font>
      <sz val="11"/>
      <color theme="1"/>
      <name val="Cambria"/>
      <family val="1"/>
    </font>
    <font>
      <sz val="10"/>
      <color rgb="FFFF0000"/>
      <name val="Sylfaen"/>
      <family val="1"/>
    </font>
    <font>
      <u val="singleAccounting"/>
      <sz val="10"/>
      <color theme="1"/>
      <name val="Calibri"/>
      <family val="2"/>
      <scheme val="minor"/>
    </font>
    <font>
      <sz val="8"/>
      <color rgb="FFC00000"/>
      <name val="Symbol"/>
      <family val="1"/>
      <charset val="2"/>
    </font>
    <font>
      <sz val="8"/>
      <color rgb="FFC00000"/>
      <name val="Times New Roman"/>
      <family val="1"/>
    </font>
    <font>
      <sz val="11"/>
      <color rgb="FFC00000"/>
      <name val="Symbol"/>
      <family val="1"/>
      <charset val="2"/>
    </font>
    <font>
      <sz val="8"/>
      <color rgb="FFC00000"/>
      <name val="Sylfaen"/>
      <family val="1"/>
    </font>
    <font>
      <sz val="11"/>
      <color theme="1"/>
      <name val="Courier New"/>
      <family val="3"/>
    </font>
    <font>
      <sz val="11"/>
      <color rgb="FFC00000"/>
      <name val="Courier New"/>
      <family val="3"/>
    </font>
    <font>
      <sz val="8"/>
      <color rgb="FFFF0000"/>
      <name val="Sylfaen"/>
      <family val="1"/>
    </font>
    <font>
      <sz val="8"/>
      <color rgb="FFC00000"/>
      <name val="Courier New"/>
      <family val="3"/>
    </font>
    <font>
      <sz val="8"/>
      <color theme="1"/>
      <name val="Cambria"/>
      <family val="1"/>
    </font>
    <font>
      <sz val="10"/>
      <color rgb="FF000000"/>
      <name val="Sylfaen"/>
      <family val="2"/>
    </font>
    <font>
      <sz val="8"/>
      <color rgb="FF000000"/>
      <name val="Calibri"/>
      <family val="2"/>
      <scheme val="minor"/>
    </font>
    <font>
      <sz val="10"/>
      <color rgb="FFFF0000"/>
      <name val="Calibri"/>
      <family val="2"/>
      <scheme val="minor"/>
    </font>
    <font>
      <b/>
      <sz val="10"/>
      <color theme="1"/>
      <name val="Calibri"/>
      <family val="2"/>
      <scheme val="minor"/>
    </font>
    <font>
      <sz val="9"/>
      <color rgb="FF000000"/>
      <name val="Sylfaen"/>
      <family val="1"/>
    </font>
    <font>
      <sz val="8"/>
      <color theme="3" tint="-0.249977111117893"/>
      <name val="Sylfaen"/>
      <family val="1"/>
    </font>
    <font>
      <sz val="11"/>
      <name val="Calibri"/>
      <family val="2"/>
      <scheme val="minor"/>
    </font>
    <font>
      <b/>
      <sz val="11"/>
      <color rgb="FFC00000"/>
      <name val="Arial Narrow"/>
      <family val="2"/>
    </font>
    <font>
      <sz val="9"/>
      <color rgb="FFC00000"/>
      <name val="Symbol"/>
      <family val="1"/>
      <charset val="2"/>
    </font>
    <font>
      <sz val="10"/>
      <name val="Sylfaen"/>
      <family val="1"/>
    </font>
    <font>
      <sz val="8"/>
      <name val="Sylfaen"/>
      <family val="1"/>
    </font>
    <font>
      <i/>
      <sz val="10"/>
      <color rgb="FFFF0000"/>
      <name val="Sylfaen"/>
      <family val="1"/>
    </font>
    <font>
      <sz val="6"/>
      <color theme="1"/>
      <name val="Calibri"/>
      <family val="2"/>
      <scheme val="minor"/>
    </font>
    <font>
      <b/>
      <sz val="8"/>
      <color theme="1"/>
      <name val="Sylfaen"/>
      <family val="1"/>
    </font>
    <font>
      <b/>
      <sz val="8"/>
      <name val="Arial Narrow"/>
      <family val="2"/>
    </font>
    <font>
      <b/>
      <sz val="14"/>
      <name val="Arial Narrow"/>
      <family val="2"/>
    </font>
    <font>
      <sz val="8"/>
      <name val="Symbol"/>
      <family val="1"/>
      <charset val="2"/>
    </font>
    <font>
      <sz val="8"/>
      <name val="Times New Roman"/>
      <family val="1"/>
    </font>
    <font>
      <sz val="10"/>
      <name val="Calibri"/>
      <family val="2"/>
      <scheme val="minor"/>
    </font>
    <font>
      <sz val="8"/>
      <color rgb="FFFF0000"/>
      <name val="Symbol"/>
      <family val="1"/>
      <charset val="2"/>
    </font>
    <font>
      <sz val="7"/>
      <color rgb="FFFF0000"/>
      <name val="Times New Roman"/>
      <family val="1"/>
    </font>
    <font>
      <b/>
      <sz val="8"/>
      <color theme="0"/>
      <name val="Sylfaen"/>
      <family val="1"/>
    </font>
    <font>
      <b/>
      <sz val="8"/>
      <name val="Sylfaen"/>
      <family val="1"/>
    </font>
    <font>
      <b/>
      <u/>
      <sz val="8"/>
      <name val="Sylfaen"/>
      <family val="1"/>
    </font>
    <font>
      <u val="singleAccounting"/>
      <sz val="8"/>
      <color theme="1"/>
      <name val="Sylfaen"/>
      <family val="1"/>
    </font>
    <font>
      <sz val="8"/>
      <color rgb="FF000000"/>
      <name val="Sylfaen"/>
      <family val="1"/>
    </font>
    <font>
      <sz val="8"/>
      <name val="Calibri"/>
      <family val="2"/>
      <scheme val="minor"/>
    </font>
    <font>
      <sz val="8"/>
      <color rgb="FFFF0000"/>
      <name val="Calibri"/>
      <family val="2"/>
      <scheme val="minor"/>
    </font>
    <font>
      <b/>
      <sz val="8"/>
      <color rgb="FFFF0000"/>
      <name val="Sylfaen"/>
      <family val="1"/>
    </font>
    <font>
      <b/>
      <sz val="8"/>
      <color rgb="FFC00000"/>
      <name val="Sylfaen"/>
      <family val="1"/>
    </font>
    <font>
      <sz val="8"/>
      <color theme="0"/>
      <name val="Sylfaen"/>
      <family val="1"/>
    </font>
    <font>
      <b/>
      <u val="singleAccounting"/>
      <sz val="8"/>
      <color rgb="FFC00000"/>
      <name val="Sylfaen"/>
      <family val="1"/>
    </font>
    <font>
      <b/>
      <sz val="15"/>
      <color theme="0"/>
      <name val="Sylfaen"/>
      <family val="1"/>
    </font>
  </fonts>
  <fills count="21">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FF0000"/>
        <bgColor indexed="64"/>
      </patternFill>
    </fill>
    <fill>
      <patternFill patternType="solid">
        <fgColor rgb="FFAE121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7030A0"/>
        <bgColor indexed="64"/>
      </patternFill>
    </fill>
    <fill>
      <patternFill patternType="solid">
        <fgColor rgb="FF92D050"/>
        <bgColor indexed="64"/>
      </patternFill>
    </fill>
    <fill>
      <patternFill patternType="solid">
        <fgColor theme="2" tint="-9.9978637043366805E-2"/>
        <bgColor indexed="64"/>
      </patternFill>
    </fill>
    <fill>
      <patternFill patternType="solid">
        <fgColor rgb="FFFFC000"/>
        <bgColor indexed="64"/>
      </patternFill>
    </fill>
    <fill>
      <patternFill patternType="solid">
        <fgColor theme="8" tint="0.59999389629810485"/>
        <bgColor indexed="64"/>
      </patternFill>
    </fill>
  </fills>
  <borders count="2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top style="thin">
        <color auto="1"/>
      </top>
      <bottom/>
      <diagonal/>
    </border>
    <border>
      <left/>
      <right style="thin">
        <color auto="1"/>
      </right>
      <top/>
      <bottom style="thin">
        <color auto="1"/>
      </bottom>
      <diagonal/>
    </border>
    <border>
      <left/>
      <right style="medium">
        <color rgb="FFD3D3D3"/>
      </right>
      <top/>
      <bottom style="medium">
        <color rgb="FFD3D3D3"/>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style="medium">
        <color auto="1"/>
      </top>
      <bottom/>
      <diagonal/>
    </border>
    <border>
      <left/>
      <right/>
      <top/>
      <bottom style="medium">
        <color auto="1"/>
      </bottom>
      <diagonal/>
    </border>
  </borders>
  <cellStyleXfs count="2">
    <xf numFmtId="0" fontId="0" fillId="0" borderId="0"/>
    <xf numFmtId="164" fontId="1" fillId="0" borderId="0" applyFont="0" applyFill="0" applyBorder="0" applyAlignment="0" applyProtection="0"/>
  </cellStyleXfs>
  <cellXfs count="321">
    <xf numFmtId="0" fontId="0" fillId="0" borderId="0" xfId="0"/>
    <xf numFmtId="0" fontId="13" fillId="0" borderId="0" xfId="0" applyFont="1" applyAlignment="1">
      <alignment wrapText="1"/>
    </xf>
    <xf numFmtId="0" fontId="13" fillId="5" borderId="1" xfId="0" applyFont="1" applyFill="1" applyBorder="1" applyAlignment="1">
      <alignment wrapText="1"/>
    </xf>
    <xf numFmtId="164" fontId="16" fillId="5" borderId="1" xfId="1" applyFont="1" applyFill="1" applyBorder="1" applyAlignment="1">
      <alignment wrapText="1"/>
    </xf>
    <xf numFmtId="164" fontId="16" fillId="5" borderId="8" xfId="1" applyFont="1" applyFill="1" applyBorder="1" applyAlignment="1">
      <alignment wrapText="1"/>
    </xf>
    <xf numFmtId="0" fontId="15" fillId="2" borderId="1" xfId="0" applyFont="1" applyFill="1" applyBorder="1" applyAlignment="1">
      <alignment wrapText="1"/>
    </xf>
    <xf numFmtId="164" fontId="16" fillId="0" borderId="1" xfId="1" applyFont="1" applyBorder="1" applyAlignment="1">
      <alignment wrapText="1"/>
    </xf>
    <xf numFmtId="164" fontId="16" fillId="2" borderId="1" xfId="1" applyFont="1" applyFill="1" applyBorder="1" applyAlignment="1">
      <alignment wrapText="1"/>
    </xf>
    <xf numFmtId="164" fontId="16" fillId="0" borderId="1" xfId="1" applyFont="1" applyBorder="1" applyAlignment="1">
      <alignment horizontal="left" vertical="center" wrapText="1"/>
    </xf>
    <xf numFmtId="164" fontId="16" fillId="0" borderId="8" xfId="1" applyFont="1" applyBorder="1" applyAlignment="1">
      <alignment wrapText="1"/>
    </xf>
    <xf numFmtId="0" fontId="15" fillId="2" borderId="1" xfId="0" applyFont="1" applyFill="1" applyBorder="1" applyAlignment="1">
      <alignment vertical="center" wrapText="1"/>
    </xf>
    <xf numFmtId="164" fontId="18" fillId="0" borderId="1" xfId="1" applyFont="1" applyBorder="1" applyAlignment="1">
      <alignment wrapText="1"/>
    </xf>
    <xf numFmtId="164" fontId="16" fillId="0" borderId="1" xfId="1" applyFont="1" applyBorder="1" applyAlignment="1">
      <alignment horizontal="left" vertical="top" wrapText="1"/>
    </xf>
    <xf numFmtId="164" fontId="16" fillId="0" borderId="1" xfId="1" applyFont="1" applyBorder="1" applyAlignment="1">
      <alignment horizontal="right" vertical="top" wrapText="1"/>
    </xf>
    <xf numFmtId="0" fontId="13" fillId="2" borderId="1" xfId="0" applyFont="1" applyFill="1" applyBorder="1" applyAlignment="1">
      <alignment wrapText="1"/>
    </xf>
    <xf numFmtId="0" fontId="13" fillId="2" borderId="1" xfId="0" applyFont="1" applyFill="1" applyBorder="1" applyAlignment="1">
      <alignment horizontal="center" wrapText="1"/>
    </xf>
    <xf numFmtId="0" fontId="13" fillId="0" borderId="1" xfId="0" applyFont="1" applyBorder="1" applyAlignment="1">
      <alignment wrapText="1"/>
    </xf>
    <xf numFmtId="164" fontId="21" fillId="0" borderId="1" xfId="1" applyFont="1" applyFill="1" applyBorder="1" applyAlignment="1">
      <alignment horizontal="center" vertical="top" wrapText="1"/>
    </xf>
    <xf numFmtId="164" fontId="16" fillId="0" borderId="1" xfId="1" applyFont="1" applyBorder="1" applyAlignment="1">
      <alignment horizontal="center" vertical="center" wrapText="1"/>
    </xf>
    <xf numFmtId="164" fontId="16" fillId="2" borderId="1" xfId="1" applyFont="1" applyFill="1" applyBorder="1" applyAlignment="1">
      <alignment horizontal="center" vertical="center" wrapText="1"/>
    </xf>
    <xf numFmtId="164" fontId="21" fillId="0" borderId="1" xfId="1" applyFont="1" applyFill="1" applyBorder="1" applyAlignment="1">
      <alignment horizontal="center" vertical="center" wrapText="1"/>
    </xf>
    <xf numFmtId="0" fontId="13" fillId="5" borderId="1" xfId="0" applyFont="1" applyFill="1" applyBorder="1" applyAlignment="1">
      <alignment horizontal="left" vertical="top" wrapText="1"/>
    </xf>
    <xf numFmtId="0" fontId="15" fillId="5" borderId="1" xfId="0" applyFont="1" applyFill="1" applyBorder="1" applyAlignment="1">
      <alignment wrapText="1"/>
    </xf>
    <xf numFmtId="0" fontId="23" fillId="2" borderId="1" xfId="0" applyNumberFormat="1" applyFont="1" applyFill="1" applyBorder="1" applyAlignment="1">
      <alignment horizontal="center" vertical="center" wrapText="1"/>
    </xf>
    <xf numFmtId="0" fontId="13" fillId="0" borderId="2" xfId="0" applyFont="1" applyBorder="1" applyAlignment="1">
      <alignment wrapText="1"/>
    </xf>
    <xf numFmtId="164" fontId="8" fillId="2" borderId="1" xfId="1" applyFont="1" applyFill="1" applyBorder="1" applyAlignment="1">
      <alignment horizontal="center" vertical="center" wrapText="1"/>
    </xf>
    <xf numFmtId="164" fontId="19" fillId="6" borderId="7" xfId="0" applyNumberFormat="1" applyFont="1" applyFill="1" applyBorder="1" applyAlignment="1">
      <alignment vertical="center" wrapText="1"/>
    </xf>
    <xf numFmtId="0" fontId="13" fillId="6" borderId="1" xfId="0" applyFont="1" applyFill="1" applyBorder="1" applyAlignment="1">
      <alignment horizontal="left" vertical="top" wrapText="1"/>
    </xf>
    <xf numFmtId="0" fontId="13" fillId="6" borderId="1" xfId="0" applyFont="1" applyFill="1" applyBorder="1" applyAlignment="1">
      <alignment wrapText="1"/>
    </xf>
    <xf numFmtId="164" fontId="13" fillId="6" borderId="1" xfId="0" applyNumberFormat="1" applyFont="1" applyFill="1" applyBorder="1" applyAlignment="1">
      <alignment wrapText="1"/>
    </xf>
    <xf numFmtId="164" fontId="13" fillId="6" borderId="8" xfId="0" applyNumberFormat="1" applyFont="1" applyFill="1" applyBorder="1" applyAlignment="1">
      <alignment wrapText="1"/>
    </xf>
    <xf numFmtId="0" fontId="20" fillId="2" borderId="1" xfId="0" applyFont="1" applyFill="1" applyBorder="1" applyAlignment="1">
      <alignment horizontal="justify" wrapText="1"/>
    </xf>
    <xf numFmtId="0" fontId="13" fillId="2" borderId="0" xfId="0" applyFont="1" applyFill="1" applyAlignment="1">
      <alignment wrapText="1"/>
    </xf>
    <xf numFmtId="0" fontId="24" fillId="0" borderId="1" xfId="0" applyFont="1" applyBorder="1" applyAlignment="1">
      <alignment horizontal="left" vertical="top" wrapText="1"/>
    </xf>
    <xf numFmtId="0" fontId="25" fillId="2" borderId="1" xfId="0" applyFont="1" applyFill="1" applyBorder="1" applyAlignment="1">
      <alignment wrapText="1"/>
    </xf>
    <xf numFmtId="164" fontId="13" fillId="0" borderId="0" xfId="0" applyNumberFormat="1" applyFont="1" applyAlignment="1">
      <alignment wrapText="1"/>
    </xf>
    <xf numFmtId="164" fontId="19" fillId="6" borderId="7" xfId="1" applyFont="1" applyFill="1" applyBorder="1" applyAlignment="1">
      <alignment vertical="center" wrapText="1"/>
    </xf>
    <xf numFmtId="164" fontId="13" fillId="6" borderId="1" xfId="1" applyFont="1" applyFill="1" applyBorder="1" applyAlignment="1">
      <alignment wrapText="1"/>
    </xf>
    <xf numFmtId="164" fontId="13" fillId="6" borderId="8" xfId="1" applyFont="1" applyFill="1" applyBorder="1" applyAlignment="1">
      <alignment wrapText="1"/>
    </xf>
    <xf numFmtId="0" fontId="15" fillId="2" borderId="1" xfId="0" applyFont="1" applyFill="1" applyBorder="1" applyAlignment="1">
      <alignment horizontal="center" wrapText="1"/>
    </xf>
    <xf numFmtId="164" fontId="14" fillId="6" borderId="7" xfId="1" applyFont="1" applyFill="1" applyBorder="1" applyAlignment="1">
      <alignment vertical="center" wrapText="1"/>
    </xf>
    <xf numFmtId="164" fontId="16" fillId="6" borderId="1" xfId="1" applyFont="1" applyFill="1" applyBorder="1" applyAlignment="1">
      <alignment wrapText="1"/>
    </xf>
    <xf numFmtId="164" fontId="16" fillId="6" borderId="8" xfId="1" applyFont="1" applyFill="1" applyBorder="1" applyAlignment="1">
      <alignment wrapText="1"/>
    </xf>
    <xf numFmtId="0" fontId="15" fillId="2" borderId="1" xfId="0" applyFont="1" applyFill="1" applyBorder="1" applyAlignment="1">
      <alignment horizontal="center" vertical="center" textRotation="90" wrapText="1"/>
    </xf>
    <xf numFmtId="0" fontId="15" fillId="2" borderId="1" xfId="0" applyFont="1" applyFill="1" applyBorder="1" applyAlignment="1">
      <alignment vertical="center" textRotation="90" wrapText="1"/>
    </xf>
    <xf numFmtId="0" fontId="26" fillId="4" borderId="10" xfId="0" applyFont="1" applyFill="1" applyBorder="1" applyAlignment="1">
      <alignment horizontal="center" vertical="top" wrapText="1"/>
    </xf>
    <xf numFmtId="0" fontId="26" fillId="4" borderId="10" xfId="0" applyFont="1" applyFill="1" applyBorder="1" applyAlignment="1">
      <alignment horizontal="justify" vertical="top" wrapText="1"/>
    </xf>
    <xf numFmtId="0" fontId="19" fillId="0" borderId="0" xfId="0" applyFont="1" applyAlignment="1">
      <alignment vertical="center" wrapText="1"/>
    </xf>
    <xf numFmtId="164" fontId="19" fillId="6" borderId="7" xfId="1" applyFont="1" applyFill="1" applyBorder="1" applyAlignment="1">
      <alignment horizontal="left" vertical="center" wrapText="1"/>
    </xf>
    <xf numFmtId="0" fontId="24" fillId="2" borderId="1" xfId="0" applyFont="1" applyFill="1" applyBorder="1" applyAlignment="1">
      <alignment horizontal="left" vertical="top" wrapText="1"/>
    </xf>
    <xf numFmtId="0" fontId="25" fillId="0" borderId="1" xfId="0" applyFont="1" applyBorder="1" applyAlignment="1">
      <alignment horizontal="left" vertical="top" wrapText="1"/>
    </xf>
    <xf numFmtId="0" fontId="13" fillId="0" borderId="1" xfId="0" applyFont="1" applyBorder="1" applyAlignment="1">
      <alignment horizontal="left" vertical="top" wrapText="1"/>
    </xf>
    <xf numFmtId="0" fontId="25" fillId="2" borderId="1" xfId="0" applyFont="1" applyFill="1" applyBorder="1" applyAlignment="1">
      <alignment horizontal="left" vertical="top" wrapText="1"/>
    </xf>
    <xf numFmtId="0" fontId="14" fillId="4" borderId="10" xfId="0" applyFont="1" applyFill="1" applyBorder="1" applyAlignment="1">
      <alignment horizontal="left" vertical="top" wrapText="1"/>
    </xf>
    <xf numFmtId="0" fontId="13" fillId="0" borderId="0" xfId="0" applyFont="1" applyAlignment="1">
      <alignment horizontal="left" vertical="top" wrapText="1"/>
    </xf>
    <xf numFmtId="0" fontId="25" fillId="2" borderId="1" xfId="0" applyFont="1" applyFill="1" applyBorder="1" applyAlignment="1">
      <alignment horizontal="center" vertical="top" wrapText="1"/>
    </xf>
    <xf numFmtId="0" fontId="25" fillId="5" borderId="1" xfId="0" applyFont="1" applyFill="1" applyBorder="1" applyAlignment="1">
      <alignment horizontal="center" vertical="top" wrapText="1"/>
    </xf>
    <xf numFmtId="0" fontId="17" fillId="2" borderId="1" xfId="0" applyFont="1" applyFill="1" applyBorder="1" applyAlignment="1">
      <alignment horizontal="center" vertical="top" wrapText="1"/>
    </xf>
    <xf numFmtId="0" fontId="17" fillId="0" borderId="1" xfId="0" applyFont="1" applyBorder="1" applyAlignment="1">
      <alignment horizontal="center" vertical="top" wrapText="1"/>
    </xf>
    <xf numFmtId="0" fontId="25" fillId="0" borderId="1" xfId="0" applyFont="1" applyBorder="1" applyAlignment="1">
      <alignment horizontal="center" vertical="top" wrapText="1"/>
    </xf>
    <xf numFmtId="0" fontId="17" fillId="5" borderId="1" xfId="0" applyFont="1" applyFill="1" applyBorder="1" applyAlignment="1">
      <alignment horizontal="center" vertical="top" wrapText="1"/>
    </xf>
    <xf numFmtId="0" fontId="17" fillId="0" borderId="1" xfId="0" applyNumberFormat="1" applyFont="1" applyFill="1" applyBorder="1" applyAlignment="1">
      <alignment horizontal="center" vertical="top" wrapText="1"/>
    </xf>
    <xf numFmtId="0" fontId="17" fillId="0" borderId="1" xfId="0" applyFont="1" applyFill="1" applyBorder="1" applyAlignment="1">
      <alignment horizontal="center" vertical="top" wrapText="1"/>
    </xf>
    <xf numFmtId="0" fontId="25" fillId="6" borderId="1" xfId="0" applyFont="1" applyFill="1" applyBorder="1" applyAlignment="1">
      <alignment horizontal="center" vertical="top" wrapText="1"/>
    </xf>
    <xf numFmtId="0" fontId="17" fillId="0" borderId="1" xfId="0" applyFont="1" applyBorder="1" applyAlignment="1">
      <alignment horizontal="center" vertical="center" wrapText="1"/>
    </xf>
    <xf numFmtId="164" fontId="27" fillId="5" borderId="1" xfId="1" applyFont="1" applyFill="1" applyBorder="1" applyAlignment="1">
      <alignment horizontal="center" vertical="top" wrapText="1"/>
    </xf>
    <xf numFmtId="0" fontId="25" fillId="0" borderId="0" xfId="0" applyFont="1" applyAlignment="1">
      <alignment horizontal="center" vertical="top" wrapText="1"/>
    </xf>
    <xf numFmtId="164" fontId="12" fillId="3" borderId="1" xfId="0" applyNumberFormat="1" applyFont="1" applyFill="1" applyBorder="1" applyAlignment="1">
      <alignment horizontal="left" vertical="center" wrapText="1"/>
    </xf>
    <xf numFmtId="0" fontId="12" fillId="3" borderId="1" xfId="0" applyFont="1" applyFill="1" applyBorder="1" applyAlignment="1">
      <alignment horizontal="left" vertical="center" wrapText="1"/>
    </xf>
    <xf numFmtId="0" fontId="11" fillId="3" borderId="5" xfId="0" applyFont="1" applyFill="1" applyBorder="1" applyAlignment="1">
      <alignment wrapText="1"/>
    </xf>
    <xf numFmtId="0" fontId="11" fillId="3" borderId="6" xfId="0" applyFont="1" applyFill="1" applyBorder="1" applyAlignment="1">
      <alignment wrapText="1"/>
    </xf>
    <xf numFmtId="0" fontId="12" fillId="3" borderId="8" xfId="0" applyFont="1" applyFill="1" applyBorder="1" applyAlignment="1">
      <alignment horizontal="left" vertical="center" wrapText="1"/>
    </xf>
    <xf numFmtId="164" fontId="14" fillId="6" borderId="7" xfId="0" applyNumberFormat="1" applyFont="1" applyFill="1" applyBorder="1" applyAlignment="1">
      <alignment vertical="center" wrapText="1"/>
    </xf>
    <xf numFmtId="0" fontId="14" fillId="4" borderId="9" xfId="0" applyFont="1" applyFill="1" applyBorder="1" applyAlignment="1">
      <alignment horizontal="justify" vertical="top" wrapText="1"/>
    </xf>
    <xf numFmtId="0" fontId="26" fillId="4" borderId="11" xfId="0" applyFont="1" applyFill="1" applyBorder="1" applyAlignment="1">
      <alignment horizontal="justify" vertical="top" wrapText="1"/>
    </xf>
    <xf numFmtId="0" fontId="2" fillId="0" borderId="0" xfId="0" applyFont="1" applyAlignment="1">
      <alignment wrapText="1"/>
    </xf>
    <xf numFmtId="0" fontId="2" fillId="0" borderId="1" xfId="0" applyFont="1" applyBorder="1" applyAlignment="1">
      <alignment wrapText="1"/>
    </xf>
    <xf numFmtId="0" fontId="2" fillId="0" borderId="2" xfId="0" applyFont="1" applyBorder="1" applyAlignment="1">
      <alignment wrapText="1"/>
    </xf>
    <xf numFmtId="0" fontId="2" fillId="2" borderId="0" xfId="0" applyFont="1" applyFill="1" applyAlignment="1">
      <alignment wrapText="1"/>
    </xf>
    <xf numFmtId="0" fontId="2" fillId="0" borderId="0" xfId="0" applyFont="1" applyAlignment="1">
      <alignment horizontal="left" vertical="top" wrapText="1"/>
    </xf>
    <xf numFmtId="164" fontId="2" fillId="0" borderId="1" xfId="1" applyFont="1" applyBorder="1" applyAlignment="1">
      <alignment wrapText="1"/>
    </xf>
    <xf numFmtId="164" fontId="2" fillId="2" borderId="1" xfId="1" applyFont="1" applyFill="1" applyBorder="1" applyAlignment="1">
      <alignment wrapText="1"/>
    </xf>
    <xf numFmtId="0" fontId="29" fillId="0" borderId="1" xfId="0" applyFont="1" applyBorder="1" applyAlignment="1">
      <alignment vertical="center" wrapText="1"/>
    </xf>
    <xf numFmtId="0" fontId="7" fillId="0" borderId="0" xfId="0" applyFont="1" applyAlignment="1">
      <alignment vertical="center" wrapText="1"/>
    </xf>
    <xf numFmtId="0" fontId="2" fillId="0" borderId="1" xfId="0" applyFont="1" applyFill="1" applyBorder="1" applyAlignment="1">
      <alignment horizontal="left" vertical="top" wrapText="1"/>
    </xf>
    <xf numFmtId="0" fontId="0" fillId="0" borderId="1" xfId="0" applyBorder="1"/>
    <xf numFmtId="0" fontId="32" fillId="3" borderId="13" xfId="0" applyFont="1" applyFill="1" applyBorder="1" applyAlignment="1">
      <alignment vertical="center"/>
    </xf>
    <xf numFmtId="0" fontId="0" fillId="0" borderId="1" xfId="0" applyBorder="1" applyAlignment="1">
      <alignment horizontal="center"/>
    </xf>
    <xf numFmtId="0" fontId="34" fillId="0" borderId="1" xfId="0" applyFont="1" applyBorder="1" applyAlignment="1">
      <alignment vertical="center" wrapText="1"/>
    </xf>
    <xf numFmtId="0" fontId="34" fillId="0" borderId="0" xfId="0" applyFont="1" applyAlignment="1">
      <alignment vertical="center" wrapText="1"/>
    </xf>
    <xf numFmtId="0" fontId="32" fillId="3" borderId="3" xfId="0" applyFont="1" applyFill="1" applyBorder="1" applyAlignment="1">
      <alignment vertical="center"/>
    </xf>
    <xf numFmtId="0" fontId="33" fillId="0" borderId="1" xfId="0" applyFont="1" applyBorder="1" applyAlignment="1">
      <alignment horizontal="left" vertical="center" wrapText="1"/>
    </xf>
    <xf numFmtId="164" fontId="33" fillId="0" borderId="1" xfId="0" applyNumberFormat="1" applyFont="1" applyBorder="1" applyAlignment="1">
      <alignment horizontal="left" vertical="center" wrapText="1"/>
    </xf>
    <xf numFmtId="0" fontId="33" fillId="0" borderId="1" xfId="0" applyFont="1" applyFill="1" applyBorder="1" applyAlignment="1">
      <alignment horizontal="left" vertical="center" wrapText="1"/>
    </xf>
    <xf numFmtId="164" fontId="33" fillId="6" borderId="1" xfId="0" applyNumberFormat="1" applyFont="1" applyFill="1" applyBorder="1" applyAlignment="1">
      <alignment vertical="center" wrapText="1"/>
    </xf>
    <xf numFmtId="165" fontId="0" fillId="6" borderId="1" xfId="0" applyNumberFormat="1" applyFill="1" applyBorder="1"/>
    <xf numFmtId="165" fontId="35" fillId="6" borderId="1" xfId="0" applyNumberFormat="1" applyFont="1" applyFill="1" applyBorder="1"/>
    <xf numFmtId="0" fontId="36" fillId="10" borderId="1" xfId="0" applyFont="1" applyFill="1" applyBorder="1" applyAlignment="1">
      <alignment horizontal="justify" vertical="top"/>
    </xf>
    <xf numFmtId="165" fontId="33" fillId="5" borderId="1" xfId="1" applyNumberFormat="1" applyFont="1" applyFill="1" applyBorder="1"/>
    <xf numFmtId="0" fontId="35" fillId="0" borderId="13" xfId="0" applyFont="1" applyBorder="1" applyAlignment="1">
      <alignment vertical="center" wrapText="1"/>
    </xf>
    <xf numFmtId="0" fontId="35" fillId="9" borderId="1" xfId="0" applyFont="1" applyFill="1" applyBorder="1"/>
    <xf numFmtId="165" fontId="33" fillId="0" borderId="1" xfId="1" applyNumberFormat="1" applyFont="1" applyBorder="1"/>
    <xf numFmtId="165" fontId="33" fillId="2" borderId="1" xfId="1" applyNumberFormat="1" applyFont="1" applyFill="1" applyBorder="1"/>
    <xf numFmtId="0" fontId="35" fillId="6" borderId="1" xfId="0" applyFont="1" applyFill="1" applyBorder="1"/>
    <xf numFmtId="0" fontId="35" fillId="0" borderId="16" xfId="0" applyFont="1" applyBorder="1" applyAlignment="1">
      <alignment vertical="center" wrapText="1"/>
    </xf>
    <xf numFmtId="0" fontId="37" fillId="0" borderId="0" xfId="0" applyFont="1" applyAlignment="1">
      <alignment horizontal="justify"/>
    </xf>
    <xf numFmtId="165" fontId="33" fillId="0" borderId="1" xfId="1" applyNumberFormat="1" applyFont="1" applyBorder="1" applyAlignment="1">
      <alignment horizontal="left" vertical="center" wrapText="1"/>
    </xf>
    <xf numFmtId="0" fontId="35" fillId="11" borderId="13" xfId="0" applyFont="1" applyFill="1" applyBorder="1" applyAlignment="1">
      <alignment vertical="center" wrapText="1"/>
    </xf>
    <xf numFmtId="0" fontId="40" fillId="0" borderId="0" xfId="0" applyFont="1" applyAlignment="1">
      <alignment horizontal="justify"/>
    </xf>
    <xf numFmtId="0" fontId="35" fillId="11" borderId="3" xfId="0" applyFont="1" applyFill="1" applyBorder="1" applyAlignment="1">
      <alignment vertical="center" wrapText="1"/>
    </xf>
    <xf numFmtId="0" fontId="0" fillId="0" borderId="18" xfId="0" applyBorder="1" applyAlignment="1"/>
    <xf numFmtId="165" fontId="33" fillId="0" borderId="0" xfId="1" applyNumberFormat="1" applyFont="1"/>
    <xf numFmtId="165" fontId="41" fillId="0" borderId="1" xfId="1" applyNumberFormat="1" applyFont="1" applyBorder="1"/>
    <xf numFmtId="0" fontId="0" fillId="0" borderId="14" xfId="0" applyBorder="1"/>
    <xf numFmtId="164" fontId="0" fillId="0" borderId="2" xfId="1" applyFont="1" applyBorder="1"/>
    <xf numFmtId="0" fontId="0" fillId="0" borderId="2" xfId="0" applyBorder="1"/>
    <xf numFmtId="0" fontId="35" fillId="0" borderId="1" xfId="0" applyFont="1" applyBorder="1"/>
    <xf numFmtId="0" fontId="35" fillId="0" borderId="17" xfId="0" applyFont="1" applyBorder="1" applyAlignment="1">
      <alignment vertical="center" wrapText="1"/>
    </xf>
    <xf numFmtId="0" fontId="42" fillId="0" borderId="1" xfId="0" applyFont="1" applyBorder="1" applyAlignment="1">
      <alignment horizontal="justify"/>
    </xf>
    <xf numFmtId="0" fontId="44" fillId="0" borderId="0" xfId="0" applyFont="1" applyAlignment="1">
      <alignment horizontal="justify"/>
    </xf>
    <xf numFmtId="4" fontId="31" fillId="0" borderId="19" xfId="0" applyNumberFormat="1" applyFont="1" applyBorder="1" applyAlignment="1">
      <alignment horizontal="right" vertical="top" wrapText="1"/>
    </xf>
    <xf numFmtId="165" fontId="3" fillId="0" borderId="19" xfId="1" applyNumberFormat="1" applyFont="1" applyBorder="1" applyAlignment="1">
      <alignment horizontal="left" vertical="top" wrapText="1" indent="2"/>
    </xf>
    <xf numFmtId="165" fontId="3" fillId="0" borderId="19" xfId="1" applyNumberFormat="1" applyFont="1" applyBorder="1" applyAlignment="1">
      <alignment horizontal="right" vertical="top" wrapText="1"/>
    </xf>
    <xf numFmtId="0" fontId="42" fillId="7" borderId="1" xfId="0" applyFont="1" applyFill="1" applyBorder="1" applyAlignment="1">
      <alignment horizontal="justify"/>
    </xf>
    <xf numFmtId="0" fontId="45" fillId="0" borderId="1" xfId="0" applyFont="1" applyBorder="1" applyAlignment="1">
      <alignment horizontal="justify"/>
    </xf>
    <xf numFmtId="0" fontId="0" fillId="11" borderId="1" xfId="0" applyFill="1" applyBorder="1"/>
    <xf numFmtId="0" fontId="35" fillId="11" borderId="1" xfId="0" applyFont="1" applyFill="1" applyBorder="1"/>
    <xf numFmtId="0" fontId="46" fillId="0" borderId="0" xfId="0" applyFont="1" applyAlignment="1">
      <alignment horizontal="justify"/>
    </xf>
    <xf numFmtId="0" fontId="2" fillId="0" borderId="0" xfId="0" applyFont="1"/>
    <xf numFmtId="0" fontId="47" fillId="0" borderId="0" xfId="0" applyFont="1" applyAlignment="1">
      <alignment horizontal="justify"/>
    </xf>
    <xf numFmtId="0" fontId="49" fillId="0" borderId="1" xfId="0" applyFont="1" applyBorder="1" applyAlignment="1">
      <alignment horizontal="justify"/>
    </xf>
    <xf numFmtId="0" fontId="35" fillId="11" borderId="20" xfId="0" applyFont="1" applyFill="1" applyBorder="1"/>
    <xf numFmtId="165" fontId="0" fillId="0" borderId="0" xfId="0" applyNumberFormat="1"/>
    <xf numFmtId="165" fontId="51" fillId="0" borderId="21" xfId="1" applyNumberFormat="1" applyFont="1" applyFill="1" applyBorder="1" applyAlignment="1">
      <alignment horizontal="center" vertical="top" wrapText="1" readingOrder="1"/>
    </xf>
    <xf numFmtId="165" fontId="33" fillId="0" borderId="1" xfId="1" applyNumberFormat="1" applyFont="1" applyBorder="1" applyAlignment="1">
      <alignment horizontal="center" vertical="center"/>
    </xf>
    <xf numFmtId="0" fontId="42" fillId="0" borderId="1" xfId="0" applyFont="1" applyBorder="1" applyAlignment="1">
      <alignment horizontal="left" vertical="center" wrapText="1"/>
    </xf>
    <xf numFmtId="164" fontId="33" fillId="2" borderId="1" xfId="1" applyFont="1" applyFill="1" applyBorder="1" applyAlignment="1">
      <alignment horizontal="center" vertical="center"/>
    </xf>
    <xf numFmtId="165" fontId="33" fillId="2" borderId="1" xfId="1" applyNumberFormat="1" applyFont="1" applyFill="1" applyBorder="1" applyAlignment="1">
      <alignment horizontal="center" vertical="center"/>
    </xf>
    <xf numFmtId="165" fontId="51" fillId="0" borderId="22" xfId="1" applyNumberFormat="1" applyFont="1" applyFill="1" applyBorder="1" applyAlignment="1">
      <alignment horizontal="center" vertical="center" wrapText="1"/>
    </xf>
    <xf numFmtId="165" fontId="51" fillId="0" borderId="0" xfId="1" applyNumberFormat="1" applyFont="1" applyFill="1" applyBorder="1" applyAlignment="1">
      <alignment horizontal="center" vertical="center" wrapText="1"/>
    </xf>
    <xf numFmtId="165" fontId="51" fillId="0" borderId="21" xfId="1" applyNumberFormat="1" applyFont="1" applyFill="1" applyBorder="1" applyAlignment="1">
      <alignment horizontal="center" vertical="center" wrapText="1"/>
    </xf>
    <xf numFmtId="0" fontId="52" fillId="0" borderId="20" xfId="0" applyNumberFormat="1" applyFont="1" applyFill="1" applyBorder="1" applyAlignment="1">
      <alignment horizontal="center" vertical="center" wrapText="1" readingOrder="1"/>
    </xf>
    <xf numFmtId="0" fontId="34" fillId="0" borderId="14" xfId="0" applyFont="1" applyBorder="1" applyAlignment="1">
      <alignment vertical="center" wrapText="1"/>
    </xf>
    <xf numFmtId="4" fontId="31" fillId="0" borderId="19" xfId="0" applyNumberFormat="1" applyFont="1" applyBorder="1" applyAlignment="1">
      <alignment horizontal="left" vertical="top" wrapText="1" indent="2"/>
    </xf>
    <xf numFmtId="165" fontId="53" fillId="12" borderId="1" xfId="1" applyNumberFormat="1" applyFont="1" applyFill="1" applyBorder="1"/>
    <xf numFmtId="164" fontId="0" fillId="0" borderId="0" xfId="1" applyFont="1"/>
    <xf numFmtId="165" fontId="33" fillId="2" borderId="0" xfId="1" applyNumberFormat="1" applyFont="1" applyFill="1"/>
    <xf numFmtId="165" fontId="54" fillId="2" borderId="1" xfId="1" applyNumberFormat="1" applyFont="1" applyFill="1" applyBorder="1" applyAlignment="1">
      <alignment horizontal="center" vertical="center"/>
    </xf>
    <xf numFmtId="0" fontId="35" fillId="13" borderId="1" xfId="0" applyFont="1" applyFill="1" applyBorder="1"/>
    <xf numFmtId="0" fontId="50" fillId="0" borderId="1" xfId="0" applyFont="1" applyBorder="1" applyAlignment="1">
      <alignment horizontal="justify"/>
    </xf>
    <xf numFmtId="164" fontId="2" fillId="0" borderId="0" xfId="1" applyFont="1"/>
    <xf numFmtId="0" fontId="35" fillId="6" borderId="1" xfId="0" applyFont="1" applyFill="1" applyBorder="1" applyAlignment="1">
      <alignment wrapText="1"/>
    </xf>
    <xf numFmtId="0" fontId="34" fillId="0" borderId="1" xfId="0" applyFont="1" applyFill="1" applyBorder="1" applyAlignment="1">
      <alignment horizontal="center" vertical="center" wrapText="1"/>
    </xf>
    <xf numFmtId="165" fontId="55" fillId="0" borderId="1" xfId="0" applyNumberFormat="1" applyFont="1" applyFill="1" applyBorder="1" applyAlignment="1">
      <alignment horizontal="center" vertical="center" wrapText="1"/>
    </xf>
    <xf numFmtId="0" fontId="6" fillId="0" borderId="1" xfId="0" applyFont="1" applyBorder="1"/>
    <xf numFmtId="0" fontId="35" fillId="0" borderId="20" xfId="0" applyFont="1" applyFill="1" applyBorder="1" applyAlignment="1">
      <alignment vertical="center" wrapText="1"/>
    </xf>
    <xf numFmtId="0" fontId="35" fillId="14" borderId="1" xfId="0" applyFont="1" applyFill="1" applyBorder="1"/>
    <xf numFmtId="0" fontId="35" fillId="7" borderId="20" xfId="0" applyFont="1" applyFill="1" applyBorder="1" applyAlignment="1">
      <alignment vertical="center" wrapText="1"/>
    </xf>
    <xf numFmtId="0" fontId="0" fillId="7" borderId="1" xfId="0" applyFill="1" applyBorder="1"/>
    <xf numFmtId="164" fontId="33" fillId="15" borderId="1" xfId="1" applyFont="1" applyFill="1" applyBorder="1" applyAlignment="1">
      <alignment vertical="center" wrapText="1"/>
    </xf>
    <xf numFmtId="165" fontId="33" fillId="15" borderId="1" xfId="1" applyNumberFormat="1" applyFont="1" applyFill="1" applyBorder="1"/>
    <xf numFmtId="0" fontId="42" fillId="2" borderId="1" xfId="0" applyFont="1" applyFill="1" applyBorder="1" applyAlignment="1">
      <alignment horizontal="justify"/>
    </xf>
    <xf numFmtId="0" fontId="57" fillId="16" borderId="1" xfId="0" applyFont="1" applyFill="1" applyBorder="1"/>
    <xf numFmtId="165" fontId="53" fillId="2" borderId="1" xfId="1" applyNumberFormat="1" applyFont="1" applyFill="1" applyBorder="1"/>
    <xf numFmtId="0" fontId="56" fillId="0" borderId="1" xfId="0" applyFont="1" applyBorder="1" applyAlignment="1">
      <alignment horizontal="justify"/>
    </xf>
    <xf numFmtId="0" fontId="0" fillId="17" borderId="1" xfId="0" applyFill="1" applyBorder="1"/>
    <xf numFmtId="0" fontId="58" fillId="0" borderId="14" xfId="0" applyFont="1" applyBorder="1" applyAlignment="1">
      <alignment horizontal="justify" vertical="top"/>
    </xf>
    <xf numFmtId="0" fontId="0" fillId="9" borderId="14" xfId="0" applyFill="1" applyBorder="1"/>
    <xf numFmtId="0" fontId="35" fillId="0" borderId="1" xfId="0" applyFont="1" applyBorder="1" applyAlignment="1">
      <alignment vertical="center" wrapText="1"/>
    </xf>
    <xf numFmtId="0" fontId="59" fillId="0" borderId="14" xfId="0" applyFont="1" applyBorder="1" applyAlignment="1">
      <alignment horizontal="justify"/>
    </xf>
    <xf numFmtId="165" fontId="33" fillId="7" borderId="1" xfId="1" applyNumberFormat="1" applyFont="1" applyFill="1" applyBorder="1"/>
    <xf numFmtId="165" fontId="33" fillId="9" borderId="1" xfId="1" applyNumberFormat="1" applyFont="1" applyFill="1" applyBorder="1"/>
    <xf numFmtId="164" fontId="33" fillId="6" borderId="1" xfId="1" applyFont="1" applyFill="1" applyBorder="1" applyAlignment="1">
      <alignment vertical="center" wrapText="1"/>
    </xf>
    <xf numFmtId="165" fontId="33" fillId="6" borderId="1" xfId="1" applyNumberFormat="1" applyFont="1" applyFill="1" applyBorder="1"/>
    <xf numFmtId="0" fontId="35" fillId="0" borderId="0" xfId="0" applyFont="1"/>
    <xf numFmtId="0" fontId="0" fillId="13" borderId="1" xfId="0" applyFill="1" applyBorder="1"/>
    <xf numFmtId="0" fontId="0" fillId="0" borderId="0" xfId="0" applyAlignment="1">
      <alignment horizontal="justify"/>
    </xf>
    <xf numFmtId="0" fontId="35" fillId="17" borderId="1" xfId="0" applyFont="1" applyFill="1" applyBorder="1"/>
    <xf numFmtId="0" fontId="61" fillId="0" borderId="1" xfId="0" applyFont="1" applyBorder="1" applyAlignment="1">
      <alignment horizontal="justify"/>
    </xf>
    <xf numFmtId="164" fontId="33" fillId="5" borderId="1" xfId="1" applyFont="1" applyFill="1" applyBorder="1"/>
    <xf numFmtId="0" fontId="35" fillId="0" borderId="13" xfId="0" applyFont="1" applyBorder="1" applyAlignment="1"/>
    <xf numFmtId="0" fontId="35" fillId="0" borderId="3" xfId="0" applyFont="1" applyBorder="1" applyAlignment="1"/>
    <xf numFmtId="0" fontId="35" fillId="0" borderId="3" xfId="0" applyFont="1" applyBorder="1" applyAlignment="1">
      <alignment horizontal="center"/>
    </xf>
    <xf numFmtId="0" fontId="35" fillId="0" borderId="3" xfId="0" applyFont="1" applyBorder="1" applyAlignment="1">
      <alignment horizontal="center" wrapText="1"/>
    </xf>
    <xf numFmtId="164" fontId="35" fillId="5" borderId="1" xfId="1" applyFont="1" applyFill="1" applyBorder="1" applyAlignment="1">
      <alignment vertical="center" wrapText="1"/>
    </xf>
    <xf numFmtId="0" fontId="37" fillId="0" borderId="0" xfId="0" applyFont="1" applyAlignment="1">
      <alignment horizontal="justify" vertical="center"/>
    </xf>
    <xf numFmtId="0" fontId="35" fillId="0" borderId="3" xfId="0" applyFont="1" applyBorder="1" applyAlignment="1">
      <alignment vertical="center" textRotation="90" wrapText="1"/>
    </xf>
    <xf numFmtId="0" fontId="36" fillId="0" borderId="1" xfId="0" applyFont="1" applyBorder="1" applyAlignment="1">
      <alignment horizontal="justify" vertical="top"/>
    </xf>
    <xf numFmtId="0" fontId="60" fillId="0" borderId="1" xfId="0" applyFont="1" applyBorder="1" applyAlignment="1">
      <alignment horizontal="justify"/>
    </xf>
    <xf numFmtId="0" fontId="63" fillId="0" borderId="1" xfId="0" applyFont="1" applyBorder="1" applyAlignment="1">
      <alignment vertical="center" wrapText="1"/>
    </xf>
    <xf numFmtId="0" fontId="0" fillId="14" borderId="1" xfId="0" applyFill="1" applyBorder="1"/>
    <xf numFmtId="164" fontId="33" fillId="6" borderId="1" xfId="1" applyFont="1" applyFill="1" applyBorder="1" applyAlignment="1">
      <alignment horizontal="left" vertical="center" wrapText="1"/>
    </xf>
    <xf numFmtId="164" fontId="35" fillId="5" borderId="1" xfId="1" applyFont="1" applyFill="1" applyBorder="1"/>
    <xf numFmtId="0" fontId="6" fillId="0" borderId="1" xfId="0" applyFont="1" applyBorder="1" applyAlignment="1">
      <alignment horizontal="justify"/>
    </xf>
    <xf numFmtId="0" fontId="65" fillId="4" borderId="1" xfId="0" applyFont="1" applyFill="1" applyBorder="1" applyAlignment="1">
      <alignment horizontal="justify" vertical="top"/>
    </xf>
    <xf numFmtId="0" fontId="66" fillId="4" borderId="1" xfId="0" applyFont="1" applyFill="1" applyBorder="1" applyAlignment="1">
      <alignment horizontal="justify" vertical="top"/>
    </xf>
    <xf numFmtId="165" fontId="66" fillId="4" borderId="1" xfId="0" applyNumberFormat="1" applyFont="1" applyFill="1" applyBorder="1" applyAlignment="1">
      <alignment horizontal="justify" vertical="top"/>
    </xf>
    <xf numFmtId="0" fontId="0" fillId="0" borderId="0" xfId="0" applyBorder="1"/>
    <xf numFmtId="0" fontId="42" fillId="0" borderId="1" xfId="0" applyFont="1" applyBorder="1" applyAlignment="1">
      <alignment horizontal="justify" wrapText="1"/>
    </xf>
    <xf numFmtId="0" fontId="48" fillId="0" borderId="1" xfId="0" applyFont="1" applyBorder="1" applyAlignment="1">
      <alignment vertical="center" wrapText="1"/>
    </xf>
    <xf numFmtId="0" fontId="57" fillId="14" borderId="1" xfId="0" applyFont="1" applyFill="1" applyBorder="1"/>
    <xf numFmtId="0" fontId="57" fillId="14" borderId="14" xfId="0" applyFont="1" applyFill="1" applyBorder="1"/>
    <xf numFmtId="0" fontId="67" fillId="14" borderId="1" xfId="0" applyFont="1" applyFill="1" applyBorder="1" applyAlignment="1">
      <alignment horizontal="justify"/>
    </xf>
    <xf numFmtId="164" fontId="69" fillId="14" borderId="1" xfId="1" applyFont="1" applyFill="1" applyBorder="1"/>
    <xf numFmtId="0" fontId="70" fillId="0" borderId="1" xfId="0" applyFont="1" applyBorder="1" applyAlignment="1">
      <alignment horizontal="justify"/>
    </xf>
    <xf numFmtId="0" fontId="37" fillId="18" borderId="1" xfId="0" applyFont="1" applyFill="1" applyBorder="1" applyAlignment="1">
      <alignment horizontal="justify" vertical="center"/>
    </xf>
    <xf numFmtId="0" fontId="2" fillId="0" borderId="0" xfId="0" applyFont="1" applyBorder="1" applyAlignment="1">
      <alignment wrapText="1"/>
    </xf>
    <xf numFmtId="165" fontId="33" fillId="0" borderId="0" xfId="1" applyNumberFormat="1" applyFont="1" applyBorder="1"/>
    <xf numFmtId="0" fontId="72" fillId="3" borderId="10" xfId="0" applyFont="1" applyFill="1" applyBorder="1" applyAlignment="1">
      <alignment horizontal="left" vertical="center" wrapText="1"/>
    </xf>
    <xf numFmtId="0" fontId="6" fillId="0" borderId="0" xfId="0" applyFont="1" applyAlignment="1">
      <alignment wrapText="1"/>
    </xf>
    <xf numFmtId="164" fontId="72" fillId="3" borderId="10" xfId="0" applyNumberFormat="1" applyFont="1" applyFill="1" applyBorder="1" applyAlignment="1">
      <alignment horizontal="left" vertical="center" wrapText="1"/>
    </xf>
    <xf numFmtId="164" fontId="73" fillId="6" borderId="12" xfId="0" applyNumberFormat="1" applyFont="1" applyFill="1" applyBorder="1" applyAlignment="1">
      <alignment vertical="center" wrapText="1"/>
    </xf>
    <xf numFmtId="0" fontId="6" fillId="6" borderId="3" xfId="0" applyFont="1" applyFill="1" applyBorder="1" applyAlignment="1">
      <alignment horizontal="left" vertical="top" wrapText="1"/>
    </xf>
    <xf numFmtId="164" fontId="6" fillId="6" borderId="3" xfId="0" applyNumberFormat="1" applyFont="1" applyFill="1" applyBorder="1" applyAlignment="1">
      <alignment wrapText="1"/>
    </xf>
    <xf numFmtId="0" fontId="6" fillId="5" borderId="1" xfId="0" applyFont="1" applyFill="1" applyBorder="1" applyAlignment="1">
      <alignment horizontal="left" vertical="top" wrapText="1"/>
    </xf>
    <xf numFmtId="0" fontId="61" fillId="5" borderId="1" xfId="0" applyFont="1" applyFill="1" applyBorder="1" applyAlignment="1">
      <alignment horizontal="center" vertical="top" wrapText="1"/>
    </xf>
    <xf numFmtId="164" fontId="6" fillId="5" borderId="1" xfId="1" applyFont="1" applyFill="1" applyBorder="1" applyAlignment="1">
      <alignment wrapText="1"/>
    </xf>
    <xf numFmtId="0" fontId="61" fillId="0" borderId="1" xfId="0" applyFont="1" applyBorder="1" applyAlignment="1">
      <alignment horizontal="left" vertical="top" wrapText="1"/>
    </xf>
    <xf numFmtId="164" fontId="6" fillId="0" borderId="1" xfId="1" applyFont="1" applyBorder="1" applyAlignment="1">
      <alignment wrapText="1"/>
    </xf>
    <xf numFmtId="164" fontId="6" fillId="2" borderId="1" xfId="1" applyFont="1" applyFill="1" applyBorder="1" applyAlignment="1">
      <alignment wrapText="1"/>
    </xf>
    <xf numFmtId="164" fontId="6" fillId="0" borderId="1" xfId="1" applyFont="1" applyBorder="1" applyAlignment="1">
      <alignment horizontal="left" vertical="center" wrapText="1"/>
    </xf>
    <xf numFmtId="164" fontId="75" fillId="0" borderId="1" xfId="1" applyFont="1" applyBorder="1" applyAlignment="1">
      <alignment wrapText="1"/>
    </xf>
    <xf numFmtId="165" fontId="35" fillId="0" borderId="1" xfId="1" applyNumberFormat="1" applyFont="1" applyBorder="1"/>
    <xf numFmtId="165" fontId="35" fillId="2" borderId="1" xfId="1" applyNumberFormat="1" applyFont="1" applyFill="1" applyBorder="1"/>
    <xf numFmtId="164" fontId="6" fillId="0" borderId="1" xfId="1" applyFont="1" applyBorder="1" applyAlignment="1">
      <alignment horizontal="left" vertical="top" wrapText="1"/>
    </xf>
    <xf numFmtId="164" fontId="6" fillId="0" borderId="1" xfId="1" applyFont="1" applyBorder="1" applyAlignment="1">
      <alignment horizontal="right" vertical="top" wrapText="1"/>
    </xf>
    <xf numFmtId="0" fontId="61" fillId="0" borderId="1" xfId="0" applyFont="1" applyFill="1" applyBorder="1" applyAlignment="1">
      <alignment horizontal="left" vertical="top" wrapText="1"/>
    </xf>
    <xf numFmtId="0" fontId="6" fillId="0" borderId="1" xfId="0" applyFont="1" applyBorder="1" applyAlignment="1">
      <alignment horizontal="left" vertical="top" wrapText="1"/>
    </xf>
    <xf numFmtId="0" fontId="6" fillId="0" borderId="1" xfId="0" applyFont="1" applyBorder="1" applyAlignment="1">
      <alignment wrapText="1"/>
    </xf>
    <xf numFmtId="164" fontId="76" fillId="0" borderId="1" xfId="1" applyFont="1" applyFill="1" applyBorder="1" applyAlignment="1">
      <alignment horizontal="center" vertical="top" wrapText="1"/>
    </xf>
    <xf numFmtId="164" fontId="6" fillId="0" borderId="1" xfId="1" applyFont="1" applyBorder="1" applyAlignment="1">
      <alignment horizontal="center" vertical="center" wrapText="1"/>
    </xf>
    <xf numFmtId="164" fontId="6" fillId="2" borderId="1" xfId="1" applyFont="1" applyFill="1" applyBorder="1" applyAlignment="1">
      <alignment horizontal="center" vertical="center" wrapText="1"/>
    </xf>
    <xf numFmtId="164" fontId="76" fillId="0" borderId="1" xfId="1" applyFont="1" applyFill="1" applyBorder="1" applyAlignment="1">
      <alignment horizontal="center" vertical="center" wrapText="1"/>
    </xf>
    <xf numFmtId="164" fontId="64" fillId="2" borderId="1" xfId="1" applyFont="1" applyFill="1" applyBorder="1" applyAlignment="1">
      <alignment horizontal="center" vertical="center" wrapText="1"/>
    </xf>
    <xf numFmtId="165" fontId="35" fillId="0" borderId="0" xfId="0" applyNumberFormat="1" applyFont="1"/>
    <xf numFmtId="0" fontId="61" fillId="19" borderId="1" xfId="0" applyFont="1" applyFill="1" applyBorder="1" applyAlignment="1">
      <alignment horizontal="left" vertical="top" wrapText="1"/>
    </xf>
    <xf numFmtId="164" fontId="73" fillId="6" borderId="7" xfId="0" applyNumberFormat="1" applyFont="1" applyFill="1" applyBorder="1" applyAlignment="1">
      <alignment vertical="center" wrapText="1"/>
    </xf>
    <xf numFmtId="0" fontId="6" fillId="6" borderId="1" xfId="0" applyFont="1" applyFill="1" applyBorder="1" applyAlignment="1">
      <alignment horizontal="left" vertical="top" wrapText="1"/>
    </xf>
    <xf numFmtId="164" fontId="6" fillId="6" borderId="1" xfId="0" applyNumberFormat="1" applyFont="1" applyFill="1" applyBorder="1" applyAlignment="1">
      <alignment wrapText="1"/>
    </xf>
    <xf numFmtId="0" fontId="6" fillId="0" borderId="1" xfId="0" applyFont="1" applyFill="1" applyBorder="1" applyAlignment="1">
      <alignment horizontal="left" vertical="top" wrapText="1"/>
    </xf>
    <xf numFmtId="164" fontId="77" fillId="2" borderId="1" xfId="1" applyFont="1" applyFill="1" applyBorder="1"/>
    <xf numFmtId="165" fontId="78" fillId="2" borderId="1" xfId="1" applyNumberFormat="1" applyFont="1" applyFill="1" applyBorder="1"/>
    <xf numFmtId="165" fontId="35" fillId="2" borderId="0" xfId="1" applyNumberFormat="1" applyFont="1" applyFill="1"/>
    <xf numFmtId="0" fontId="6" fillId="2" borderId="1" xfId="0" applyFont="1" applyFill="1" applyBorder="1" applyAlignment="1">
      <alignment horizontal="left" vertical="top" wrapText="1"/>
    </xf>
    <xf numFmtId="164" fontId="73" fillId="6" borderId="7" xfId="1" applyFont="1" applyFill="1" applyBorder="1" applyAlignment="1">
      <alignment horizontal="left" vertical="center" wrapText="1"/>
    </xf>
    <xf numFmtId="164" fontId="6" fillId="6" borderId="1" xfId="1" applyFont="1" applyFill="1" applyBorder="1" applyAlignment="1">
      <alignment wrapText="1"/>
    </xf>
    <xf numFmtId="164" fontId="73" fillId="6" borderId="7" xfId="1" applyFont="1" applyFill="1" applyBorder="1" applyAlignment="1">
      <alignment vertical="center" wrapText="1"/>
    </xf>
    <xf numFmtId="164" fontId="73" fillId="5" borderId="25" xfId="1" applyFont="1" applyFill="1" applyBorder="1" applyAlignment="1">
      <alignment horizontal="center" vertical="center" wrapText="1"/>
    </xf>
    <xf numFmtId="164" fontId="73" fillId="5" borderId="25" xfId="1" applyFont="1" applyFill="1" applyBorder="1" applyAlignment="1">
      <alignment horizontal="center" vertical="center" wrapText="1"/>
    </xf>
    <xf numFmtId="164" fontId="6" fillId="9" borderId="1" xfId="1" applyFont="1" applyFill="1" applyBorder="1" applyAlignment="1">
      <alignment wrapText="1"/>
    </xf>
    <xf numFmtId="2" fontId="73" fillId="0" borderId="1" xfId="0" applyNumberFormat="1" applyFont="1" applyBorder="1" applyAlignment="1">
      <alignment horizontal="left" vertical="top" wrapText="1"/>
    </xf>
    <xf numFmtId="2" fontId="64" fillId="2" borderId="1" xfId="0" applyNumberFormat="1" applyFont="1" applyFill="1" applyBorder="1" applyAlignment="1">
      <alignment horizontal="left" vertical="top" wrapText="1"/>
    </xf>
    <xf numFmtId="0" fontId="73" fillId="0" borderId="1" xfId="0" applyFont="1" applyBorder="1" applyAlignment="1">
      <alignment horizontal="left" vertical="top" wrapText="1"/>
    </xf>
    <xf numFmtId="0" fontId="61" fillId="0" borderId="1" xfId="0" applyFont="1" applyBorder="1" applyAlignment="1">
      <alignment horizontal="left" vertical="center" wrapText="1"/>
    </xf>
    <xf numFmtId="165" fontId="35" fillId="0" borderId="1" xfId="0" applyNumberFormat="1" applyFont="1" applyBorder="1"/>
    <xf numFmtId="0" fontId="61" fillId="2" borderId="1" xfId="0" applyFont="1" applyFill="1" applyBorder="1" applyAlignment="1">
      <alignment horizontal="left" vertical="top" wrapText="1"/>
    </xf>
    <xf numFmtId="164" fontId="73" fillId="4" borderId="9" xfId="1" applyFont="1" applyFill="1" applyBorder="1" applyAlignment="1">
      <alignment horizontal="justify" vertical="top" wrapText="1"/>
    </xf>
    <xf numFmtId="164" fontId="73" fillId="4" borderId="10" xfId="1" applyFont="1" applyFill="1" applyBorder="1" applyAlignment="1">
      <alignment horizontal="left" vertical="top" wrapText="1"/>
    </xf>
    <xf numFmtId="164" fontId="73" fillId="4" borderId="10" xfId="1" applyFont="1" applyFill="1" applyBorder="1" applyAlignment="1">
      <alignment horizontal="justify" vertical="center" wrapText="1"/>
    </xf>
    <xf numFmtId="164" fontId="73" fillId="4" borderId="10" xfId="1" applyFont="1" applyFill="1" applyBorder="1" applyAlignment="1">
      <alignment horizontal="justify" vertical="top" wrapText="1"/>
    </xf>
    <xf numFmtId="164" fontId="2" fillId="0" borderId="0" xfId="1" applyFont="1" applyAlignment="1">
      <alignment wrapText="1"/>
    </xf>
    <xf numFmtId="0" fontId="6" fillId="6" borderId="1" xfId="0" applyFont="1" applyFill="1" applyBorder="1" applyAlignment="1">
      <alignment horizontal="left" vertical="center" wrapText="1"/>
    </xf>
    <xf numFmtId="164" fontId="73" fillId="5" borderId="7" xfId="1" applyFont="1" applyFill="1" applyBorder="1" applyAlignment="1">
      <alignment horizontal="center" vertical="center" wrapText="1"/>
    </xf>
    <xf numFmtId="164" fontId="6" fillId="0" borderId="1" xfId="0" applyNumberFormat="1" applyFont="1" applyBorder="1" applyAlignment="1">
      <alignment wrapText="1"/>
    </xf>
    <xf numFmtId="164" fontId="73" fillId="5" borderId="7" xfId="1" applyFont="1" applyFill="1" applyBorder="1" applyAlignment="1">
      <alignment horizontal="center" vertical="center" wrapText="1"/>
    </xf>
    <xf numFmtId="164" fontId="73" fillId="5" borderId="24" xfId="1" applyFont="1" applyFill="1" applyBorder="1" applyAlignment="1">
      <alignment horizontal="center" vertical="center" wrapText="1"/>
    </xf>
    <xf numFmtId="164" fontId="73" fillId="5" borderId="25" xfId="1" applyFont="1" applyFill="1" applyBorder="1" applyAlignment="1">
      <alignment horizontal="center" vertical="center" wrapText="1"/>
    </xf>
    <xf numFmtId="0" fontId="72" fillId="8" borderId="26" xfId="0" applyFont="1" applyFill="1" applyBorder="1" applyAlignment="1">
      <alignment horizontal="center" vertical="center" wrapText="1"/>
    </xf>
    <xf numFmtId="0" fontId="72" fillId="8" borderId="23" xfId="0" applyFont="1" applyFill="1" applyBorder="1" applyAlignment="1">
      <alignment horizontal="center" vertical="center" wrapText="1"/>
    </xf>
    <xf numFmtId="164" fontId="73" fillId="5" borderId="12" xfId="1" applyFont="1" applyFill="1" applyBorder="1" applyAlignment="1">
      <alignment horizontal="center" vertical="center" wrapText="1"/>
    </xf>
    <xf numFmtId="0" fontId="72" fillId="3" borderId="5" xfId="0" applyFont="1" applyFill="1" applyBorder="1" applyAlignment="1">
      <alignment horizontal="center" vertical="center" wrapText="1"/>
    </xf>
    <xf numFmtId="0" fontId="72" fillId="8" borderId="4" xfId="0" applyFont="1" applyFill="1" applyBorder="1" applyAlignment="1">
      <alignment horizontal="left" vertical="center" wrapText="1"/>
    </xf>
    <xf numFmtId="0" fontId="72" fillId="8" borderId="9" xfId="0" applyFont="1" applyFill="1" applyBorder="1" applyAlignment="1">
      <alignment horizontal="left" vertical="center" wrapText="1"/>
    </xf>
    <xf numFmtId="0" fontId="72" fillId="3" borderId="13" xfId="0" applyFont="1" applyFill="1" applyBorder="1" applyAlignment="1">
      <alignment horizontal="center" vertical="center" wrapText="1"/>
    </xf>
    <xf numFmtId="0" fontId="72" fillId="3" borderId="23" xfId="0" applyFont="1" applyFill="1" applyBorder="1" applyAlignment="1">
      <alignment horizontal="center" vertical="center" wrapText="1"/>
    </xf>
    <xf numFmtId="164" fontId="14" fillId="5" borderId="7" xfId="1" applyFont="1" applyFill="1" applyBorder="1" applyAlignment="1">
      <alignment horizontal="center" vertical="center" wrapText="1"/>
    </xf>
    <xf numFmtId="164" fontId="19" fillId="5" borderId="7" xfId="1"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4" xfId="0" applyFont="1" applyFill="1" applyBorder="1" applyAlignment="1">
      <alignment horizontal="left" vertical="center" wrapText="1"/>
    </xf>
    <xf numFmtId="0" fontId="11" fillId="3" borderId="7" xfId="0" applyFont="1" applyFill="1" applyBorder="1" applyAlignment="1">
      <alignment horizontal="left" vertical="center" wrapText="1"/>
    </xf>
    <xf numFmtId="0" fontId="12" fillId="3" borderId="5" xfId="0" applyFont="1" applyFill="1" applyBorder="1" applyAlignment="1">
      <alignment horizontal="center" vertical="center" wrapText="1"/>
    </xf>
    <xf numFmtId="0" fontId="25" fillId="0" borderId="1" xfId="0" applyFont="1" applyBorder="1" applyAlignment="1">
      <alignment horizontal="center" vertical="top" wrapText="1"/>
    </xf>
    <xf numFmtId="0" fontId="17" fillId="0" borderId="1" xfId="0" applyFont="1" applyBorder="1" applyAlignment="1">
      <alignment horizontal="center" vertical="center" wrapText="1"/>
    </xf>
    <xf numFmtId="0" fontId="9" fillId="3" borderId="5" xfId="0" applyFont="1" applyFill="1" applyBorder="1" applyAlignment="1">
      <alignment horizontal="left" vertical="center" wrapText="1"/>
    </xf>
    <xf numFmtId="0" fontId="9" fillId="3" borderId="1" xfId="0" applyFont="1" applyFill="1" applyBorder="1" applyAlignment="1">
      <alignment horizontal="left" vertical="center" wrapText="1"/>
    </xf>
    <xf numFmtId="0" fontId="35" fillId="0" borderId="13" xfId="0" applyFont="1" applyBorder="1" applyAlignment="1">
      <alignment horizontal="center" vertical="center" textRotation="90" wrapText="1"/>
    </xf>
    <xf numFmtId="0" fontId="35" fillId="0" borderId="20" xfId="0" applyFont="1" applyBorder="1" applyAlignment="1">
      <alignment horizontal="center" vertical="center" textRotation="90" wrapText="1"/>
    </xf>
    <xf numFmtId="0" fontId="33" fillId="0" borderId="14" xfId="0" applyFont="1" applyBorder="1" applyAlignment="1">
      <alignment horizontal="center" vertical="center" wrapText="1"/>
    </xf>
    <xf numFmtId="0" fontId="33" fillId="0" borderId="15" xfId="0" applyFont="1" applyBorder="1" applyAlignment="1">
      <alignment horizontal="center" vertical="center" wrapText="1"/>
    </xf>
    <xf numFmtId="0" fontId="33" fillId="0" borderId="2" xfId="0" applyFont="1" applyBorder="1" applyAlignment="1">
      <alignment horizontal="center" vertical="center" wrapText="1"/>
    </xf>
    <xf numFmtId="0" fontId="35" fillId="0" borderId="17" xfId="0" applyFont="1" applyBorder="1" applyAlignment="1">
      <alignment horizontal="left" vertical="center" wrapText="1"/>
    </xf>
    <xf numFmtId="0" fontId="35" fillId="0" borderId="16" xfId="0" applyFont="1" applyBorder="1" applyAlignment="1">
      <alignment horizontal="left" vertical="center" wrapText="1"/>
    </xf>
    <xf numFmtId="0" fontId="35" fillId="0" borderId="13" xfId="0" applyFont="1" applyBorder="1" applyAlignment="1">
      <alignment horizontal="center" readingOrder="1"/>
    </xf>
    <xf numFmtId="0" fontId="35" fillId="0" borderId="20" xfId="0" applyFont="1" applyBorder="1" applyAlignment="1">
      <alignment horizontal="center" readingOrder="1"/>
    </xf>
    <xf numFmtId="0" fontId="35" fillId="0" borderId="3" xfId="0" applyFont="1" applyBorder="1" applyAlignment="1">
      <alignment horizontal="center" readingOrder="1"/>
    </xf>
    <xf numFmtId="0" fontId="61" fillId="0" borderId="13" xfId="0" applyFont="1" applyBorder="1" applyAlignment="1">
      <alignment horizontal="center" vertical="center" wrapText="1"/>
    </xf>
    <xf numFmtId="0" fontId="61" fillId="0" borderId="20" xfId="0" applyFont="1" applyBorder="1" applyAlignment="1">
      <alignment horizontal="center" vertical="center" wrapText="1"/>
    </xf>
    <xf numFmtId="0" fontId="61" fillId="0" borderId="3" xfId="0" applyFont="1" applyBorder="1" applyAlignment="1">
      <alignment horizontal="center" vertical="center" wrapText="1"/>
    </xf>
    <xf numFmtId="0" fontId="61" fillId="6" borderId="3" xfId="0" applyFont="1" applyFill="1" applyBorder="1" applyAlignment="1">
      <alignment vertical="center" wrapText="1"/>
    </xf>
    <xf numFmtId="0" fontId="61" fillId="5" borderId="1" xfId="0" applyFont="1" applyFill="1" applyBorder="1" applyAlignment="1">
      <alignment vertical="center" wrapText="1"/>
    </xf>
    <xf numFmtId="0" fontId="61" fillId="2" borderId="13" xfId="0" applyFont="1" applyFill="1" applyBorder="1" applyAlignment="1">
      <alignment horizontal="center" vertical="center" wrapText="1"/>
    </xf>
    <xf numFmtId="0" fontId="61" fillId="2" borderId="20" xfId="0" applyFont="1" applyFill="1" applyBorder="1" applyAlignment="1">
      <alignment horizontal="center" vertical="center" wrapText="1"/>
    </xf>
    <xf numFmtId="0" fontId="61" fillId="2" borderId="3" xfId="0" applyFont="1" applyFill="1" applyBorder="1" applyAlignment="1">
      <alignment horizontal="center" vertical="center" wrapText="1"/>
    </xf>
    <xf numFmtId="0" fontId="61" fillId="0" borderId="13" xfId="0" applyFont="1" applyBorder="1" applyAlignment="1">
      <alignment horizontal="center" vertical="top" wrapText="1"/>
    </xf>
    <xf numFmtId="0" fontId="61" fillId="0" borderId="3" xfId="0" applyFont="1" applyBorder="1" applyAlignment="1">
      <alignment horizontal="center" vertical="top" wrapText="1"/>
    </xf>
    <xf numFmtId="0" fontId="61" fillId="5" borderId="1" xfId="0" applyFont="1" applyFill="1" applyBorder="1" applyAlignment="1">
      <alignment horizontal="left" vertical="center" wrapText="1"/>
    </xf>
    <xf numFmtId="0" fontId="61" fillId="6" borderId="1" xfId="0" applyFont="1" applyFill="1" applyBorder="1" applyAlignment="1">
      <alignment horizontal="left" vertical="center" wrapText="1"/>
    </xf>
    <xf numFmtId="164" fontId="61" fillId="5" borderId="1" xfId="1" applyFont="1" applyFill="1" applyBorder="1" applyAlignment="1">
      <alignment horizontal="left" vertical="center" wrapText="1"/>
    </xf>
    <xf numFmtId="0" fontId="61" fillId="20" borderId="0" xfId="0" applyFont="1" applyFill="1" applyAlignment="1">
      <alignment horizontal="justify" vertical="center"/>
    </xf>
    <xf numFmtId="0" fontId="61" fillId="6" borderId="1" xfId="0" applyFont="1" applyFill="1" applyBorder="1" applyAlignment="1">
      <alignment vertical="center" wrapText="1"/>
    </xf>
    <xf numFmtId="0" fontId="61" fillId="2" borderId="1" xfId="0" applyFont="1" applyFill="1" applyBorder="1" applyAlignment="1">
      <alignment vertical="center" wrapText="1"/>
    </xf>
    <xf numFmtId="164" fontId="61" fillId="5" borderId="1" xfId="1" applyFont="1" applyFill="1" applyBorder="1" applyAlignment="1">
      <alignment vertical="center" wrapText="1"/>
    </xf>
    <xf numFmtId="0" fontId="61" fillId="2" borderId="0" xfId="0" applyFont="1" applyFill="1" applyAlignment="1">
      <alignment vertical="center" wrapText="1"/>
    </xf>
    <xf numFmtId="164" fontId="81" fillId="2" borderId="1" xfId="1" applyFont="1" applyFill="1" applyBorder="1" applyAlignment="1">
      <alignment wrapText="1"/>
    </xf>
    <xf numFmtId="0" fontId="61" fillId="0" borderId="1" xfId="0" applyFont="1" applyBorder="1" applyAlignment="1">
      <alignment horizontal="justify" vertical="center"/>
    </xf>
    <xf numFmtId="165" fontId="35" fillId="2" borderId="2" xfId="1" applyNumberFormat="1" applyFont="1" applyFill="1" applyBorder="1"/>
    <xf numFmtId="0" fontId="61" fillId="0" borderId="1" xfId="0" applyFont="1" applyBorder="1" applyAlignment="1">
      <alignment horizontal="center" vertical="center" wrapText="1"/>
    </xf>
    <xf numFmtId="0" fontId="83" fillId="3" borderId="27" xfId="0" applyFont="1" applyFill="1" applyBorder="1" applyAlignment="1">
      <alignment horizontal="center" vertical="center"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J189"/>
  <sheetViews>
    <sheetView tabSelected="1" zoomScale="90" zoomScaleNormal="90" zoomScaleSheetLayoutView="106" zoomScalePageLayoutView="75" workbookViewId="0">
      <pane ySplit="3" topLeftCell="A4" activePane="bottomLeft" state="frozen"/>
      <selection pane="bottomLeft" activeCell="B2" sqref="B2:B3"/>
    </sheetView>
  </sheetViews>
  <sheetFormatPr defaultColWidth="10.85546875" defaultRowHeight="15" x14ac:dyDescent="0.25"/>
  <cols>
    <col min="1" max="1" width="22.7109375" style="83" customWidth="1"/>
    <col min="2" max="2" width="24.140625" style="79" customWidth="1"/>
    <col min="3" max="3" width="19.7109375" style="315" customWidth="1"/>
    <col min="4" max="4" width="13.85546875" style="75" customWidth="1"/>
    <col min="5" max="5" width="14.140625" style="75" customWidth="1"/>
    <col min="6" max="8" width="11" style="75" bestFit="1" customWidth="1"/>
    <col min="9" max="9" width="14" style="75" customWidth="1"/>
    <col min="10" max="10" width="13.28515625" style="75" customWidth="1"/>
    <col min="11" max="11" width="12.85546875" style="75" bestFit="1" customWidth="1"/>
    <col min="12" max="13" width="11" style="75" bestFit="1" customWidth="1"/>
    <col min="14" max="14" width="23.5703125" style="75" customWidth="1"/>
    <col min="15" max="15" width="12.85546875" style="75" bestFit="1" customWidth="1"/>
    <col min="16" max="16" width="13.42578125" style="75" customWidth="1"/>
    <col min="17" max="17" width="12.85546875" style="75" bestFit="1" customWidth="1"/>
    <col min="18" max="20" width="11" style="75" bestFit="1" customWidth="1"/>
    <col min="21" max="21" width="13.5703125" style="75" customWidth="1"/>
    <col min="22" max="22" width="13" style="75" customWidth="1"/>
    <col min="23" max="26" width="11" style="75" bestFit="1" customWidth="1"/>
    <col min="27" max="27" width="12.85546875" style="75" customWidth="1"/>
    <col min="28" max="28" width="14.140625" style="75" customWidth="1"/>
    <col min="29" max="29" width="13.42578125" style="75" bestFit="1" customWidth="1"/>
    <col min="30" max="16384" width="10.85546875" style="75"/>
  </cols>
  <sheetData>
    <row r="1" spans="1:29" ht="45" customHeight="1" thickBot="1" x14ac:dyDescent="0.3">
      <c r="A1" s="320" t="s">
        <v>749</v>
      </c>
      <c r="B1" s="320"/>
      <c r="C1" s="320"/>
      <c r="D1" s="320"/>
      <c r="E1" s="320"/>
      <c r="F1" s="320"/>
      <c r="G1" s="320"/>
      <c r="H1" s="320"/>
      <c r="I1" s="320"/>
      <c r="J1" s="320"/>
      <c r="K1" s="320"/>
      <c r="L1" s="320"/>
      <c r="M1" s="320"/>
      <c r="N1" s="320"/>
    </row>
    <row r="2" spans="1:29" ht="49.5" customHeight="1" x14ac:dyDescent="0.25">
      <c r="A2" s="271" t="s">
        <v>218</v>
      </c>
      <c r="B2" s="267" t="s">
        <v>338</v>
      </c>
      <c r="C2" s="267" t="s">
        <v>728</v>
      </c>
      <c r="D2" s="270">
        <v>2018</v>
      </c>
      <c r="E2" s="270"/>
      <c r="F2" s="270"/>
      <c r="G2" s="270"/>
      <c r="H2" s="270"/>
      <c r="I2" s="270"/>
      <c r="J2" s="270">
        <v>2019</v>
      </c>
      <c r="K2" s="270"/>
      <c r="L2" s="270"/>
      <c r="M2" s="270"/>
      <c r="N2" s="270"/>
      <c r="O2" s="270"/>
      <c r="P2" s="270">
        <v>2020</v>
      </c>
      <c r="Q2" s="270"/>
      <c r="R2" s="270"/>
      <c r="S2" s="270"/>
      <c r="T2" s="270"/>
      <c r="U2" s="270"/>
      <c r="V2" s="270">
        <v>2021</v>
      </c>
      <c r="W2" s="270"/>
      <c r="X2" s="270"/>
      <c r="Y2" s="270"/>
      <c r="Z2" s="270"/>
      <c r="AA2" s="270"/>
      <c r="AB2" s="273" t="s">
        <v>597</v>
      </c>
      <c r="AC2" s="273" t="s">
        <v>667</v>
      </c>
    </row>
    <row r="3" spans="1:29" ht="63" customHeight="1" thickBot="1" x14ac:dyDescent="0.3">
      <c r="A3" s="272"/>
      <c r="B3" s="268"/>
      <c r="C3" s="268"/>
      <c r="D3" s="210" t="s">
        <v>339</v>
      </c>
      <c r="E3" s="208" t="s">
        <v>340</v>
      </c>
      <c r="F3" s="208" t="s">
        <v>341</v>
      </c>
      <c r="G3" s="208" t="s">
        <v>598</v>
      </c>
      <c r="H3" s="208" t="s">
        <v>342</v>
      </c>
      <c r="I3" s="208" t="s">
        <v>343</v>
      </c>
      <c r="J3" s="208" t="s">
        <v>339</v>
      </c>
      <c r="K3" s="208" t="s">
        <v>340</v>
      </c>
      <c r="L3" s="208" t="s">
        <v>341</v>
      </c>
      <c r="M3" s="208" t="s">
        <v>598</v>
      </c>
      <c r="N3" s="208" t="s">
        <v>342</v>
      </c>
      <c r="O3" s="208" t="s">
        <v>343</v>
      </c>
      <c r="P3" s="208" t="s">
        <v>339</v>
      </c>
      <c r="Q3" s="208" t="s">
        <v>340</v>
      </c>
      <c r="R3" s="208" t="s">
        <v>341</v>
      </c>
      <c r="S3" s="208" t="s">
        <v>598</v>
      </c>
      <c r="T3" s="208" t="s">
        <v>342</v>
      </c>
      <c r="U3" s="208" t="s">
        <v>343</v>
      </c>
      <c r="V3" s="208" t="s">
        <v>339</v>
      </c>
      <c r="W3" s="208" t="s">
        <v>340</v>
      </c>
      <c r="X3" s="208" t="s">
        <v>341</v>
      </c>
      <c r="Y3" s="208" t="s">
        <v>598</v>
      </c>
      <c r="Z3" s="208" t="s">
        <v>342</v>
      </c>
      <c r="AA3" s="208" t="s">
        <v>343</v>
      </c>
      <c r="AB3" s="274"/>
      <c r="AC3" s="274"/>
    </row>
    <row r="4" spans="1:29" ht="123.75" customHeight="1" x14ac:dyDescent="0.25">
      <c r="A4" s="211" t="s">
        <v>757</v>
      </c>
      <c r="B4" s="212"/>
      <c r="C4" s="301"/>
      <c r="D4" s="213">
        <f>D5+D9+D16+D25+D35+D41+D44+D49+D55</f>
        <v>1051915</v>
      </c>
      <c r="E4" s="213">
        <f>E5+E9+E16+E25+E35+E41+E44+E49+E55</f>
        <v>1429754</v>
      </c>
      <c r="F4" s="213">
        <f>F5+F9+F16+F25+F35+F41+F44+F49+F55</f>
        <v>0</v>
      </c>
      <c r="G4" s="213">
        <f>SUM(F5,F9,F16,F25,F35,F41,F44,F49,F55)</f>
        <v>0</v>
      </c>
      <c r="H4" s="213">
        <f>H5+H9+H16+H25+H35+H41+H44+H49+H55</f>
        <v>79639.658750000002</v>
      </c>
      <c r="I4" s="213">
        <f>I5+I9+I16+I25+I35+I41+I44+I49+I55</f>
        <v>2711809.6587499999</v>
      </c>
      <c r="J4" s="213">
        <f>J5+J9+J16+J25+J35+J41+J44+J49+J55</f>
        <v>1177801</v>
      </c>
      <c r="K4" s="213">
        <f>K5+K9+K16+K25+K35+K41+K44+K49+K55</f>
        <v>2019163</v>
      </c>
      <c r="L4" s="213">
        <f>L5+L9+L16+L25+L35+L41+L44+L49+L55</f>
        <v>0</v>
      </c>
      <c r="M4" s="213"/>
      <c r="N4" s="213">
        <f>N5+N9+N16+N25+N35+N41+N44+N49+N55</f>
        <v>73667</v>
      </c>
      <c r="O4" s="213">
        <f>O5+O9+O16+O25+O35+O41+O44+O49+O55</f>
        <v>3270631</v>
      </c>
      <c r="P4" s="213">
        <f>P5+P9+P16+P25+P35+P41+P44+P49+P55</f>
        <v>1363924</v>
      </c>
      <c r="Q4" s="213">
        <f>Q5+Q9+Q16+Q25+Q35+Q41+Q44+Q49+Q55</f>
        <v>1990583</v>
      </c>
      <c r="R4" s="213">
        <f>R5+R9+R16+R25+R35+R41+R44+R49+R55</f>
        <v>0</v>
      </c>
      <c r="S4" s="213"/>
      <c r="T4" s="213">
        <f>T5+T9+T16+T25+T35+T41+T44+T49+T55</f>
        <v>69767</v>
      </c>
      <c r="U4" s="213">
        <f>U5+U9+U16+U25+U35+U41+U44+U49+U55</f>
        <v>3424274</v>
      </c>
      <c r="V4" s="213">
        <f>V5+V9+V16+V25+V35+V41+V44+V49+V55</f>
        <v>828026</v>
      </c>
      <c r="W4" s="213">
        <f>W5+W9+W16+W25+W35+W41+W44+W49+W55</f>
        <v>567101</v>
      </c>
      <c r="X4" s="213">
        <f>X5+X9+X16+X25+X35+X41+X44+X49+X55</f>
        <v>0</v>
      </c>
      <c r="Y4" s="213"/>
      <c r="Z4" s="213">
        <f>Z5+Z9+Z16+Z25+Z35+Z41+Z44+Z49+Z55</f>
        <v>69967</v>
      </c>
      <c r="AA4" s="213">
        <f>AA5+AA9+AA16+AA25+AA35+AA41+AA44+AA49+AA55</f>
        <v>1465094</v>
      </c>
      <c r="AB4" s="213">
        <f>SUM(D4,J4,P4,V4)</f>
        <v>4421666</v>
      </c>
      <c r="AC4" s="213">
        <f>SUM(I4,O4,U4,AA4)</f>
        <v>10871808.658749999</v>
      </c>
    </row>
    <row r="5" spans="1:29" x14ac:dyDescent="0.25">
      <c r="A5" s="264" t="s">
        <v>711</v>
      </c>
      <c r="B5" s="214"/>
      <c r="C5" s="302"/>
      <c r="D5" s="216">
        <f>SUM(D6:D8)</f>
        <v>527900</v>
      </c>
      <c r="E5" s="216">
        <f t="shared" ref="E5:H5" si="0">SUM(E6:E8)</f>
        <v>810600</v>
      </c>
      <c r="F5" s="216">
        <f t="shared" si="0"/>
        <v>0</v>
      </c>
      <c r="G5" s="216">
        <f>SUM(G6:G8)</f>
        <v>0</v>
      </c>
      <c r="H5" s="216">
        <f t="shared" si="0"/>
        <v>0</v>
      </c>
      <c r="I5" s="216">
        <f>SUM(D5:H5)</f>
        <v>1338500</v>
      </c>
      <c r="J5" s="216">
        <f>SUM(J6:J8)</f>
        <v>766445</v>
      </c>
      <c r="K5" s="216">
        <f t="shared" ref="K5:N5" si="1">SUM(K6:K8)</f>
        <v>1515850</v>
      </c>
      <c r="L5" s="216">
        <f t="shared" si="1"/>
        <v>0</v>
      </c>
      <c r="M5" s="216"/>
      <c r="N5" s="216">
        <f t="shared" si="1"/>
        <v>0</v>
      </c>
      <c r="O5" s="216">
        <f>SUM(J5:N5)</f>
        <v>2282295</v>
      </c>
      <c r="P5" s="216">
        <f>SUM(P6:P8)</f>
        <v>924000</v>
      </c>
      <c r="Q5" s="216">
        <f>SUM(Q6:Q8)</f>
        <v>1813000</v>
      </c>
      <c r="R5" s="216">
        <f t="shared" ref="R5:T5" si="2">SUM(R6:R8)</f>
        <v>0</v>
      </c>
      <c r="S5" s="216"/>
      <c r="T5" s="216">
        <f t="shared" si="2"/>
        <v>0</v>
      </c>
      <c r="U5" s="216">
        <f>SUM(P5:T5)</f>
        <v>2737000</v>
      </c>
      <c r="V5" s="216">
        <f>SUM(V6:V8)</f>
        <v>592000</v>
      </c>
      <c r="W5" s="216">
        <f t="shared" ref="W5:Z5" si="3">SUM(W6:W8)</f>
        <v>375000</v>
      </c>
      <c r="X5" s="216">
        <f t="shared" si="3"/>
        <v>0</v>
      </c>
      <c r="Y5" s="216"/>
      <c r="Z5" s="216">
        <f t="shared" si="3"/>
        <v>0</v>
      </c>
      <c r="AA5" s="216">
        <f>SUM(V5:Z5)</f>
        <v>967000</v>
      </c>
      <c r="AB5" s="216">
        <f t="shared" ref="AB5:AB69" si="4">SUM(D5,J5,P5,V5)</f>
        <v>2810345</v>
      </c>
      <c r="AC5" s="216">
        <f t="shared" ref="AC5:AC69" si="5">SUM(I5,O5,U5,AA5)</f>
        <v>7324795</v>
      </c>
    </row>
    <row r="6" spans="1:29" ht="120" customHeight="1" x14ac:dyDescent="0.25">
      <c r="A6" s="264"/>
      <c r="B6" s="217" t="s">
        <v>599</v>
      </c>
      <c r="C6" s="298" t="s">
        <v>726</v>
      </c>
      <c r="D6" s="218">
        <v>164100</v>
      </c>
      <c r="E6" s="218">
        <v>635900</v>
      </c>
      <c r="F6" s="218"/>
      <c r="G6" s="218"/>
      <c r="H6" s="218"/>
      <c r="I6" s="219">
        <f t="shared" ref="I6:I60" si="6">SUM(D6:H6)</f>
        <v>800000</v>
      </c>
      <c r="J6" s="218">
        <v>388875</v>
      </c>
      <c r="K6" s="218">
        <v>1369125</v>
      </c>
      <c r="L6" s="218"/>
      <c r="M6" s="218"/>
      <c r="N6" s="220"/>
      <c r="O6" s="218">
        <f>J6+K6</f>
        <v>1758000</v>
      </c>
      <c r="P6" s="218">
        <v>412000</v>
      </c>
      <c r="Q6" s="218">
        <v>1755000</v>
      </c>
      <c r="R6" s="218"/>
      <c r="S6" s="218"/>
      <c r="T6" s="218"/>
      <c r="U6" s="218">
        <f>P6+Q6</f>
        <v>2167000</v>
      </c>
      <c r="V6" s="218">
        <v>152000</v>
      </c>
      <c r="W6" s="218">
        <v>375000</v>
      </c>
      <c r="X6" s="218"/>
      <c r="Y6" s="218"/>
      <c r="Z6" s="218"/>
      <c r="AA6" s="218">
        <f>V6+W6</f>
        <v>527000</v>
      </c>
      <c r="AB6" s="216">
        <f t="shared" si="4"/>
        <v>1116975</v>
      </c>
      <c r="AC6" s="216">
        <f t="shared" si="5"/>
        <v>5252000</v>
      </c>
    </row>
    <row r="7" spans="1:29" ht="59.45" customHeight="1" x14ac:dyDescent="0.25">
      <c r="A7" s="264"/>
      <c r="B7" s="217" t="s">
        <v>600</v>
      </c>
      <c r="C7" s="299"/>
      <c r="D7" s="218">
        <f>363000</f>
        <v>363000</v>
      </c>
      <c r="E7" s="218">
        <f>127000+1000+12500+30000</f>
        <v>170500</v>
      </c>
      <c r="F7" s="218"/>
      <c r="G7" s="218"/>
      <c r="H7" s="218"/>
      <c r="I7" s="219">
        <f t="shared" si="6"/>
        <v>533500</v>
      </c>
      <c r="J7" s="218">
        <v>376000</v>
      </c>
      <c r="K7" s="218">
        <v>138000</v>
      </c>
      <c r="L7" s="218"/>
      <c r="M7" s="218"/>
      <c r="N7" s="218"/>
      <c r="O7" s="218">
        <f t="shared" ref="O7" si="7">J7+K7</f>
        <v>514000</v>
      </c>
      <c r="P7" s="218">
        <v>512000</v>
      </c>
      <c r="Q7" s="218">
        <v>58000</v>
      </c>
      <c r="R7" s="218"/>
      <c r="S7" s="218"/>
      <c r="T7" s="218"/>
      <c r="U7" s="218">
        <f t="shared" ref="U7:U8" si="8">P7+Q7</f>
        <v>570000</v>
      </c>
      <c r="V7" s="218">
        <v>440000</v>
      </c>
      <c r="W7" s="218"/>
      <c r="X7" s="218"/>
      <c r="Y7" s="218"/>
      <c r="Z7" s="218"/>
      <c r="AA7" s="218">
        <f t="shared" ref="AA7:AA8" si="9">V7+W7</f>
        <v>440000</v>
      </c>
      <c r="AB7" s="216">
        <f t="shared" si="4"/>
        <v>1691000</v>
      </c>
      <c r="AC7" s="216">
        <f t="shared" si="5"/>
        <v>2057500</v>
      </c>
    </row>
    <row r="8" spans="1:29" ht="49.5" customHeight="1" x14ac:dyDescent="0.35">
      <c r="A8" s="264"/>
      <c r="B8" s="217" t="s">
        <v>601</v>
      </c>
      <c r="C8" s="300"/>
      <c r="D8" s="218">
        <v>800</v>
      </c>
      <c r="E8" s="218">
        <v>4200</v>
      </c>
      <c r="F8" s="218"/>
      <c r="G8" s="218"/>
      <c r="H8" s="218"/>
      <c r="I8" s="219">
        <f>SUM(D8:H8)</f>
        <v>5000</v>
      </c>
      <c r="J8" s="218">
        <v>1570</v>
      </c>
      <c r="K8" s="218">
        <v>8725</v>
      </c>
      <c r="L8" s="218"/>
      <c r="M8" s="218"/>
      <c r="N8" s="218"/>
      <c r="O8" s="218">
        <f>SUM(J8:N8)</f>
        <v>10295</v>
      </c>
      <c r="P8" s="218"/>
      <c r="Q8" s="218"/>
      <c r="R8" s="218"/>
      <c r="S8" s="218"/>
      <c r="T8" s="218"/>
      <c r="U8" s="218">
        <f t="shared" si="8"/>
        <v>0</v>
      </c>
      <c r="V8" s="218"/>
      <c r="W8" s="218">
        <v>0</v>
      </c>
      <c r="X8" s="218"/>
      <c r="Y8" s="218"/>
      <c r="Z8" s="218"/>
      <c r="AA8" s="221">
        <f t="shared" si="9"/>
        <v>0</v>
      </c>
      <c r="AB8" s="216">
        <f t="shared" si="4"/>
        <v>2370</v>
      </c>
      <c r="AC8" s="216">
        <f t="shared" si="5"/>
        <v>15295</v>
      </c>
    </row>
    <row r="9" spans="1:29" x14ac:dyDescent="0.25">
      <c r="A9" s="264" t="s">
        <v>219</v>
      </c>
      <c r="B9" s="214"/>
      <c r="C9" s="302"/>
      <c r="D9" s="216">
        <f>SUM(D10:D15)</f>
        <v>81000</v>
      </c>
      <c r="E9" s="216">
        <f t="shared" ref="E9:H9" si="10">SUM(E10:E15)</f>
        <v>167900</v>
      </c>
      <c r="F9" s="216">
        <f t="shared" si="10"/>
        <v>0</v>
      </c>
      <c r="G9" s="216">
        <f>SUM(G10:G15)</f>
        <v>0</v>
      </c>
      <c r="H9" s="216">
        <f t="shared" si="10"/>
        <v>64377.658750000002</v>
      </c>
      <c r="I9" s="216">
        <f t="shared" si="6"/>
        <v>313277.65875</v>
      </c>
      <c r="J9" s="216">
        <f>SUM(J10:J15)</f>
        <v>150000</v>
      </c>
      <c r="K9" s="216">
        <f t="shared" ref="K9:N9" si="11">SUM(K10:K15)</f>
        <v>0</v>
      </c>
      <c r="L9" s="216">
        <f t="shared" si="11"/>
        <v>0</v>
      </c>
      <c r="M9" s="216"/>
      <c r="N9" s="216">
        <f t="shared" si="11"/>
        <v>64167</v>
      </c>
      <c r="O9" s="216">
        <f>SUM(J9:N9)</f>
        <v>214167</v>
      </c>
      <c r="P9" s="216">
        <f>SUM(P10:P15)</f>
        <v>220000</v>
      </c>
      <c r="Q9" s="216">
        <f t="shared" ref="Q9:T9" si="12">SUM(Q10:Q15)</f>
        <v>0</v>
      </c>
      <c r="R9" s="216">
        <f t="shared" si="12"/>
        <v>0</v>
      </c>
      <c r="S9" s="216"/>
      <c r="T9" s="216">
        <f t="shared" si="12"/>
        <v>59967</v>
      </c>
      <c r="U9" s="216">
        <f>SUM(P9:T9)</f>
        <v>279967</v>
      </c>
      <c r="V9" s="216">
        <f>SUM(V10:V15)</f>
        <v>0</v>
      </c>
      <c r="W9" s="216">
        <f t="shared" ref="W9:Z9" si="13">SUM(W10:W15)</f>
        <v>0</v>
      </c>
      <c r="X9" s="216">
        <f t="shared" si="13"/>
        <v>0</v>
      </c>
      <c r="Y9" s="216"/>
      <c r="Z9" s="216">
        <f t="shared" si="13"/>
        <v>59967</v>
      </c>
      <c r="AA9" s="216">
        <f>SUM(V9:Z9)</f>
        <v>59967</v>
      </c>
      <c r="AB9" s="216">
        <f t="shared" si="4"/>
        <v>451000</v>
      </c>
      <c r="AC9" s="216">
        <f t="shared" si="5"/>
        <v>867378.65874999994</v>
      </c>
    </row>
    <row r="10" spans="1:29" ht="107.45" customHeight="1" x14ac:dyDescent="0.25">
      <c r="A10" s="264"/>
      <c r="B10" s="217" t="s">
        <v>292</v>
      </c>
      <c r="C10" s="298" t="s">
        <v>727</v>
      </c>
      <c r="D10" s="222"/>
      <c r="E10" s="222"/>
      <c r="F10" s="222"/>
      <c r="G10" s="222"/>
      <c r="H10" s="222">
        <f>84555*2.657/4</f>
        <v>56165.658750000002</v>
      </c>
      <c r="I10" s="223">
        <f t="shared" si="6"/>
        <v>56165.658750000002</v>
      </c>
      <c r="J10" s="222"/>
      <c r="K10" s="222"/>
      <c r="L10" s="222"/>
      <c r="M10" s="222"/>
      <c r="N10" s="222">
        <v>56167</v>
      </c>
      <c r="O10" s="222">
        <f t="shared" ref="O10" si="14">SUM(J10:N10)</f>
        <v>56167</v>
      </c>
      <c r="P10" s="222"/>
      <c r="Q10" s="222"/>
      <c r="R10" s="222"/>
      <c r="S10" s="222"/>
      <c r="T10" s="222">
        <v>56167</v>
      </c>
      <c r="U10" s="222">
        <f t="shared" ref="U10:U11" si="15">SUM(P10:T10)</f>
        <v>56167</v>
      </c>
      <c r="V10" s="222"/>
      <c r="W10" s="222"/>
      <c r="X10" s="222"/>
      <c r="Y10" s="222"/>
      <c r="Z10" s="222">
        <v>56167</v>
      </c>
      <c r="AA10" s="218">
        <f t="shared" ref="AA10:AA15" si="16">SUM(V10:Z10)</f>
        <v>56167</v>
      </c>
      <c r="AB10" s="216">
        <f t="shared" si="4"/>
        <v>0</v>
      </c>
      <c r="AC10" s="216">
        <f t="shared" si="5"/>
        <v>224666.65875</v>
      </c>
    </row>
    <row r="11" spans="1:29" ht="75" customHeight="1" x14ac:dyDescent="0.25">
      <c r="A11" s="264"/>
      <c r="B11" s="217" t="s">
        <v>593</v>
      </c>
      <c r="C11" s="299"/>
      <c r="D11" s="218"/>
      <c r="E11" s="218"/>
      <c r="F11" s="218"/>
      <c r="G11" s="218"/>
      <c r="H11" s="218">
        <v>3712</v>
      </c>
      <c r="I11" s="219">
        <f t="shared" ref="I11" si="17">SUM(D11:H11)</f>
        <v>3712</v>
      </c>
      <c r="J11" s="218"/>
      <c r="K11" s="218"/>
      <c r="L11" s="218"/>
      <c r="M11" s="218"/>
      <c r="N11" s="218">
        <v>3500</v>
      </c>
      <c r="O11" s="218">
        <f t="shared" ref="O11" si="18">SUM(J11:N11)</f>
        <v>3500</v>
      </c>
      <c r="P11" s="218"/>
      <c r="Q11" s="218"/>
      <c r="R11" s="218"/>
      <c r="S11" s="218"/>
      <c r="T11" s="218">
        <v>3800</v>
      </c>
      <c r="U11" s="218">
        <f t="shared" si="15"/>
        <v>3800</v>
      </c>
      <c r="V11" s="218"/>
      <c r="W11" s="218"/>
      <c r="X11" s="218"/>
      <c r="Y11" s="218"/>
      <c r="Z11" s="218">
        <v>3800</v>
      </c>
      <c r="AA11" s="218">
        <f t="shared" ref="AA11" si="19">SUM(V11:Z11)</f>
        <v>3800</v>
      </c>
      <c r="AB11" s="216">
        <f t="shared" si="4"/>
        <v>0</v>
      </c>
      <c r="AC11" s="216">
        <f t="shared" si="5"/>
        <v>14812</v>
      </c>
    </row>
    <row r="12" spans="1:29" ht="56.25" x14ac:dyDescent="0.25">
      <c r="A12" s="264"/>
      <c r="B12" s="217" t="s">
        <v>592</v>
      </c>
      <c r="C12" s="299"/>
      <c r="D12" s="224">
        <v>11000</v>
      </c>
      <c r="E12" s="224"/>
      <c r="F12" s="224"/>
      <c r="G12" s="224"/>
      <c r="H12" s="225">
        <v>0</v>
      </c>
      <c r="I12" s="219">
        <f t="shared" si="6"/>
        <v>11000</v>
      </c>
      <c r="J12" s="218">
        <v>150000</v>
      </c>
      <c r="K12" s="218"/>
      <c r="L12" s="218"/>
      <c r="M12" s="218"/>
      <c r="N12" s="218"/>
      <c r="O12" s="218">
        <f t="shared" ref="O12:O15" si="20">SUM(J12:N12)</f>
        <v>150000</v>
      </c>
      <c r="P12" s="218">
        <v>220000</v>
      </c>
      <c r="Q12" s="218"/>
      <c r="R12" s="218"/>
      <c r="S12" s="218"/>
      <c r="T12" s="218"/>
      <c r="U12" s="218">
        <f t="shared" ref="U12:U15" si="21">SUM(P12:T12)</f>
        <v>220000</v>
      </c>
      <c r="V12" s="218">
        <v>0</v>
      </c>
      <c r="W12" s="218"/>
      <c r="X12" s="218"/>
      <c r="Y12" s="218"/>
      <c r="Z12" s="218"/>
      <c r="AA12" s="218">
        <f t="shared" si="16"/>
        <v>0</v>
      </c>
      <c r="AB12" s="216">
        <f t="shared" si="4"/>
        <v>381000</v>
      </c>
      <c r="AC12" s="216">
        <f t="shared" si="5"/>
        <v>381000</v>
      </c>
    </row>
    <row r="13" spans="1:29" ht="56.25" x14ac:dyDescent="0.25">
      <c r="A13" s="264"/>
      <c r="B13" s="226" t="s">
        <v>591</v>
      </c>
      <c r="C13" s="299"/>
      <c r="D13" s="218">
        <v>60000</v>
      </c>
      <c r="E13" s="218"/>
      <c r="F13" s="218"/>
      <c r="G13" s="218"/>
      <c r="H13" s="218"/>
      <c r="I13" s="219">
        <f t="shared" si="6"/>
        <v>60000</v>
      </c>
      <c r="J13" s="218"/>
      <c r="K13" s="218"/>
      <c r="L13" s="218"/>
      <c r="M13" s="218"/>
      <c r="N13" s="218"/>
      <c r="O13" s="218">
        <f t="shared" si="20"/>
        <v>0</v>
      </c>
      <c r="P13" s="218"/>
      <c r="Q13" s="218"/>
      <c r="R13" s="218"/>
      <c r="S13" s="218"/>
      <c r="T13" s="218"/>
      <c r="U13" s="218">
        <f t="shared" si="21"/>
        <v>0</v>
      </c>
      <c r="V13" s="218"/>
      <c r="W13" s="218"/>
      <c r="X13" s="218"/>
      <c r="Y13" s="218"/>
      <c r="Z13" s="218"/>
      <c r="AA13" s="218">
        <f t="shared" si="16"/>
        <v>0</v>
      </c>
      <c r="AB13" s="216">
        <f t="shared" si="4"/>
        <v>60000</v>
      </c>
      <c r="AC13" s="216">
        <f t="shared" si="5"/>
        <v>60000</v>
      </c>
    </row>
    <row r="14" spans="1:29" ht="56.25" x14ac:dyDescent="0.25">
      <c r="A14" s="264"/>
      <c r="B14" s="217" t="s">
        <v>590</v>
      </c>
      <c r="C14" s="299"/>
      <c r="D14" s="218">
        <v>10000</v>
      </c>
      <c r="E14" s="218"/>
      <c r="F14" s="218"/>
      <c r="G14" s="218"/>
      <c r="H14" s="218">
        <v>4500</v>
      </c>
      <c r="I14" s="219">
        <f t="shared" si="6"/>
        <v>14500</v>
      </c>
      <c r="J14" s="218"/>
      <c r="K14" s="218"/>
      <c r="L14" s="218"/>
      <c r="M14" s="218"/>
      <c r="N14" s="218">
        <v>4500</v>
      </c>
      <c r="O14" s="218">
        <f t="shared" si="20"/>
        <v>4500</v>
      </c>
      <c r="P14" s="218"/>
      <c r="Q14" s="218"/>
      <c r="R14" s="218"/>
      <c r="S14" s="218"/>
      <c r="T14" s="218"/>
      <c r="U14" s="218">
        <f t="shared" si="21"/>
        <v>0</v>
      </c>
      <c r="V14" s="218"/>
      <c r="W14" s="218"/>
      <c r="X14" s="218"/>
      <c r="Y14" s="218"/>
      <c r="Z14" s="218"/>
      <c r="AA14" s="218">
        <f t="shared" si="16"/>
        <v>0</v>
      </c>
      <c r="AB14" s="216">
        <f t="shared" si="4"/>
        <v>10000</v>
      </c>
      <c r="AC14" s="216">
        <f t="shared" si="5"/>
        <v>19000</v>
      </c>
    </row>
    <row r="15" spans="1:29" ht="36.75" customHeight="1" x14ac:dyDescent="0.25">
      <c r="A15" s="264"/>
      <c r="B15" s="226" t="s">
        <v>344</v>
      </c>
      <c r="C15" s="300"/>
      <c r="D15" s="218"/>
      <c r="E15" s="218">
        <f>72500+80300+15100</f>
        <v>167900</v>
      </c>
      <c r="F15" s="218"/>
      <c r="G15" s="218"/>
      <c r="H15" s="218"/>
      <c r="I15" s="219">
        <f t="shared" si="6"/>
        <v>167900</v>
      </c>
      <c r="J15" s="218"/>
      <c r="K15" s="218"/>
      <c r="L15" s="218"/>
      <c r="M15" s="218"/>
      <c r="N15" s="218"/>
      <c r="O15" s="218">
        <f t="shared" si="20"/>
        <v>0</v>
      </c>
      <c r="P15" s="218"/>
      <c r="Q15" s="218"/>
      <c r="R15" s="218"/>
      <c r="S15" s="218"/>
      <c r="T15" s="218"/>
      <c r="U15" s="218">
        <f t="shared" si="21"/>
        <v>0</v>
      </c>
      <c r="V15" s="218"/>
      <c r="W15" s="218"/>
      <c r="X15" s="218"/>
      <c r="Y15" s="218"/>
      <c r="Z15" s="218"/>
      <c r="AA15" s="218">
        <f t="shared" si="16"/>
        <v>0</v>
      </c>
      <c r="AB15" s="216">
        <f t="shared" si="4"/>
        <v>0</v>
      </c>
      <c r="AC15" s="216">
        <f t="shared" si="5"/>
        <v>167900</v>
      </c>
    </row>
    <row r="16" spans="1:29" x14ac:dyDescent="0.25">
      <c r="A16" s="265" t="s">
        <v>220</v>
      </c>
      <c r="B16" s="214"/>
      <c r="C16" s="302"/>
      <c r="D16" s="216">
        <f>SUM(D17:D24)</f>
        <v>0</v>
      </c>
      <c r="E16" s="216">
        <f t="shared" ref="E16:AA16" si="22">SUM(E17:E24)</f>
        <v>2100</v>
      </c>
      <c r="F16" s="216">
        <f t="shared" si="22"/>
        <v>0</v>
      </c>
      <c r="G16" s="216">
        <f t="shared" si="22"/>
        <v>0</v>
      </c>
      <c r="H16" s="216">
        <f t="shared" si="22"/>
        <v>0</v>
      </c>
      <c r="I16" s="216">
        <f t="shared" si="22"/>
        <v>2100</v>
      </c>
      <c r="J16" s="216">
        <f t="shared" si="22"/>
        <v>0</v>
      </c>
      <c r="K16" s="216">
        <f t="shared" si="22"/>
        <v>6800</v>
      </c>
      <c r="L16" s="216">
        <f t="shared" si="22"/>
        <v>0</v>
      </c>
      <c r="M16" s="216">
        <f t="shared" si="22"/>
        <v>0</v>
      </c>
      <c r="N16" s="216">
        <f t="shared" si="22"/>
        <v>0</v>
      </c>
      <c r="O16" s="216">
        <f t="shared" si="22"/>
        <v>6800</v>
      </c>
      <c r="P16" s="216">
        <f t="shared" si="22"/>
        <v>0</v>
      </c>
      <c r="Q16" s="216">
        <f t="shared" si="22"/>
        <v>6800</v>
      </c>
      <c r="R16" s="216">
        <f t="shared" si="22"/>
        <v>0</v>
      </c>
      <c r="S16" s="216">
        <f>SUM(S17:S24)</f>
        <v>0</v>
      </c>
      <c r="T16" s="216">
        <f t="shared" si="22"/>
        <v>0</v>
      </c>
      <c r="U16" s="216">
        <f t="shared" si="22"/>
        <v>6800</v>
      </c>
      <c r="V16" s="216">
        <f t="shared" si="22"/>
        <v>0</v>
      </c>
      <c r="W16" s="216">
        <f t="shared" si="22"/>
        <v>6800</v>
      </c>
      <c r="X16" s="216">
        <f t="shared" si="22"/>
        <v>0</v>
      </c>
      <c r="Y16" s="216">
        <f t="shared" si="22"/>
        <v>0</v>
      </c>
      <c r="Z16" s="216">
        <f t="shared" si="22"/>
        <v>0</v>
      </c>
      <c r="AA16" s="216">
        <f t="shared" si="22"/>
        <v>6800</v>
      </c>
      <c r="AB16" s="216">
        <f>SUM(D16,J16,P16,V16)</f>
        <v>0</v>
      </c>
      <c r="AC16" s="216">
        <f t="shared" si="5"/>
        <v>22500</v>
      </c>
    </row>
    <row r="17" spans="1:29" ht="130.5" customHeight="1" x14ac:dyDescent="0.25">
      <c r="A17" s="266"/>
      <c r="B17" s="251" t="s">
        <v>756</v>
      </c>
      <c r="C17" s="303" t="s">
        <v>729</v>
      </c>
      <c r="D17" s="219"/>
      <c r="E17" s="219"/>
      <c r="F17" s="219"/>
      <c r="G17" s="219"/>
      <c r="H17" s="219"/>
      <c r="I17" s="219">
        <f t="shared" si="6"/>
        <v>0</v>
      </c>
      <c r="J17" s="219"/>
      <c r="K17" s="219"/>
      <c r="L17" s="219"/>
      <c r="M17" s="219"/>
      <c r="N17" s="219"/>
      <c r="O17" s="219">
        <f t="shared" ref="O17" si="23">SUM(J17:N17)</f>
        <v>0</v>
      </c>
      <c r="P17" s="219"/>
      <c r="Q17" s="219"/>
      <c r="R17" s="219"/>
      <c r="S17" s="219"/>
      <c r="T17" s="219"/>
      <c r="U17" s="219">
        <f t="shared" ref="U17" si="24">SUM(P17:T17)</f>
        <v>0</v>
      </c>
      <c r="V17" s="219"/>
      <c r="W17" s="219"/>
      <c r="X17" s="219"/>
      <c r="Y17" s="219"/>
      <c r="Z17" s="219"/>
      <c r="AA17" s="219">
        <f t="shared" ref="AA17" si="25">SUM(V17:Z17)</f>
        <v>0</v>
      </c>
      <c r="AB17" s="216">
        <f>SUM(D17,J17,P17,V17)</f>
        <v>0</v>
      </c>
      <c r="AC17" s="216">
        <f>SUM(I17,O17,U17,AA17)</f>
        <v>0</v>
      </c>
    </row>
    <row r="18" spans="1:29" ht="326.25" x14ac:dyDescent="0.25">
      <c r="A18" s="266"/>
      <c r="B18" s="217" t="s">
        <v>673</v>
      </c>
      <c r="C18" s="299"/>
      <c r="D18" s="218"/>
      <c r="E18" s="218">
        <v>2100</v>
      </c>
      <c r="F18" s="218"/>
      <c r="G18" s="218"/>
      <c r="H18" s="218"/>
      <c r="I18" s="219">
        <f t="shared" si="6"/>
        <v>2100</v>
      </c>
      <c r="J18" s="219"/>
      <c r="K18" s="219">
        <v>6800</v>
      </c>
      <c r="L18" s="219"/>
      <c r="M18" s="219"/>
      <c r="N18" s="219"/>
      <c r="O18" s="219">
        <f t="shared" ref="O18:O60" si="26">SUM(J18:N18)</f>
        <v>6800</v>
      </c>
      <c r="P18" s="218"/>
      <c r="Q18" s="218">
        <v>6800</v>
      </c>
      <c r="R18" s="218"/>
      <c r="S18" s="218"/>
      <c r="T18" s="218"/>
      <c r="U18" s="219">
        <f t="shared" ref="U18:U84" si="27">SUM(P18:T18)</f>
        <v>6800</v>
      </c>
      <c r="V18" s="218"/>
      <c r="W18" s="218">
        <v>6800</v>
      </c>
      <c r="X18" s="218"/>
      <c r="Y18" s="218"/>
      <c r="Z18" s="218"/>
      <c r="AA18" s="218">
        <f t="shared" ref="AA18:AA84" si="28">V18+W18+X18+Z18</f>
        <v>6800</v>
      </c>
      <c r="AB18" s="216">
        <f t="shared" si="4"/>
        <v>0</v>
      </c>
      <c r="AC18" s="216"/>
    </row>
    <row r="19" spans="1:29" ht="98.25" customHeight="1" x14ac:dyDescent="0.25">
      <c r="A19" s="247"/>
      <c r="B19" s="252" t="s">
        <v>674</v>
      </c>
      <c r="C19" s="299"/>
      <c r="D19" s="218"/>
      <c r="E19" s="218"/>
      <c r="F19" s="218"/>
      <c r="G19" s="218"/>
      <c r="H19" s="218"/>
      <c r="I19" s="219">
        <f t="shared" si="6"/>
        <v>0</v>
      </c>
      <c r="J19" s="219"/>
      <c r="K19" s="219"/>
      <c r="L19" s="219"/>
      <c r="M19" s="219"/>
      <c r="N19" s="219"/>
      <c r="O19" s="219">
        <f t="shared" si="26"/>
        <v>0</v>
      </c>
      <c r="P19" s="218"/>
      <c r="Q19" s="218"/>
      <c r="R19" s="218"/>
      <c r="S19" s="218"/>
      <c r="T19" s="218"/>
      <c r="U19" s="219">
        <f t="shared" si="27"/>
        <v>0</v>
      </c>
      <c r="V19" s="218"/>
      <c r="W19" s="218"/>
      <c r="X19" s="218"/>
      <c r="Y19" s="218"/>
      <c r="Z19" s="218"/>
      <c r="AA19" s="218">
        <f t="shared" ref="AA19:AA24" si="29">SUM(V19:Z19)</f>
        <v>0</v>
      </c>
      <c r="AB19" s="216">
        <f t="shared" si="4"/>
        <v>0</v>
      </c>
      <c r="AC19" s="216">
        <f>60000*2.4</f>
        <v>144000</v>
      </c>
    </row>
    <row r="20" spans="1:29" ht="33.75" x14ac:dyDescent="0.25">
      <c r="A20" s="248"/>
      <c r="B20" s="217" t="s">
        <v>675</v>
      </c>
      <c r="C20" s="299"/>
      <c r="D20" s="218"/>
      <c r="E20" s="218"/>
      <c r="F20" s="218"/>
      <c r="G20" s="218"/>
      <c r="H20" s="218"/>
      <c r="I20" s="219">
        <f t="shared" si="6"/>
        <v>0</v>
      </c>
      <c r="J20" s="219"/>
      <c r="K20" s="219"/>
      <c r="L20" s="219"/>
      <c r="M20" s="219"/>
      <c r="N20" s="219"/>
      <c r="O20" s="219">
        <f t="shared" si="26"/>
        <v>0</v>
      </c>
      <c r="P20" s="218"/>
      <c r="Q20" s="218"/>
      <c r="R20" s="218"/>
      <c r="S20" s="218"/>
      <c r="T20" s="218"/>
      <c r="U20" s="219">
        <f t="shared" si="27"/>
        <v>0</v>
      </c>
      <c r="V20" s="218"/>
      <c r="W20" s="218"/>
      <c r="X20" s="218"/>
      <c r="Y20" s="218"/>
      <c r="Z20" s="218"/>
      <c r="AA20" s="218">
        <f t="shared" si="29"/>
        <v>0</v>
      </c>
      <c r="AB20" s="216">
        <f t="shared" ref="AB20:AB23" si="30">SUM(D20,J20,P20,V20)</f>
        <v>0</v>
      </c>
      <c r="AC20" s="216">
        <f t="shared" ref="AC20:AC23" si="31">SUM(I20,O20,U20,AA20)</f>
        <v>0</v>
      </c>
    </row>
    <row r="21" spans="1:29" ht="22.5" x14ac:dyDescent="0.25">
      <c r="A21" s="248"/>
      <c r="B21" s="217" t="s">
        <v>677</v>
      </c>
      <c r="C21" s="299"/>
      <c r="D21" s="218"/>
      <c r="E21" s="218"/>
      <c r="F21" s="218"/>
      <c r="G21" s="218"/>
      <c r="H21" s="218"/>
      <c r="I21" s="219">
        <f t="shared" si="6"/>
        <v>0</v>
      </c>
      <c r="J21" s="219"/>
      <c r="K21" s="219"/>
      <c r="L21" s="219"/>
      <c r="M21" s="219"/>
      <c r="N21" s="219"/>
      <c r="O21" s="219">
        <f t="shared" si="26"/>
        <v>0</v>
      </c>
      <c r="P21" s="218"/>
      <c r="Q21" s="218"/>
      <c r="R21" s="218"/>
      <c r="S21" s="218"/>
      <c r="T21" s="218"/>
      <c r="U21" s="219">
        <f t="shared" si="27"/>
        <v>0</v>
      </c>
      <c r="V21" s="218"/>
      <c r="W21" s="218"/>
      <c r="X21" s="218"/>
      <c r="Y21" s="218"/>
      <c r="Z21" s="218"/>
      <c r="AA21" s="218">
        <f t="shared" si="29"/>
        <v>0</v>
      </c>
      <c r="AB21" s="216">
        <f t="shared" si="30"/>
        <v>0</v>
      </c>
      <c r="AC21" s="216">
        <f t="shared" si="31"/>
        <v>0</v>
      </c>
    </row>
    <row r="22" spans="1:29" ht="22.5" x14ac:dyDescent="0.25">
      <c r="A22" s="248"/>
      <c r="B22" s="217" t="s">
        <v>676</v>
      </c>
      <c r="C22" s="299"/>
      <c r="D22" s="218"/>
      <c r="E22" s="218"/>
      <c r="F22" s="218"/>
      <c r="G22" s="218"/>
      <c r="H22" s="218"/>
      <c r="I22" s="219">
        <f t="shared" si="6"/>
        <v>0</v>
      </c>
      <c r="J22" s="219"/>
      <c r="K22" s="219"/>
      <c r="L22" s="219"/>
      <c r="M22" s="219"/>
      <c r="N22" s="219"/>
      <c r="O22" s="219">
        <f t="shared" si="26"/>
        <v>0</v>
      </c>
      <c r="P22" s="218"/>
      <c r="Q22" s="218"/>
      <c r="R22" s="218"/>
      <c r="S22" s="218"/>
      <c r="T22" s="218"/>
      <c r="U22" s="219">
        <f t="shared" si="27"/>
        <v>0</v>
      </c>
      <c r="V22" s="218"/>
      <c r="W22" s="218"/>
      <c r="X22" s="218"/>
      <c r="Y22" s="218"/>
      <c r="Z22" s="218"/>
      <c r="AA22" s="218">
        <f t="shared" si="29"/>
        <v>0</v>
      </c>
      <c r="AB22" s="216">
        <f t="shared" si="30"/>
        <v>0</v>
      </c>
      <c r="AC22" s="216">
        <f t="shared" si="31"/>
        <v>0</v>
      </c>
    </row>
    <row r="23" spans="1:29" ht="33.75" x14ac:dyDescent="0.25">
      <c r="A23" s="248"/>
      <c r="B23" s="217" t="s">
        <v>678</v>
      </c>
      <c r="C23" s="299"/>
      <c r="D23" s="218"/>
      <c r="E23" s="218"/>
      <c r="F23" s="218"/>
      <c r="G23" s="218"/>
      <c r="H23" s="218"/>
      <c r="I23" s="219">
        <f t="shared" si="6"/>
        <v>0</v>
      </c>
      <c r="J23" s="219"/>
      <c r="K23" s="219"/>
      <c r="L23" s="219"/>
      <c r="M23" s="219"/>
      <c r="N23" s="219"/>
      <c r="O23" s="219">
        <f t="shared" si="26"/>
        <v>0</v>
      </c>
      <c r="P23" s="218"/>
      <c r="Q23" s="218"/>
      <c r="R23" s="218"/>
      <c r="S23" s="218"/>
      <c r="T23" s="218"/>
      <c r="U23" s="219">
        <f t="shared" si="27"/>
        <v>0</v>
      </c>
      <c r="V23" s="218"/>
      <c r="W23" s="218"/>
      <c r="X23" s="218"/>
      <c r="Y23" s="218"/>
      <c r="Z23" s="218"/>
      <c r="AA23" s="218">
        <f t="shared" si="29"/>
        <v>0</v>
      </c>
      <c r="AB23" s="216">
        <f t="shared" si="30"/>
        <v>0</v>
      </c>
      <c r="AC23" s="216">
        <f t="shared" si="31"/>
        <v>0</v>
      </c>
    </row>
    <row r="24" spans="1:29" ht="63.6" customHeight="1" x14ac:dyDescent="0.25">
      <c r="A24" s="247"/>
      <c r="B24" s="250" t="s">
        <v>712</v>
      </c>
      <c r="C24" s="300"/>
      <c r="D24" s="218"/>
      <c r="E24" s="218"/>
      <c r="F24" s="218"/>
      <c r="G24" s="218"/>
      <c r="H24" s="218"/>
      <c r="I24" s="219">
        <f t="shared" si="6"/>
        <v>0</v>
      </c>
      <c r="J24" s="219"/>
      <c r="K24" s="219"/>
      <c r="L24" s="219"/>
      <c r="M24" s="219"/>
      <c r="N24" s="219"/>
      <c r="O24" s="219">
        <f t="shared" si="26"/>
        <v>0</v>
      </c>
      <c r="P24" s="218"/>
      <c r="Q24" s="218"/>
      <c r="R24" s="218"/>
      <c r="S24" s="218"/>
      <c r="T24" s="218"/>
      <c r="U24" s="219">
        <f t="shared" si="27"/>
        <v>0</v>
      </c>
      <c r="V24" s="218"/>
      <c r="W24" s="218"/>
      <c r="X24" s="218"/>
      <c r="Y24" s="218"/>
      <c r="Z24" s="218"/>
      <c r="AA24" s="218">
        <f t="shared" si="29"/>
        <v>0</v>
      </c>
      <c r="AB24" s="216">
        <f t="shared" si="4"/>
        <v>0</v>
      </c>
      <c r="AC24" s="216">
        <f t="shared" ref="AC24" si="32">SUM(I24,O24,U24,AA24)</f>
        <v>0</v>
      </c>
    </row>
    <row r="25" spans="1:29" x14ac:dyDescent="0.25">
      <c r="A25" s="264" t="s">
        <v>713</v>
      </c>
      <c r="B25" s="214"/>
      <c r="C25" s="302"/>
      <c r="D25" s="216">
        <f>SUM(D26:D34)</f>
        <v>10050</v>
      </c>
      <c r="E25" s="216">
        <f>SUM(E26:E34)</f>
        <v>107900</v>
      </c>
      <c r="F25" s="216">
        <f>SUM(F26:F34)</f>
        <v>0</v>
      </c>
      <c r="G25" s="216">
        <f>SUM(G26:G34)</f>
        <v>0</v>
      </c>
      <c r="H25" s="216">
        <f>SUM(H26:H34)</f>
        <v>0</v>
      </c>
      <c r="I25" s="216">
        <f t="shared" si="6"/>
        <v>117950</v>
      </c>
      <c r="J25" s="216">
        <f>SUM(J26:J34)</f>
        <v>39000</v>
      </c>
      <c r="K25" s="216">
        <f>SUM(K26:K34)</f>
        <v>154130</v>
      </c>
      <c r="L25" s="216">
        <f>SUM(L26:L34)</f>
        <v>0</v>
      </c>
      <c r="M25" s="216"/>
      <c r="N25" s="216">
        <f>SUM(N26:N34)</f>
        <v>0</v>
      </c>
      <c r="O25" s="216">
        <f t="shared" si="26"/>
        <v>193130</v>
      </c>
      <c r="P25" s="216">
        <f>SUM(P26:P34)</f>
        <v>39000</v>
      </c>
      <c r="Q25" s="216">
        <f>SUM(Q26:Q34)</f>
        <v>125040</v>
      </c>
      <c r="R25" s="216">
        <f>SUM(R26:R30)</f>
        <v>0</v>
      </c>
      <c r="S25" s="216"/>
      <c r="T25" s="216">
        <f>SUM(T26:T30)</f>
        <v>0</v>
      </c>
      <c r="U25" s="216">
        <f t="shared" si="27"/>
        <v>164040</v>
      </c>
      <c r="V25" s="216">
        <f>SUM(V26:V34)</f>
        <v>39000</v>
      </c>
      <c r="W25" s="216">
        <f>SUM(W26:W34)</f>
        <v>111300</v>
      </c>
      <c r="X25" s="216">
        <f>SUM(X26:X34)</f>
        <v>0</v>
      </c>
      <c r="Y25" s="216"/>
      <c r="Z25" s="216">
        <f>SUM(Z26:Z34)</f>
        <v>0</v>
      </c>
      <c r="AA25" s="216">
        <f t="shared" si="28"/>
        <v>150300</v>
      </c>
      <c r="AB25" s="216">
        <f t="shared" si="4"/>
        <v>127050</v>
      </c>
      <c r="AC25" s="216">
        <f t="shared" si="5"/>
        <v>625420</v>
      </c>
    </row>
    <row r="26" spans="1:29" ht="80.099999999999994" customHeight="1" x14ac:dyDescent="0.25">
      <c r="A26" s="264"/>
      <c r="B26" s="217" t="s">
        <v>602</v>
      </c>
      <c r="C26" s="303" t="s">
        <v>730</v>
      </c>
      <c r="D26" s="218"/>
      <c r="E26" s="218">
        <v>25000</v>
      </c>
      <c r="F26" s="218"/>
      <c r="G26" s="218"/>
      <c r="H26" s="218"/>
      <c r="I26" s="219">
        <f>SUM(D26:H26)</f>
        <v>25000</v>
      </c>
      <c r="J26" s="219"/>
      <c r="K26" s="219">
        <v>35000</v>
      </c>
      <c r="L26" s="219"/>
      <c r="M26" s="219"/>
      <c r="N26" s="219"/>
      <c r="O26" s="219">
        <f>SUM(J26:N26)</f>
        <v>35000</v>
      </c>
      <c r="P26" s="218"/>
      <c r="Q26" s="218">
        <v>35000</v>
      </c>
      <c r="R26" s="218"/>
      <c r="S26" s="218"/>
      <c r="T26" s="218"/>
      <c r="U26" s="219">
        <f>SUM(P26:T26)</f>
        <v>35000</v>
      </c>
      <c r="V26" s="218"/>
      <c r="W26" s="218">
        <v>35000</v>
      </c>
      <c r="X26" s="218"/>
      <c r="Y26" s="218"/>
      <c r="Z26" s="218"/>
      <c r="AA26" s="218">
        <f>SUM(V26:Z26)</f>
        <v>35000</v>
      </c>
      <c r="AB26" s="216">
        <f t="shared" si="4"/>
        <v>0</v>
      </c>
      <c r="AC26" s="216">
        <f t="shared" si="5"/>
        <v>130000</v>
      </c>
    </row>
    <row r="27" spans="1:29" ht="24" customHeight="1" x14ac:dyDescent="0.25">
      <c r="A27" s="264"/>
      <c r="B27" s="227" t="s">
        <v>583</v>
      </c>
      <c r="C27" s="304"/>
      <c r="D27" s="218"/>
      <c r="E27" s="218"/>
      <c r="F27" s="218"/>
      <c r="G27" s="218"/>
      <c r="H27" s="218"/>
      <c r="I27" s="219">
        <f t="shared" si="6"/>
        <v>0</v>
      </c>
      <c r="J27" s="219">
        <v>30000</v>
      </c>
      <c r="K27" s="219"/>
      <c r="L27" s="219"/>
      <c r="M27" s="219"/>
      <c r="N27" s="219"/>
      <c r="O27" s="219">
        <f t="shared" si="26"/>
        <v>30000</v>
      </c>
      <c r="P27" s="218">
        <v>30000</v>
      </c>
      <c r="Q27" s="218"/>
      <c r="R27" s="218"/>
      <c r="S27" s="218"/>
      <c r="T27" s="218"/>
      <c r="U27" s="219">
        <f t="shared" si="27"/>
        <v>30000</v>
      </c>
      <c r="V27" s="218">
        <v>30000</v>
      </c>
      <c r="W27" s="218"/>
      <c r="X27" s="218"/>
      <c r="Y27" s="218"/>
      <c r="Z27" s="218"/>
      <c r="AA27" s="218">
        <f t="shared" si="28"/>
        <v>30000</v>
      </c>
      <c r="AB27" s="216">
        <f t="shared" si="4"/>
        <v>90000</v>
      </c>
      <c r="AC27" s="216">
        <f t="shared" si="5"/>
        <v>90000</v>
      </c>
    </row>
    <row r="28" spans="1:29" ht="45" x14ac:dyDescent="0.25">
      <c r="A28" s="264"/>
      <c r="B28" s="227" t="s">
        <v>293</v>
      </c>
      <c r="C28" s="304"/>
      <c r="D28" s="218">
        <v>1050</v>
      </c>
      <c r="E28" s="218">
        <v>18650</v>
      </c>
      <c r="F28" s="218"/>
      <c r="G28" s="218"/>
      <c r="H28" s="218"/>
      <c r="I28" s="219">
        <f t="shared" si="6"/>
        <v>19700</v>
      </c>
      <c r="J28" s="219"/>
      <c r="K28" s="219">
        <v>23860</v>
      </c>
      <c r="L28" s="219"/>
      <c r="M28" s="219"/>
      <c r="N28" s="219"/>
      <c r="O28" s="219">
        <f t="shared" si="26"/>
        <v>23860</v>
      </c>
      <c r="P28" s="218"/>
      <c r="Q28" s="218"/>
      <c r="R28" s="218"/>
      <c r="S28" s="218"/>
      <c r="T28" s="218"/>
      <c r="U28" s="219">
        <f t="shared" si="27"/>
        <v>0</v>
      </c>
      <c r="V28" s="218"/>
      <c r="W28" s="218"/>
      <c r="X28" s="218"/>
      <c r="Y28" s="218"/>
      <c r="Z28" s="218"/>
      <c r="AA28" s="218">
        <f t="shared" si="28"/>
        <v>0</v>
      </c>
      <c r="AB28" s="216">
        <f t="shared" si="4"/>
        <v>1050</v>
      </c>
      <c r="AC28" s="216">
        <f t="shared" si="5"/>
        <v>43560</v>
      </c>
    </row>
    <row r="29" spans="1:29" ht="66" customHeight="1" x14ac:dyDescent="0.25">
      <c r="A29" s="264"/>
      <c r="B29" s="217" t="s">
        <v>294</v>
      </c>
      <c r="C29" s="304"/>
      <c r="D29" s="218"/>
      <c r="E29" s="218">
        <v>25000</v>
      </c>
      <c r="F29" s="218"/>
      <c r="G29" s="218"/>
      <c r="H29" s="218"/>
      <c r="I29" s="219">
        <f t="shared" si="6"/>
        <v>25000</v>
      </c>
      <c r="J29" s="219"/>
      <c r="K29" s="219"/>
      <c r="L29" s="219"/>
      <c r="M29" s="219"/>
      <c r="N29" s="219"/>
      <c r="O29" s="219">
        <f t="shared" si="26"/>
        <v>0</v>
      </c>
      <c r="P29" s="218"/>
      <c r="Q29" s="218"/>
      <c r="R29" s="218"/>
      <c r="S29" s="218"/>
      <c r="T29" s="218"/>
      <c r="U29" s="219">
        <f t="shared" si="27"/>
        <v>0</v>
      </c>
      <c r="V29" s="218"/>
      <c r="W29" s="218"/>
      <c r="X29" s="218"/>
      <c r="Y29" s="218"/>
      <c r="Z29" s="218"/>
      <c r="AA29" s="218">
        <f t="shared" si="28"/>
        <v>0</v>
      </c>
      <c r="AB29" s="216">
        <f t="shared" si="4"/>
        <v>0</v>
      </c>
      <c r="AC29" s="216">
        <f t="shared" si="5"/>
        <v>25000</v>
      </c>
    </row>
    <row r="30" spans="1:29" ht="33.75" x14ac:dyDescent="0.25">
      <c r="A30" s="264"/>
      <c r="B30" s="227" t="s">
        <v>295</v>
      </c>
      <c r="C30" s="304"/>
      <c r="D30" s="218">
        <v>1000</v>
      </c>
      <c r="E30" s="218">
        <v>7000</v>
      </c>
      <c r="F30" s="218"/>
      <c r="G30" s="218"/>
      <c r="H30" s="218"/>
      <c r="I30" s="219">
        <f t="shared" si="6"/>
        <v>8000</v>
      </c>
      <c r="J30" s="219">
        <v>1000</v>
      </c>
      <c r="K30" s="219">
        <v>9000</v>
      </c>
      <c r="L30" s="219"/>
      <c r="M30" s="219"/>
      <c r="N30" s="219"/>
      <c r="O30" s="219">
        <f t="shared" si="26"/>
        <v>10000</v>
      </c>
      <c r="P30" s="218">
        <v>1000</v>
      </c>
      <c r="Q30" s="218">
        <v>9000</v>
      </c>
      <c r="R30" s="218"/>
      <c r="S30" s="218"/>
      <c r="T30" s="218"/>
      <c r="U30" s="219">
        <f t="shared" si="27"/>
        <v>10000</v>
      </c>
      <c r="V30" s="218">
        <v>1000</v>
      </c>
      <c r="W30" s="218">
        <v>9000</v>
      </c>
      <c r="X30" s="218"/>
      <c r="Y30" s="218"/>
      <c r="Z30" s="218"/>
      <c r="AA30" s="218">
        <f t="shared" si="28"/>
        <v>10000</v>
      </c>
      <c r="AB30" s="216">
        <f t="shared" si="4"/>
        <v>4000</v>
      </c>
      <c r="AC30" s="216">
        <f t="shared" si="5"/>
        <v>38000</v>
      </c>
    </row>
    <row r="31" spans="1:29" ht="63" customHeight="1" x14ac:dyDescent="0.25">
      <c r="A31" s="264"/>
      <c r="B31" s="227" t="s">
        <v>603</v>
      </c>
      <c r="C31" s="304"/>
      <c r="D31" s="218">
        <v>8000</v>
      </c>
      <c r="E31" s="218"/>
      <c r="F31" s="218"/>
      <c r="G31" s="218"/>
      <c r="H31" s="218"/>
      <c r="I31" s="219">
        <f t="shared" si="6"/>
        <v>8000</v>
      </c>
      <c r="J31" s="219">
        <v>8000</v>
      </c>
      <c r="K31" s="219"/>
      <c r="L31" s="219"/>
      <c r="M31" s="219"/>
      <c r="N31" s="219"/>
      <c r="O31" s="219">
        <f t="shared" si="26"/>
        <v>8000</v>
      </c>
      <c r="P31" s="218">
        <v>8000</v>
      </c>
      <c r="Q31" s="218"/>
      <c r="R31" s="218"/>
      <c r="S31" s="218"/>
      <c r="T31" s="218"/>
      <c r="U31" s="219">
        <f t="shared" si="27"/>
        <v>8000</v>
      </c>
      <c r="V31" s="218">
        <v>8000</v>
      </c>
      <c r="W31" s="218"/>
      <c r="X31" s="218"/>
      <c r="Y31" s="218"/>
      <c r="Z31" s="218"/>
      <c r="AA31" s="218">
        <f t="shared" si="28"/>
        <v>8000</v>
      </c>
      <c r="AB31" s="216">
        <f t="shared" si="4"/>
        <v>32000</v>
      </c>
      <c r="AC31" s="216">
        <f t="shared" si="5"/>
        <v>32000</v>
      </c>
    </row>
    <row r="32" spans="1:29" ht="101.25" customHeight="1" x14ac:dyDescent="0.25">
      <c r="A32" s="264"/>
      <c r="B32" s="217" t="s">
        <v>604</v>
      </c>
      <c r="C32" s="304"/>
      <c r="D32" s="228"/>
      <c r="E32" s="218">
        <v>21600</v>
      </c>
      <c r="F32" s="218"/>
      <c r="G32" s="218"/>
      <c r="H32" s="218"/>
      <c r="I32" s="219">
        <f>SUM(E32:H32)</f>
        <v>21600</v>
      </c>
      <c r="J32" s="228"/>
      <c r="K32" s="219">
        <v>37530</v>
      </c>
      <c r="L32" s="219"/>
      <c r="M32" s="219"/>
      <c r="N32" s="219"/>
      <c r="O32" s="219">
        <f>SUM(K32:N32)</f>
        <v>37530</v>
      </c>
      <c r="P32" s="228"/>
      <c r="Q32" s="218">
        <v>16740</v>
      </c>
      <c r="R32" s="229"/>
      <c r="S32" s="229"/>
      <c r="T32" s="229"/>
      <c r="U32" s="219">
        <f>SUM(Q32:T32)</f>
        <v>16740</v>
      </c>
      <c r="V32" s="228">
        <v>0</v>
      </c>
      <c r="W32" s="230">
        <v>18600</v>
      </c>
      <c r="X32" s="229"/>
      <c r="Y32" s="229"/>
      <c r="Z32" s="229"/>
      <c r="AA32" s="218">
        <f>V32+W32+X32+Z32</f>
        <v>18600</v>
      </c>
      <c r="AB32" s="216">
        <f t="shared" si="4"/>
        <v>0</v>
      </c>
      <c r="AC32" s="216">
        <f t="shared" si="5"/>
        <v>94470</v>
      </c>
    </row>
    <row r="33" spans="1:95" ht="135.75" customHeight="1" x14ac:dyDescent="0.25">
      <c r="A33" s="264"/>
      <c r="B33" s="217" t="s">
        <v>708</v>
      </c>
      <c r="C33" s="304"/>
      <c r="D33" s="230"/>
      <c r="E33" s="230"/>
      <c r="F33" s="230"/>
      <c r="G33" s="230"/>
      <c r="H33" s="230"/>
      <c r="I33" s="231"/>
      <c r="J33" s="231"/>
      <c r="K33" s="231">
        <v>45740</v>
      </c>
      <c r="L33" s="231"/>
      <c r="M33" s="231"/>
      <c r="N33" s="231"/>
      <c r="O33" s="231">
        <f t="shared" ref="O33" si="33">SUM(J33:N33)</f>
        <v>45740</v>
      </c>
      <c r="P33" s="230"/>
      <c r="Q33" s="230">
        <v>61300</v>
      </c>
      <c r="R33" s="232"/>
      <c r="S33" s="232"/>
      <c r="T33" s="232"/>
      <c r="U33" s="231">
        <f t="shared" si="27"/>
        <v>61300</v>
      </c>
      <c r="V33" s="231"/>
      <c r="W33" s="230">
        <v>45700</v>
      </c>
      <c r="X33" s="230"/>
      <c r="Y33" s="230"/>
      <c r="Z33" s="232"/>
      <c r="AA33" s="230">
        <f t="shared" ref="AA33" si="34">SUM(V33:Z33)</f>
        <v>45700</v>
      </c>
      <c r="AB33" s="216">
        <f t="shared" si="4"/>
        <v>0</v>
      </c>
      <c r="AC33" s="216">
        <f t="shared" si="5"/>
        <v>152740</v>
      </c>
    </row>
    <row r="34" spans="1:95" ht="50.25" customHeight="1" x14ac:dyDescent="0.25">
      <c r="A34" s="264"/>
      <c r="B34" s="227" t="s">
        <v>605</v>
      </c>
      <c r="C34" s="305"/>
      <c r="D34" s="218"/>
      <c r="E34" s="222">
        <f>3550*3</f>
        <v>10650</v>
      </c>
      <c r="F34" s="222"/>
      <c r="G34" s="222"/>
      <c r="H34" s="222"/>
      <c r="I34" s="223">
        <f t="shared" ref="I34" si="35">SUM(D34:H34)</f>
        <v>10650</v>
      </c>
      <c r="J34" s="223"/>
      <c r="K34" s="223">
        <v>3000</v>
      </c>
      <c r="L34" s="223"/>
      <c r="M34" s="223"/>
      <c r="N34" s="223"/>
      <c r="O34" s="223">
        <f t="shared" ref="O34" si="36">SUM(J34:N34)</f>
        <v>3000</v>
      </c>
      <c r="P34" s="222"/>
      <c r="Q34" s="222">
        <v>3000</v>
      </c>
      <c r="R34" s="222"/>
      <c r="S34" s="222"/>
      <c r="T34" s="222"/>
      <c r="U34" s="223">
        <f t="shared" si="27"/>
        <v>3000</v>
      </c>
      <c r="V34" s="222"/>
      <c r="W34" s="222">
        <v>3000</v>
      </c>
      <c r="X34" s="222"/>
      <c r="Y34" s="222"/>
      <c r="Z34" s="222"/>
      <c r="AA34" s="218">
        <f t="shared" si="28"/>
        <v>3000</v>
      </c>
      <c r="AB34" s="216">
        <f t="shared" si="4"/>
        <v>0</v>
      </c>
      <c r="AC34" s="216">
        <f t="shared" si="5"/>
        <v>19650</v>
      </c>
    </row>
    <row r="35" spans="1:95" x14ac:dyDescent="0.25">
      <c r="A35" s="264" t="s">
        <v>290</v>
      </c>
      <c r="B35" s="214"/>
      <c r="C35" s="302"/>
      <c r="D35" s="216">
        <f>SUM(D36:D40)</f>
        <v>260880</v>
      </c>
      <c r="E35" s="216">
        <f>SUM(E36:E40)</f>
        <v>10984</v>
      </c>
      <c r="F35" s="216">
        <f>SUM(F36:F40)</f>
        <v>0</v>
      </c>
      <c r="G35" s="216">
        <f>SUM(G36:G40)</f>
        <v>0</v>
      </c>
      <c r="H35" s="216">
        <f>SUM(H36:H40)</f>
        <v>9433</v>
      </c>
      <c r="I35" s="216">
        <f t="shared" si="6"/>
        <v>281297</v>
      </c>
      <c r="J35" s="216">
        <f>SUM(J36:J40)</f>
        <v>111900</v>
      </c>
      <c r="K35" s="216">
        <f>SUM(K36:K40)</f>
        <v>0</v>
      </c>
      <c r="L35" s="216">
        <f>SUM(L36:L40)</f>
        <v>0</v>
      </c>
      <c r="M35" s="216"/>
      <c r="N35" s="216">
        <f>SUM(N36:N40)</f>
        <v>9500</v>
      </c>
      <c r="O35" s="216">
        <f t="shared" si="26"/>
        <v>121400</v>
      </c>
      <c r="P35" s="216">
        <f>SUM(P36:P40)</f>
        <v>121400</v>
      </c>
      <c r="Q35" s="216">
        <f>SUM(Q36:Q40)</f>
        <v>0</v>
      </c>
      <c r="R35" s="216">
        <f>SUM(R36:R40)</f>
        <v>0</v>
      </c>
      <c r="S35" s="216"/>
      <c r="T35" s="216">
        <f>SUM(T36:T40)</f>
        <v>9800</v>
      </c>
      <c r="U35" s="216">
        <f t="shared" si="27"/>
        <v>131200</v>
      </c>
      <c r="V35" s="216">
        <f>SUM(V36:V40)</f>
        <v>126400</v>
      </c>
      <c r="W35" s="216">
        <f>SUM(W36:W40)</f>
        <v>0</v>
      </c>
      <c r="X35" s="216">
        <f>SUM(X36:X40)</f>
        <v>0</v>
      </c>
      <c r="Y35" s="216"/>
      <c r="Z35" s="216">
        <f>SUM(Z36:Z40)</f>
        <v>10000</v>
      </c>
      <c r="AA35" s="216">
        <f t="shared" si="28"/>
        <v>136400</v>
      </c>
      <c r="AB35" s="216">
        <f t="shared" si="4"/>
        <v>620580</v>
      </c>
      <c r="AC35" s="216">
        <f t="shared" si="5"/>
        <v>670297</v>
      </c>
    </row>
    <row r="36" spans="1:95" s="76" customFormat="1" ht="39.75" customHeight="1" x14ac:dyDescent="0.25">
      <c r="A36" s="264"/>
      <c r="B36" s="227" t="s">
        <v>314</v>
      </c>
      <c r="C36" s="298" t="s">
        <v>731</v>
      </c>
      <c r="D36" s="224">
        <f>19000+12974-10984</f>
        <v>20990</v>
      </c>
      <c r="E36" s="218">
        <v>10984</v>
      </c>
      <c r="F36" s="218"/>
      <c r="G36" s="218"/>
      <c r="H36" s="218"/>
      <c r="I36" s="219">
        <f t="shared" si="6"/>
        <v>31974</v>
      </c>
      <c r="J36" s="219">
        <v>10000</v>
      </c>
      <c r="K36" s="219"/>
      <c r="L36" s="219"/>
      <c r="M36" s="219"/>
      <c r="N36" s="219"/>
      <c r="O36" s="219">
        <f t="shared" si="26"/>
        <v>10000</v>
      </c>
      <c r="P36" s="218">
        <v>15000</v>
      </c>
      <c r="Q36" s="218"/>
      <c r="R36" s="218"/>
      <c r="S36" s="218"/>
      <c r="T36" s="218"/>
      <c r="U36" s="219">
        <f t="shared" si="27"/>
        <v>15000</v>
      </c>
      <c r="V36" s="218">
        <v>20000</v>
      </c>
      <c r="W36" s="218"/>
      <c r="X36" s="218"/>
      <c r="Y36" s="218"/>
      <c r="Z36" s="218"/>
      <c r="AA36" s="218">
        <f t="shared" si="28"/>
        <v>20000</v>
      </c>
      <c r="AB36" s="216">
        <f t="shared" si="4"/>
        <v>65990</v>
      </c>
      <c r="AC36" s="216">
        <f t="shared" si="5"/>
        <v>76974</v>
      </c>
      <c r="AD36" s="206"/>
      <c r="AE36" s="206"/>
      <c r="AF36" s="206"/>
      <c r="AG36" s="206"/>
      <c r="AH36" s="206"/>
      <c r="AI36" s="206"/>
      <c r="AJ36" s="206"/>
      <c r="AK36" s="206"/>
      <c r="AL36" s="206"/>
      <c r="AM36" s="206"/>
      <c r="AN36" s="206"/>
      <c r="AO36" s="206"/>
      <c r="AP36" s="206"/>
      <c r="AQ36" s="206"/>
      <c r="AR36" s="206"/>
      <c r="AS36" s="206"/>
      <c r="AT36" s="206"/>
      <c r="AU36" s="206"/>
      <c r="AV36" s="206"/>
      <c r="AW36" s="206"/>
      <c r="AX36" s="206"/>
      <c r="AY36" s="206"/>
      <c r="AZ36" s="206"/>
      <c r="BA36" s="206"/>
      <c r="BB36" s="206"/>
      <c r="BC36" s="206"/>
      <c r="BD36" s="206"/>
      <c r="BE36" s="206"/>
      <c r="BF36" s="206"/>
      <c r="BG36" s="206"/>
      <c r="BH36" s="206"/>
      <c r="BI36" s="206"/>
      <c r="BJ36" s="206"/>
      <c r="BK36" s="206"/>
      <c r="BL36" s="206"/>
      <c r="BM36" s="206"/>
      <c r="BN36" s="206"/>
      <c r="BO36" s="206"/>
      <c r="BP36" s="206"/>
      <c r="BQ36" s="206"/>
      <c r="BR36" s="206"/>
      <c r="BS36" s="206"/>
      <c r="BT36" s="206"/>
      <c r="BU36" s="206"/>
      <c r="BV36" s="206"/>
      <c r="BW36" s="206"/>
      <c r="BX36" s="206"/>
      <c r="BY36" s="206"/>
      <c r="BZ36" s="206"/>
      <c r="CA36" s="206"/>
      <c r="CB36" s="206"/>
      <c r="CC36" s="206"/>
      <c r="CD36" s="206"/>
      <c r="CE36" s="206"/>
      <c r="CF36" s="206"/>
      <c r="CG36" s="206"/>
      <c r="CH36" s="206"/>
      <c r="CI36" s="206"/>
      <c r="CJ36" s="206"/>
      <c r="CK36" s="206"/>
      <c r="CL36" s="206"/>
      <c r="CM36" s="206"/>
      <c r="CN36" s="206"/>
      <c r="CO36" s="206"/>
      <c r="CP36" s="206"/>
      <c r="CQ36" s="77"/>
    </row>
    <row r="37" spans="1:95" ht="48" customHeight="1" x14ac:dyDescent="0.25">
      <c r="A37" s="264"/>
      <c r="B37" s="227" t="s">
        <v>315</v>
      </c>
      <c r="C37" s="299"/>
      <c r="D37" s="218">
        <v>8000</v>
      </c>
      <c r="E37" s="218"/>
      <c r="F37" s="218"/>
      <c r="G37" s="218"/>
      <c r="H37" s="218"/>
      <c r="I37" s="219">
        <f t="shared" si="6"/>
        <v>8000</v>
      </c>
      <c r="J37" s="219">
        <v>8000</v>
      </c>
      <c r="K37" s="219"/>
      <c r="L37" s="219"/>
      <c r="M37" s="219"/>
      <c r="N37" s="219"/>
      <c r="O37" s="219">
        <f t="shared" si="26"/>
        <v>8000</v>
      </c>
      <c r="P37" s="218">
        <v>8000</v>
      </c>
      <c r="Q37" s="218"/>
      <c r="R37" s="218"/>
      <c r="S37" s="218"/>
      <c r="T37" s="218"/>
      <c r="U37" s="219">
        <f t="shared" si="27"/>
        <v>8000</v>
      </c>
      <c r="V37" s="218">
        <v>8000</v>
      </c>
      <c r="W37" s="218"/>
      <c r="X37" s="218"/>
      <c r="Y37" s="218"/>
      <c r="Z37" s="218"/>
      <c r="AA37" s="218">
        <f t="shared" si="28"/>
        <v>8000</v>
      </c>
      <c r="AB37" s="216">
        <f t="shared" si="4"/>
        <v>32000</v>
      </c>
      <c r="AC37" s="216">
        <f t="shared" si="5"/>
        <v>32000</v>
      </c>
    </row>
    <row r="38" spans="1:95" ht="93" customHeight="1" x14ac:dyDescent="0.25">
      <c r="A38" s="264"/>
      <c r="B38" s="227" t="s">
        <v>316</v>
      </c>
      <c r="C38" s="299"/>
      <c r="D38" s="218"/>
      <c r="E38" s="218"/>
      <c r="F38" s="218"/>
      <c r="G38" s="218"/>
      <c r="H38" s="218">
        <v>9433</v>
      </c>
      <c r="I38" s="219">
        <f t="shared" si="6"/>
        <v>9433</v>
      </c>
      <c r="J38" s="219"/>
      <c r="K38" s="219"/>
      <c r="L38" s="219"/>
      <c r="M38" s="219"/>
      <c r="N38" s="219">
        <v>9500</v>
      </c>
      <c r="O38" s="219">
        <f t="shared" si="26"/>
        <v>9500</v>
      </c>
      <c r="P38" s="218"/>
      <c r="Q38" s="218"/>
      <c r="R38" s="218"/>
      <c r="S38" s="218"/>
      <c r="T38" s="218">
        <v>9800</v>
      </c>
      <c r="U38" s="219">
        <f t="shared" si="27"/>
        <v>9800</v>
      </c>
      <c r="V38" s="218"/>
      <c r="W38" s="218"/>
      <c r="X38" s="218"/>
      <c r="Y38" s="218"/>
      <c r="Z38" s="218">
        <v>10000</v>
      </c>
      <c r="AA38" s="218">
        <f t="shared" si="28"/>
        <v>10000</v>
      </c>
      <c r="AB38" s="216">
        <f t="shared" si="4"/>
        <v>0</v>
      </c>
      <c r="AC38" s="216">
        <f t="shared" si="5"/>
        <v>38733</v>
      </c>
    </row>
    <row r="39" spans="1:95" ht="101.25" x14ac:dyDescent="0.25">
      <c r="A39" s="264"/>
      <c r="B39" s="227" t="s">
        <v>317</v>
      </c>
      <c r="C39" s="299"/>
      <c r="D39" s="219">
        <f>134600+14750</f>
        <v>149350</v>
      </c>
      <c r="E39" s="218"/>
      <c r="F39" s="218"/>
      <c r="G39" s="218"/>
      <c r="H39" s="218"/>
      <c r="I39" s="219">
        <f t="shared" si="6"/>
        <v>149350</v>
      </c>
      <c r="J39" s="219"/>
      <c r="K39" s="219"/>
      <c r="L39" s="219"/>
      <c r="M39" s="219"/>
      <c r="N39" s="219"/>
      <c r="O39" s="219">
        <f t="shared" si="26"/>
        <v>0</v>
      </c>
      <c r="P39" s="218"/>
      <c r="Q39" s="218"/>
      <c r="R39" s="218"/>
      <c r="S39" s="218"/>
      <c r="T39" s="218"/>
      <c r="U39" s="219">
        <f t="shared" si="27"/>
        <v>0</v>
      </c>
      <c r="V39" s="218"/>
      <c r="W39" s="218"/>
      <c r="X39" s="218"/>
      <c r="Y39" s="218"/>
      <c r="Z39" s="218"/>
      <c r="AA39" s="218">
        <f t="shared" si="28"/>
        <v>0</v>
      </c>
      <c r="AB39" s="216">
        <f t="shared" si="4"/>
        <v>149350</v>
      </c>
      <c r="AC39" s="216">
        <f t="shared" si="5"/>
        <v>149350</v>
      </c>
    </row>
    <row r="40" spans="1:95" ht="37.5" customHeight="1" x14ac:dyDescent="0.25">
      <c r="A40" s="264"/>
      <c r="B40" s="227" t="s">
        <v>318</v>
      </c>
      <c r="C40" s="300"/>
      <c r="D40" s="218">
        <v>82540</v>
      </c>
      <c r="E40" s="218"/>
      <c r="F40" s="218"/>
      <c r="G40" s="218"/>
      <c r="H40" s="218"/>
      <c r="I40" s="219">
        <f t="shared" si="6"/>
        <v>82540</v>
      </c>
      <c r="J40" s="219">
        <v>93900</v>
      </c>
      <c r="K40" s="219"/>
      <c r="L40" s="219"/>
      <c r="M40" s="219"/>
      <c r="N40" s="219"/>
      <c r="O40" s="219">
        <f t="shared" si="26"/>
        <v>93900</v>
      </c>
      <c r="P40" s="218">
        <v>98400</v>
      </c>
      <c r="Q40" s="218"/>
      <c r="R40" s="218"/>
      <c r="S40" s="218"/>
      <c r="T40" s="218"/>
      <c r="U40" s="219">
        <f t="shared" si="27"/>
        <v>98400</v>
      </c>
      <c r="V40" s="218">
        <v>98400</v>
      </c>
      <c r="W40" s="218"/>
      <c r="X40" s="218"/>
      <c r="Y40" s="218"/>
      <c r="Z40" s="218"/>
      <c r="AA40" s="218">
        <f t="shared" si="28"/>
        <v>98400</v>
      </c>
      <c r="AB40" s="216">
        <f t="shared" si="4"/>
        <v>373240</v>
      </c>
      <c r="AC40" s="216">
        <f t="shared" si="5"/>
        <v>373240</v>
      </c>
    </row>
    <row r="41" spans="1:95" x14ac:dyDescent="0.25">
      <c r="A41" s="264" t="s">
        <v>221</v>
      </c>
      <c r="B41" s="214"/>
      <c r="C41" s="302"/>
      <c r="D41" s="216">
        <f>SUM(D42:D43)</f>
        <v>80840</v>
      </c>
      <c r="E41" s="216">
        <f>SUM(E42:E43)</f>
        <v>311230</v>
      </c>
      <c r="F41" s="216">
        <f>SUM(F42:F43)</f>
        <v>0</v>
      </c>
      <c r="G41" s="216">
        <f>SUM(G42:G43)</f>
        <v>0</v>
      </c>
      <c r="H41" s="216">
        <f>SUM(H42:H43)</f>
        <v>0</v>
      </c>
      <c r="I41" s="216">
        <f t="shared" si="6"/>
        <v>392070</v>
      </c>
      <c r="J41" s="216">
        <f>SUM(J42:J43)</f>
        <v>79574</v>
      </c>
      <c r="K41" s="216">
        <f t="shared" ref="K41:N41" si="37">SUM(K42:K43)</f>
        <v>334893</v>
      </c>
      <c r="L41" s="216">
        <f t="shared" si="37"/>
        <v>0</v>
      </c>
      <c r="M41" s="216"/>
      <c r="N41" s="216">
        <f t="shared" si="37"/>
        <v>0</v>
      </c>
      <c r="O41" s="216">
        <f t="shared" si="26"/>
        <v>414467</v>
      </c>
      <c r="P41" s="216">
        <f>SUM(P42:P43)</f>
        <v>28627</v>
      </c>
      <c r="Q41" s="216">
        <f>SUM(Q42:Q43)</f>
        <v>39743</v>
      </c>
      <c r="R41" s="216">
        <f t="shared" ref="R41:T41" si="38">SUM(R42:R43)</f>
        <v>0</v>
      </c>
      <c r="S41" s="216"/>
      <c r="T41" s="216">
        <f t="shared" si="38"/>
        <v>0</v>
      </c>
      <c r="U41" s="216">
        <f>SUM(P41:T41)</f>
        <v>68370</v>
      </c>
      <c r="V41" s="216">
        <f>SUM(V42:V43)</f>
        <v>34829</v>
      </c>
      <c r="W41" s="216">
        <f>SUM(W42:W43)</f>
        <v>68001</v>
      </c>
      <c r="X41" s="216">
        <f t="shared" ref="X41:Z41" si="39">SUM(X42:X43)</f>
        <v>0</v>
      </c>
      <c r="Y41" s="216"/>
      <c r="Z41" s="216">
        <f t="shared" si="39"/>
        <v>0</v>
      </c>
      <c r="AA41" s="216">
        <f t="shared" si="28"/>
        <v>102830</v>
      </c>
      <c r="AB41" s="216">
        <f t="shared" si="4"/>
        <v>223870</v>
      </c>
      <c r="AC41" s="216">
        <f t="shared" si="5"/>
        <v>977737</v>
      </c>
    </row>
    <row r="42" spans="1:95" ht="72.75" customHeight="1" x14ac:dyDescent="0.25">
      <c r="A42" s="264"/>
      <c r="B42" s="227" t="s">
        <v>319</v>
      </c>
      <c r="C42" s="306" t="s">
        <v>732</v>
      </c>
      <c r="D42" s="219">
        <v>57659</v>
      </c>
      <c r="E42" s="219">
        <v>242625</v>
      </c>
      <c r="F42" s="219"/>
      <c r="G42" s="219"/>
      <c r="H42" s="219"/>
      <c r="I42" s="219">
        <f t="shared" si="6"/>
        <v>300284</v>
      </c>
      <c r="J42" s="219">
        <v>60338</v>
      </c>
      <c r="K42" s="219">
        <v>244663</v>
      </c>
      <c r="L42" s="219"/>
      <c r="M42" s="219"/>
      <c r="N42" s="219"/>
      <c r="O42" s="219">
        <f t="shared" si="26"/>
        <v>305001</v>
      </c>
      <c r="P42" s="219">
        <v>21000</v>
      </c>
      <c r="Q42" s="219">
        <v>5000</v>
      </c>
      <c r="R42" s="219"/>
      <c r="S42" s="219"/>
      <c r="T42" s="219"/>
      <c r="U42" s="219">
        <f t="shared" si="27"/>
        <v>26000</v>
      </c>
      <c r="V42" s="218">
        <v>21000</v>
      </c>
      <c r="W42" s="218">
        <v>5000</v>
      </c>
      <c r="X42" s="218"/>
      <c r="Y42" s="218"/>
      <c r="Z42" s="218"/>
      <c r="AA42" s="218">
        <f t="shared" si="28"/>
        <v>26000</v>
      </c>
      <c r="AB42" s="216">
        <f t="shared" si="4"/>
        <v>159997</v>
      </c>
      <c r="AC42" s="216">
        <f t="shared" si="5"/>
        <v>657285</v>
      </c>
    </row>
    <row r="43" spans="1:95" ht="58.5" customHeight="1" x14ac:dyDescent="0.25">
      <c r="A43" s="264"/>
      <c r="B43" s="227" t="s">
        <v>320</v>
      </c>
      <c r="C43" s="307"/>
      <c r="D43" s="219">
        <f>23181</f>
        <v>23181</v>
      </c>
      <c r="E43" s="219">
        <f>64605+4000</f>
        <v>68605</v>
      </c>
      <c r="F43" s="219"/>
      <c r="G43" s="219"/>
      <c r="H43" s="219"/>
      <c r="I43" s="219">
        <f t="shared" si="6"/>
        <v>91786</v>
      </c>
      <c r="J43" s="219">
        <f>28236-9000</f>
        <v>19236</v>
      </c>
      <c r="K43" s="219">
        <v>90230</v>
      </c>
      <c r="L43" s="219"/>
      <c r="M43" s="219"/>
      <c r="N43" s="219"/>
      <c r="O43" s="219">
        <f t="shared" si="26"/>
        <v>109466</v>
      </c>
      <c r="P43" s="219">
        <f>17627-10000</f>
        <v>7627</v>
      </c>
      <c r="Q43" s="219">
        <v>34743</v>
      </c>
      <c r="R43" s="219"/>
      <c r="S43" s="219"/>
      <c r="T43" s="219"/>
      <c r="U43" s="219">
        <f t="shared" si="27"/>
        <v>42370</v>
      </c>
      <c r="V43" s="218">
        <f>18829-5000</f>
        <v>13829</v>
      </c>
      <c r="W43" s="218">
        <v>63001</v>
      </c>
      <c r="X43" s="218"/>
      <c r="Y43" s="218"/>
      <c r="Z43" s="218"/>
      <c r="AA43" s="218">
        <f t="shared" si="28"/>
        <v>76830</v>
      </c>
      <c r="AB43" s="216">
        <f t="shared" si="4"/>
        <v>63873</v>
      </c>
      <c r="AC43" s="216">
        <f t="shared" si="5"/>
        <v>320452</v>
      </c>
    </row>
    <row r="44" spans="1:95" x14ac:dyDescent="0.25">
      <c r="A44" s="264" t="s">
        <v>291</v>
      </c>
      <c r="B44" s="214"/>
      <c r="C44" s="302"/>
      <c r="D44" s="216">
        <f>SUM(D45:D48)</f>
        <v>24630</v>
      </c>
      <c r="E44" s="216">
        <f>SUM(E45:E48)</f>
        <v>0</v>
      </c>
      <c r="F44" s="216">
        <f>SUM(F45:F48)</f>
        <v>0</v>
      </c>
      <c r="G44" s="216">
        <f>SUM(G45:G48)</f>
        <v>0</v>
      </c>
      <c r="H44" s="216">
        <f>SUM(H45:H48)</f>
        <v>5829</v>
      </c>
      <c r="I44" s="216">
        <f>SUM(D44:H44)</f>
        <v>30459</v>
      </c>
      <c r="J44" s="216">
        <f>SUM(J45:J48)</f>
        <v>30007</v>
      </c>
      <c r="K44" s="216">
        <f>SUM(K45:K48)</f>
        <v>0</v>
      </c>
      <c r="L44" s="216">
        <f>SUM(L45:L48)</f>
        <v>0</v>
      </c>
      <c r="M44" s="216"/>
      <c r="N44" s="216">
        <f>SUM(N45:N48)</f>
        <v>0</v>
      </c>
      <c r="O44" s="216">
        <f t="shared" si="26"/>
        <v>30007</v>
      </c>
      <c r="P44" s="216">
        <f>SUM(P45:P48)</f>
        <v>30147</v>
      </c>
      <c r="Q44" s="216">
        <f>SUM(Q45:Q48)</f>
        <v>0</v>
      </c>
      <c r="R44" s="216">
        <f>SUM(R45:R48)</f>
        <v>0</v>
      </c>
      <c r="S44" s="216"/>
      <c r="T44" s="216">
        <f>SUM(T45:T48)</f>
        <v>0</v>
      </c>
      <c r="U44" s="216">
        <f>SUM(P44:T44)</f>
        <v>30147</v>
      </c>
      <c r="V44" s="216">
        <f>SUM(V45:V48)</f>
        <v>30347</v>
      </c>
      <c r="W44" s="216">
        <f>SUM(W45:W48)</f>
        <v>0</v>
      </c>
      <c r="X44" s="216">
        <f>SUM(X45:X48)</f>
        <v>0</v>
      </c>
      <c r="Y44" s="216"/>
      <c r="Z44" s="216">
        <f>SUM(Z45:Z48)</f>
        <v>0</v>
      </c>
      <c r="AA44" s="216">
        <f t="shared" si="28"/>
        <v>30347</v>
      </c>
      <c r="AB44" s="216">
        <f t="shared" si="4"/>
        <v>115131</v>
      </c>
      <c r="AC44" s="216">
        <f t="shared" si="5"/>
        <v>120960</v>
      </c>
    </row>
    <row r="45" spans="1:95" ht="45" x14ac:dyDescent="0.25">
      <c r="A45" s="264"/>
      <c r="B45" s="217" t="s">
        <v>606</v>
      </c>
      <c r="C45" s="298" t="s">
        <v>733</v>
      </c>
      <c r="D45" s="219">
        <f>22001-2795</f>
        <v>19206</v>
      </c>
      <c r="E45" s="219"/>
      <c r="F45" s="219"/>
      <c r="G45" s="219"/>
      <c r="H45" s="219">
        <v>5829</v>
      </c>
      <c r="I45" s="219">
        <f t="shared" si="6"/>
        <v>25035</v>
      </c>
      <c r="J45" s="219">
        <v>20795</v>
      </c>
      <c r="K45" s="219"/>
      <c r="L45" s="219"/>
      <c r="M45" s="219"/>
      <c r="N45" s="219"/>
      <c r="O45" s="219">
        <f t="shared" si="26"/>
        <v>20795</v>
      </c>
      <c r="P45" s="219">
        <v>20935</v>
      </c>
      <c r="Q45" s="219"/>
      <c r="R45" s="219"/>
      <c r="S45" s="219"/>
      <c r="T45" s="219"/>
      <c r="U45" s="219">
        <f t="shared" si="27"/>
        <v>20935</v>
      </c>
      <c r="V45" s="218">
        <v>21135</v>
      </c>
      <c r="W45" s="218"/>
      <c r="X45" s="218"/>
      <c r="Y45" s="218"/>
      <c r="Z45" s="218"/>
      <c r="AA45" s="218">
        <f t="shared" si="28"/>
        <v>21135</v>
      </c>
      <c r="AB45" s="216">
        <f t="shared" si="4"/>
        <v>82071</v>
      </c>
      <c r="AC45" s="216">
        <f t="shared" si="5"/>
        <v>87900</v>
      </c>
    </row>
    <row r="46" spans="1:95" ht="51.6" customHeight="1" x14ac:dyDescent="0.25">
      <c r="A46" s="264"/>
      <c r="B46" s="217" t="s">
        <v>607</v>
      </c>
      <c r="C46" s="299"/>
      <c r="D46" s="219">
        <v>3904</v>
      </c>
      <c r="E46" s="233"/>
      <c r="F46" s="233"/>
      <c r="G46" s="233"/>
      <c r="H46" s="219"/>
      <c r="I46" s="219">
        <f t="shared" si="6"/>
        <v>3904</v>
      </c>
      <c r="J46" s="219">
        <v>7695</v>
      </c>
      <c r="K46" s="219"/>
      <c r="L46" s="219"/>
      <c r="M46" s="219"/>
      <c r="N46" s="219"/>
      <c r="O46" s="219">
        <f t="shared" si="26"/>
        <v>7695</v>
      </c>
      <c r="P46" s="219">
        <v>7695</v>
      </c>
      <c r="Q46" s="219"/>
      <c r="R46" s="219"/>
      <c r="S46" s="219"/>
      <c r="T46" s="219"/>
      <c r="U46" s="219">
        <f t="shared" si="27"/>
        <v>7695</v>
      </c>
      <c r="V46" s="218">
        <v>7695</v>
      </c>
      <c r="W46" s="218"/>
      <c r="X46" s="218"/>
      <c r="Y46" s="218"/>
      <c r="Z46" s="218"/>
      <c r="AA46" s="218">
        <f t="shared" si="28"/>
        <v>7695</v>
      </c>
      <c r="AB46" s="216">
        <f t="shared" si="4"/>
        <v>26989</v>
      </c>
      <c r="AC46" s="216">
        <f t="shared" si="5"/>
        <v>26989</v>
      </c>
    </row>
    <row r="47" spans="1:95" ht="56.25" x14ac:dyDescent="0.25">
      <c r="A47" s="264"/>
      <c r="B47" s="226" t="s">
        <v>608</v>
      </c>
      <c r="C47" s="299"/>
      <c r="D47" s="223"/>
      <c r="E47" s="223"/>
      <c r="F47" s="223"/>
      <c r="G47" s="223"/>
      <c r="H47" s="223"/>
      <c r="I47" s="223"/>
      <c r="J47" s="234"/>
      <c r="K47" s="223"/>
      <c r="L47" s="223"/>
      <c r="M47" s="223"/>
      <c r="N47" s="223"/>
      <c r="O47" s="223">
        <f t="shared" ref="O47:O48" si="40">SUM(J47:N47)</f>
        <v>0</v>
      </c>
      <c r="P47" s="234"/>
      <c r="Q47" s="223"/>
      <c r="R47" s="223"/>
      <c r="S47" s="223"/>
      <c r="T47" s="223"/>
      <c r="U47" s="223">
        <f t="shared" si="27"/>
        <v>0</v>
      </c>
      <c r="V47" s="234"/>
      <c r="W47" s="222"/>
      <c r="X47" s="222"/>
      <c r="Y47" s="222"/>
      <c r="Z47" s="222"/>
      <c r="AA47" s="218">
        <f t="shared" si="28"/>
        <v>0</v>
      </c>
      <c r="AB47" s="216">
        <f t="shared" si="4"/>
        <v>0</v>
      </c>
      <c r="AC47" s="216">
        <f t="shared" si="5"/>
        <v>0</v>
      </c>
    </row>
    <row r="48" spans="1:95" ht="101.25" x14ac:dyDescent="0.25">
      <c r="A48" s="264"/>
      <c r="B48" s="217" t="s">
        <v>609</v>
      </c>
      <c r="C48" s="300"/>
      <c r="D48" s="223">
        <v>1520</v>
      </c>
      <c r="E48" s="223"/>
      <c r="F48" s="223"/>
      <c r="G48" s="223"/>
      <c r="H48" s="223"/>
      <c r="I48" s="223">
        <f t="shared" ref="I48" si="41">SUM(D48:H48)</f>
        <v>1520</v>
      </c>
      <c r="J48" s="223">
        <v>1517</v>
      </c>
      <c r="K48" s="223"/>
      <c r="L48" s="223"/>
      <c r="M48" s="223"/>
      <c r="N48" s="223"/>
      <c r="O48" s="223">
        <f t="shared" si="40"/>
        <v>1517</v>
      </c>
      <c r="P48" s="223">
        <v>1517</v>
      </c>
      <c r="Q48" s="223"/>
      <c r="R48" s="223"/>
      <c r="S48" s="223"/>
      <c r="T48" s="223"/>
      <c r="U48" s="223">
        <f t="shared" si="27"/>
        <v>1517</v>
      </c>
      <c r="V48" s="222">
        <v>1517</v>
      </c>
      <c r="W48" s="222"/>
      <c r="X48" s="222"/>
      <c r="Y48" s="222"/>
      <c r="Z48" s="222"/>
      <c r="AA48" s="218">
        <f t="shared" si="28"/>
        <v>1517</v>
      </c>
      <c r="AB48" s="216">
        <f t="shared" si="4"/>
        <v>6071</v>
      </c>
      <c r="AC48" s="216">
        <f t="shared" si="5"/>
        <v>6071</v>
      </c>
    </row>
    <row r="49" spans="1:113" x14ac:dyDescent="0.25">
      <c r="A49" s="264" t="s">
        <v>714</v>
      </c>
      <c r="B49" s="214"/>
      <c r="C49" s="308"/>
      <c r="D49" s="216">
        <f>SUM(D50:D54)</f>
        <v>1668</v>
      </c>
      <c r="E49" s="216">
        <f>SUM(E50:E54)</f>
        <v>9580</v>
      </c>
      <c r="F49" s="216">
        <f>SUM(F50:F54)</f>
        <v>0</v>
      </c>
      <c r="G49" s="216"/>
      <c r="H49" s="216">
        <f>SUM(H50:H54)</f>
        <v>0</v>
      </c>
      <c r="I49" s="216">
        <f t="shared" si="6"/>
        <v>11248</v>
      </c>
      <c r="J49" s="216">
        <f>SUM(J50:J54)</f>
        <v>875</v>
      </c>
      <c r="K49" s="216">
        <f>SUM(K50:K54)</f>
        <v>7490</v>
      </c>
      <c r="L49" s="216">
        <f>SUM(L50:L54)</f>
        <v>0</v>
      </c>
      <c r="M49" s="216"/>
      <c r="N49" s="216">
        <f>SUM(N50:N54)</f>
        <v>0</v>
      </c>
      <c r="O49" s="216">
        <f>SUM(J49:N49)</f>
        <v>8365</v>
      </c>
      <c r="P49" s="216">
        <f>SUM(P50:P54)</f>
        <v>750</v>
      </c>
      <c r="Q49" s="216">
        <f>SUM(Q50:Q54)</f>
        <v>6000</v>
      </c>
      <c r="R49" s="216">
        <f>SUM(R50:R54)</f>
        <v>0</v>
      </c>
      <c r="S49" s="216"/>
      <c r="T49" s="216">
        <f>SUM(T50:T54)</f>
        <v>0</v>
      </c>
      <c r="U49" s="216">
        <f>SUM(P49:T49)</f>
        <v>6750</v>
      </c>
      <c r="V49" s="216">
        <f>SUM(V50:V54)</f>
        <v>5450</v>
      </c>
      <c r="W49" s="216">
        <f>SUM(W50:W54)</f>
        <v>6000</v>
      </c>
      <c r="X49" s="216">
        <f>SUM(X50:X54)</f>
        <v>0</v>
      </c>
      <c r="Y49" s="216"/>
      <c r="Z49" s="216">
        <f>SUM(Z50:Z54)</f>
        <v>0</v>
      </c>
      <c r="AA49" s="216">
        <f>SUM(V49:Z49)</f>
        <v>11450</v>
      </c>
      <c r="AB49" s="216">
        <f t="shared" si="4"/>
        <v>8743</v>
      </c>
      <c r="AC49" s="216">
        <f t="shared" si="5"/>
        <v>37813</v>
      </c>
    </row>
    <row r="50" spans="1:113" ht="33.75" x14ac:dyDescent="0.25">
      <c r="A50" s="264"/>
      <c r="B50" s="217" t="s">
        <v>321</v>
      </c>
      <c r="C50" s="298" t="s">
        <v>734</v>
      </c>
      <c r="D50" s="219">
        <v>100</v>
      </c>
      <c r="E50" s="219"/>
      <c r="F50" s="219"/>
      <c r="G50" s="219"/>
      <c r="H50" s="219"/>
      <c r="I50" s="219">
        <f t="shared" si="6"/>
        <v>100</v>
      </c>
      <c r="J50" s="219">
        <v>150</v>
      </c>
      <c r="K50" s="219"/>
      <c r="L50" s="219"/>
      <c r="M50" s="219"/>
      <c r="N50" s="219"/>
      <c r="O50" s="219">
        <f t="shared" si="26"/>
        <v>150</v>
      </c>
      <c r="P50" s="219">
        <v>150</v>
      </c>
      <c r="Q50" s="219"/>
      <c r="R50" s="219"/>
      <c r="S50" s="219"/>
      <c r="T50" s="219"/>
      <c r="U50" s="219">
        <f t="shared" si="27"/>
        <v>150</v>
      </c>
      <c r="V50" s="218">
        <v>150</v>
      </c>
      <c r="W50" s="218"/>
      <c r="X50" s="218"/>
      <c r="Y50" s="218"/>
      <c r="Z50" s="218"/>
      <c r="AA50" s="218">
        <f t="shared" si="28"/>
        <v>150</v>
      </c>
      <c r="AB50" s="216">
        <f t="shared" si="4"/>
        <v>550</v>
      </c>
      <c r="AC50" s="216">
        <f t="shared" si="5"/>
        <v>550</v>
      </c>
    </row>
    <row r="51" spans="1:113" ht="33.75" x14ac:dyDescent="0.25">
      <c r="A51" s="264"/>
      <c r="B51" s="217" t="s">
        <v>322</v>
      </c>
      <c r="C51" s="299"/>
      <c r="D51" s="219">
        <f>6250-4700-100</f>
        <v>1450</v>
      </c>
      <c r="E51" s="219">
        <f>8393-1223</f>
        <v>7170</v>
      </c>
      <c r="F51" s="219"/>
      <c r="G51" s="219"/>
      <c r="H51" s="219"/>
      <c r="I51" s="219">
        <f t="shared" si="6"/>
        <v>8620</v>
      </c>
      <c r="J51" s="219">
        <v>600</v>
      </c>
      <c r="K51" s="219">
        <v>6000</v>
      </c>
      <c r="L51" s="219"/>
      <c r="M51" s="219"/>
      <c r="N51" s="219"/>
      <c r="O51" s="219">
        <f t="shared" si="26"/>
        <v>6600</v>
      </c>
      <c r="P51" s="219">
        <v>600</v>
      </c>
      <c r="Q51" s="219">
        <v>6000</v>
      </c>
      <c r="R51" s="219"/>
      <c r="S51" s="219"/>
      <c r="T51" s="219"/>
      <c r="U51" s="219">
        <f t="shared" si="27"/>
        <v>6600</v>
      </c>
      <c r="V51" s="218">
        <v>5300</v>
      </c>
      <c r="W51" s="218">
        <v>6000</v>
      </c>
      <c r="X51" s="218"/>
      <c r="Y51" s="218"/>
      <c r="Z51" s="218"/>
      <c r="AA51" s="218">
        <f t="shared" si="28"/>
        <v>11300</v>
      </c>
      <c r="AB51" s="216">
        <f t="shared" si="4"/>
        <v>7950</v>
      </c>
      <c r="AC51" s="216">
        <f t="shared" si="5"/>
        <v>33120</v>
      </c>
    </row>
    <row r="52" spans="1:113" ht="105.75" customHeight="1" x14ac:dyDescent="0.25">
      <c r="A52" s="264"/>
      <c r="B52" s="217" t="s">
        <v>595</v>
      </c>
      <c r="C52" s="299"/>
      <c r="D52" s="219">
        <v>0</v>
      </c>
      <c r="E52" s="219">
        <v>1087</v>
      </c>
      <c r="F52" s="219">
        <v>0</v>
      </c>
      <c r="G52" s="219"/>
      <c r="H52" s="219">
        <v>0</v>
      </c>
      <c r="I52" s="219">
        <f t="shared" si="6"/>
        <v>1087</v>
      </c>
      <c r="J52" s="219">
        <v>0</v>
      </c>
      <c r="K52" s="219">
        <v>143</v>
      </c>
      <c r="L52" s="219">
        <v>0</v>
      </c>
      <c r="M52" s="219"/>
      <c r="N52" s="219">
        <v>0</v>
      </c>
      <c r="O52" s="219">
        <f t="shared" ref="O52" si="42">SUM(J52:N52)</f>
        <v>143</v>
      </c>
      <c r="P52" s="219">
        <v>0</v>
      </c>
      <c r="Q52" s="219">
        <v>0</v>
      </c>
      <c r="R52" s="219">
        <v>0</v>
      </c>
      <c r="S52" s="219"/>
      <c r="T52" s="219">
        <v>0</v>
      </c>
      <c r="U52" s="219">
        <f t="shared" ref="U52" si="43">SUM(P52:T52)</f>
        <v>0</v>
      </c>
      <c r="V52" s="218">
        <v>0</v>
      </c>
      <c r="W52" s="218">
        <v>0</v>
      </c>
      <c r="X52" s="218">
        <v>0</v>
      </c>
      <c r="Y52" s="218"/>
      <c r="Z52" s="218">
        <v>0</v>
      </c>
      <c r="AA52" s="218">
        <f t="shared" ref="AA52" si="44">V52+W52+X52+Z52</f>
        <v>0</v>
      </c>
      <c r="AB52" s="216">
        <f t="shared" si="4"/>
        <v>0</v>
      </c>
      <c r="AC52" s="216">
        <f t="shared" si="5"/>
        <v>1230</v>
      </c>
    </row>
    <row r="53" spans="1:113" ht="96" customHeight="1" x14ac:dyDescent="0.25">
      <c r="A53" s="264"/>
      <c r="B53" s="217" t="s">
        <v>596</v>
      </c>
      <c r="C53" s="299"/>
      <c r="D53" s="219">
        <v>18</v>
      </c>
      <c r="E53" s="219">
        <v>100</v>
      </c>
      <c r="F53" s="219">
        <v>0</v>
      </c>
      <c r="G53" s="219"/>
      <c r="H53" s="219">
        <v>0</v>
      </c>
      <c r="I53" s="219">
        <f t="shared" ref="I53" si="45">SUM(D53:H53)</f>
        <v>118</v>
      </c>
      <c r="J53" s="219">
        <v>0</v>
      </c>
      <c r="K53" s="219">
        <v>0</v>
      </c>
      <c r="L53" s="219">
        <v>0</v>
      </c>
      <c r="M53" s="219"/>
      <c r="N53" s="219">
        <v>0</v>
      </c>
      <c r="O53" s="219">
        <f t="shared" ref="O53" si="46">SUM(J53:N53)</f>
        <v>0</v>
      </c>
      <c r="P53" s="219">
        <v>0</v>
      </c>
      <c r="Q53" s="219">
        <v>0</v>
      </c>
      <c r="R53" s="219">
        <v>0</v>
      </c>
      <c r="S53" s="219"/>
      <c r="T53" s="219">
        <v>0</v>
      </c>
      <c r="U53" s="219">
        <f t="shared" ref="U53" si="47">SUM(P53:T53)</f>
        <v>0</v>
      </c>
      <c r="V53" s="218">
        <v>0</v>
      </c>
      <c r="W53" s="218">
        <v>0</v>
      </c>
      <c r="X53" s="218">
        <v>0</v>
      </c>
      <c r="Y53" s="218"/>
      <c r="Z53" s="218">
        <v>0</v>
      </c>
      <c r="AA53" s="218">
        <f t="shared" ref="AA53" si="48">V53+W53+X53+Z53</f>
        <v>0</v>
      </c>
      <c r="AB53" s="216">
        <f t="shared" si="4"/>
        <v>18</v>
      </c>
      <c r="AC53" s="216">
        <f t="shared" si="5"/>
        <v>118</v>
      </c>
    </row>
    <row r="54" spans="1:113" ht="33.75" x14ac:dyDescent="0.25">
      <c r="A54" s="264"/>
      <c r="B54" s="217" t="s">
        <v>594</v>
      </c>
      <c r="C54" s="300"/>
      <c r="D54" s="219">
        <v>100</v>
      </c>
      <c r="E54" s="219">
        <v>1223</v>
      </c>
      <c r="F54" s="219"/>
      <c r="G54" s="219"/>
      <c r="H54" s="219"/>
      <c r="I54" s="219">
        <f t="shared" si="6"/>
        <v>1323</v>
      </c>
      <c r="J54" s="219">
        <v>125</v>
      </c>
      <c r="K54" s="219">
        <v>1347</v>
      </c>
      <c r="L54" s="219"/>
      <c r="M54" s="219"/>
      <c r="N54" s="219"/>
      <c r="O54" s="219">
        <f t="shared" si="26"/>
        <v>1472</v>
      </c>
      <c r="P54" s="219"/>
      <c r="Q54" s="219"/>
      <c r="R54" s="219"/>
      <c r="S54" s="219"/>
      <c r="T54" s="219"/>
      <c r="U54" s="219">
        <f t="shared" si="27"/>
        <v>0</v>
      </c>
      <c r="V54" s="218"/>
      <c r="W54" s="218"/>
      <c r="X54" s="218"/>
      <c r="Y54" s="218"/>
      <c r="Z54" s="218"/>
      <c r="AA54" s="218">
        <f t="shared" si="28"/>
        <v>0</v>
      </c>
      <c r="AB54" s="216">
        <f t="shared" si="4"/>
        <v>225</v>
      </c>
      <c r="AC54" s="216">
        <f t="shared" si="5"/>
        <v>2795</v>
      </c>
    </row>
    <row r="55" spans="1:113" x14ac:dyDescent="0.25">
      <c r="A55" s="264" t="s">
        <v>222</v>
      </c>
      <c r="B55" s="214"/>
      <c r="C55" s="308"/>
      <c r="D55" s="216">
        <f>SUM(D56:D60)</f>
        <v>64947</v>
      </c>
      <c r="E55" s="216">
        <f t="shared" ref="E55:H55" si="49">SUM(E56:E60)</f>
        <v>9460</v>
      </c>
      <c r="F55" s="216">
        <f t="shared" si="49"/>
        <v>0</v>
      </c>
      <c r="G55" s="216">
        <f t="shared" si="49"/>
        <v>150501</v>
      </c>
      <c r="H55" s="216">
        <f t="shared" si="49"/>
        <v>0</v>
      </c>
      <c r="I55" s="216">
        <f>SUM(D55:H55)</f>
        <v>224908</v>
      </c>
      <c r="J55" s="216">
        <f>SUM(J56:J60)</f>
        <v>0</v>
      </c>
      <c r="K55" s="216">
        <f t="shared" ref="K55:N55" si="50">SUM(K56:K60)</f>
        <v>0</v>
      </c>
      <c r="L55" s="216">
        <f t="shared" si="50"/>
        <v>0</v>
      </c>
      <c r="M55" s="216">
        <f t="shared" si="50"/>
        <v>0</v>
      </c>
      <c r="N55" s="216">
        <f t="shared" si="50"/>
        <v>0</v>
      </c>
      <c r="O55" s="216">
        <f>SUM(J55:N55)</f>
        <v>0</v>
      </c>
      <c r="P55" s="216">
        <f>SUM(P56:P60)</f>
        <v>0</v>
      </c>
      <c r="Q55" s="216">
        <f t="shared" ref="Q55:T55" si="51">SUM(Q56:Q60)</f>
        <v>0</v>
      </c>
      <c r="R55" s="216">
        <f t="shared" si="51"/>
        <v>0</v>
      </c>
      <c r="S55" s="216">
        <f t="shared" si="51"/>
        <v>0</v>
      </c>
      <c r="T55" s="216">
        <f t="shared" si="51"/>
        <v>0</v>
      </c>
      <c r="U55" s="216">
        <f>SUM(P55:T55)</f>
        <v>0</v>
      </c>
      <c r="V55" s="216">
        <f>SUM(V56:V60)</f>
        <v>0</v>
      </c>
      <c r="W55" s="216">
        <f t="shared" ref="W55:Z55" si="52">SUM(W56:W60)</f>
        <v>0</v>
      </c>
      <c r="X55" s="216">
        <f t="shared" si="52"/>
        <v>0</v>
      </c>
      <c r="Y55" s="216">
        <f t="shared" si="52"/>
        <v>0</v>
      </c>
      <c r="Z55" s="216">
        <f t="shared" si="52"/>
        <v>0</v>
      </c>
      <c r="AA55" s="216">
        <f>SUM(V55:Z55)</f>
        <v>0</v>
      </c>
      <c r="AB55" s="216">
        <f t="shared" si="4"/>
        <v>64947</v>
      </c>
      <c r="AC55" s="216">
        <f>SUM(I55,O55,U55,AA55)</f>
        <v>224908</v>
      </c>
    </row>
    <row r="56" spans="1:113" ht="33.75" x14ac:dyDescent="0.25">
      <c r="A56" s="264"/>
      <c r="B56" s="217" t="s">
        <v>610</v>
      </c>
      <c r="C56" s="298" t="s">
        <v>747</v>
      </c>
      <c r="D56" s="219">
        <f>10872</f>
        <v>10872</v>
      </c>
      <c r="E56" s="219"/>
      <c r="F56" s="219"/>
      <c r="G56" s="219"/>
      <c r="H56" s="219"/>
      <c r="I56" s="219">
        <f t="shared" si="6"/>
        <v>10872</v>
      </c>
      <c r="J56" s="219"/>
      <c r="K56" s="219"/>
      <c r="L56" s="219"/>
      <c r="M56" s="219"/>
      <c r="N56" s="219"/>
      <c r="O56" s="219">
        <f t="shared" si="26"/>
        <v>0</v>
      </c>
      <c r="P56" s="219"/>
      <c r="Q56" s="219"/>
      <c r="R56" s="219"/>
      <c r="S56" s="219"/>
      <c r="T56" s="219"/>
      <c r="U56" s="219">
        <f t="shared" si="27"/>
        <v>0</v>
      </c>
      <c r="V56" s="218"/>
      <c r="W56" s="218"/>
      <c r="X56" s="218"/>
      <c r="Y56" s="218"/>
      <c r="Z56" s="218"/>
      <c r="AA56" s="218">
        <f t="shared" si="28"/>
        <v>0</v>
      </c>
      <c r="AB56" s="228">
        <f t="shared" si="4"/>
        <v>10872</v>
      </c>
      <c r="AC56" s="228">
        <f t="shared" si="5"/>
        <v>10872</v>
      </c>
    </row>
    <row r="57" spans="1:113" ht="84" customHeight="1" x14ac:dyDescent="0.25">
      <c r="A57" s="264"/>
      <c r="B57" s="217" t="s">
        <v>611</v>
      </c>
      <c r="C57" s="299"/>
      <c r="D57" s="228"/>
      <c r="E57" s="219">
        <f>9100+360</f>
        <v>9460</v>
      </c>
      <c r="F57" s="219"/>
      <c r="G57" s="219"/>
      <c r="H57" s="219"/>
      <c r="I57" s="219">
        <f>SUM(E57:H57)</f>
        <v>9460</v>
      </c>
      <c r="J57" s="219"/>
      <c r="K57" s="219"/>
      <c r="L57" s="219"/>
      <c r="M57" s="219"/>
      <c r="N57" s="219"/>
      <c r="O57" s="219">
        <f t="shared" si="26"/>
        <v>0</v>
      </c>
      <c r="P57" s="219"/>
      <c r="Q57" s="219"/>
      <c r="R57" s="219"/>
      <c r="S57" s="219"/>
      <c r="T57" s="219"/>
      <c r="U57" s="219">
        <f t="shared" si="27"/>
        <v>0</v>
      </c>
      <c r="V57" s="218"/>
      <c r="W57" s="218"/>
      <c r="X57" s="218"/>
      <c r="Y57" s="218"/>
      <c r="Z57" s="218"/>
      <c r="AA57" s="218">
        <f t="shared" si="28"/>
        <v>0</v>
      </c>
      <c r="AB57" s="228">
        <f t="shared" si="4"/>
        <v>0</v>
      </c>
      <c r="AC57" s="228">
        <f t="shared" si="5"/>
        <v>9460</v>
      </c>
    </row>
    <row r="58" spans="1:113" ht="146.25" x14ac:dyDescent="0.25">
      <c r="A58" s="264"/>
      <c r="B58" s="235" t="s">
        <v>612</v>
      </c>
      <c r="C58" s="299"/>
      <c r="D58" s="219"/>
      <c r="E58" s="219"/>
      <c r="F58" s="219"/>
      <c r="G58" s="219">
        <f>62878</f>
        <v>62878</v>
      </c>
      <c r="H58" s="219"/>
      <c r="I58" s="219">
        <f t="shared" si="6"/>
        <v>62878</v>
      </c>
      <c r="J58" s="219"/>
      <c r="K58" s="219"/>
      <c r="L58" s="219"/>
      <c r="M58" s="219"/>
      <c r="N58" s="219"/>
      <c r="O58" s="219">
        <f t="shared" si="26"/>
        <v>0</v>
      </c>
      <c r="P58" s="219"/>
      <c r="Q58" s="219"/>
      <c r="R58" s="219"/>
      <c r="S58" s="219"/>
      <c r="T58" s="219"/>
      <c r="U58" s="219">
        <f t="shared" si="27"/>
        <v>0</v>
      </c>
      <c r="V58" s="218"/>
      <c r="W58" s="218"/>
      <c r="X58" s="218"/>
      <c r="Y58" s="218"/>
      <c r="Z58" s="218"/>
      <c r="AA58" s="218">
        <f t="shared" si="28"/>
        <v>0</v>
      </c>
      <c r="AB58" s="228">
        <f t="shared" si="4"/>
        <v>0</v>
      </c>
      <c r="AC58" s="263">
        <f>SUM(I58,O58,U58,AA58)</f>
        <v>62878</v>
      </c>
    </row>
    <row r="59" spans="1:113" ht="78.75" x14ac:dyDescent="0.25">
      <c r="A59" s="264"/>
      <c r="B59" s="217" t="s">
        <v>613</v>
      </c>
      <c r="C59" s="299"/>
      <c r="D59" s="219">
        <v>54075</v>
      </c>
      <c r="E59" s="219"/>
      <c r="F59" s="219"/>
      <c r="G59" s="219">
        <f>386+2197.6+1891.5+1893.2+58893.7</f>
        <v>65262</v>
      </c>
      <c r="H59" s="219"/>
      <c r="I59" s="219">
        <f t="shared" si="6"/>
        <v>119337</v>
      </c>
      <c r="J59" s="219"/>
      <c r="K59" s="219"/>
      <c r="L59" s="219"/>
      <c r="M59" s="219"/>
      <c r="N59" s="219"/>
      <c r="O59" s="219">
        <f t="shared" si="26"/>
        <v>0</v>
      </c>
      <c r="P59" s="219"/>
      <c r="Q59" s="219"/>
      <c r="R59" s="219"/>
      <c r="S59" s="219"/>
      <c r="T59" s="219"/>
      <c r="U59" s="219">
        <f t="shared" si="27"/>
        <v>0</v>
      </c>
      <c r="V59" s="218"/>
      <c r="W59" s="218"/>
      <c r="X59" s="218"/>
      <c r="Y59" s="218"/>
      <c r="Z59" s="218"/>
      <c r="AA59" s="218">
        <f t="shared" si="28"/>
        <v>0</v>
      </c>
      <c r="AB59" s="228">
        <f t="shared" si="4"/>
        <v>54075</v>
      </c>
      <c r="AC59" s="228">
        <f t="shared" si="5"/>
        <v>119337</v>
      </c>
    </row>
    <row r="60" spans="1:113" ht="123.75" x14ac:dyDescent="0.25">
      <c r="A60" s="264"/>
      <c r="B60" s="217" t="s">
        <v>614</v>
      </c>
      <c r="C60" s="300"/>
      <c r="D60" s="219"/>
      <c r="E60" s="219"/>
      <c r="F60" s="219"/>
      <c r="G60" s="219">
        <v>22361</v>
      </c>
      <c r="H60" s="219"/>
      <c r="I60" s="219">
        <f t="shared" si="6"/>
        <v>22361</v>
      </c>
      <c r="J60" s="219"/>
      <c r="K60" s="219"/>
      <c r="L60" s="219"/>
      <c r="M60" s="219"/>
      <c r="N60" s="219"/>
      <c r="O60" s="219">
        <f t="shared" si="26"/>
        <v>0</v>
      </c>
      <c r="P60" s="219"/>
      <c r="Q60" s="219"/>
      <c r="R60" s="219"/>
      <c r="S60" s="219"/>
      <c r="T60" s="219"/>
      <c r="U60" s="219">
        <f t="shared" si="27"/>
        <v>0</v>
      </c>
      <c r="V60" s="218"/>
      <c r="W60" s="218"/>
      <c r="X60" s="218"/>
      <c r="Y60" s="218"/>
      <c r="Z60" s="218"/>
      <c r="AA60" s="218">
        <f t="shared" si="28"/>
        <v>0</v>
      </c>
      <c r="AB60" s="228">
        <f t="shared" si="4"/>
        <v>0</v>
      </c>
      <c r="AC60" s="228">
        <f t="shared" si="5"/>
        <v>22361</v>
      </c>
    </row>
    <row r="61" spans="1:113" ht="90.75" customHeight="1" x14ac:dyDescent="0.25">
      <c r="A61" s="236" t="s">
        <v>323</v>
      </c>
      <c r="B61" s="237"/>
      <c r="C61" s="309"/>
      <c r="D61" s="238">
        <f>D62+D69+D78+D85+D90+D100</f>
        <v>210492</v>
      </c>
      <c r="E61" s="238">
        <f>E62+E69+E78+E85+E90+E100</f>
        <v>10000</v>
      </c>
      <c r="F61" s="238">
        <f>F62+F69+F78+F85+F90+F100</f>
        <v>46607.9</v>
      </c>
      <c r="G61" s="238">
        <f>SUM(G62,G69,G78,G85,G90,G100)</f>
        <v>0</v>
      </c>
      <c r="H61" s="238">
        <f>H62+H69+H78+H85+H90+H100</f>
        <v>1300</v>
      </c>
      <c r="I61" s="238">
        <f>I62+I69+I78+I85+I90+I100</f>
        <v>261964.9</v>
      </c>
      <c r="J61" s="238">
        <f>J62+J69+J78+J85+J90+J100</f>
        <v>212240</v>
      </c>
      <c r="K61" s="238">
        <f>K62+K69+K78+K85+K90+K100</f>
        <v>20000</v>
      </c>
      <c r="L61" s="238">
        <f>L62+L69+L78+L85+L90+L100</f>
        <v>6393</v>
      </c>
      <c r="M61" s="238"/>
      <c r="N61" s="238">
        <f>N62+N69+N78+N85+N90+N100</f>
        <v>1500</v>
      </c>
      <c r="O61" s="238">
        <f>O62+O69+O78+O85+O90+O100</f>
        <v>233740</v>
      </c>
      <c r="P61" s="238">
        <f>P62+P69+P78+P85+P90+P100</f>
        <v>184284</v>
      </c>
      <c r="Q61" s="238">
        <f>Q62+Q69+Q78+Q85+Q90+Q100</f>
        <v>20000</v>
      </c>
      <c r="R61" s="238">
        <f>R62+R69+R78+R85+R90+R100</f>
        <v>0</v>
      </c>
      <c r="S61" s="238"/>
      <c r="T61" s="238">
        <f>T62+T69+T78+T85+T90+T100</f>
        <v>0</v>
      </c>
      <c r="U61" s="238">
        <f>U62+U69+U78+U85+U90+U100</f>
        <v>204284</v>
      </c>
      <c r="V61" s="238">
        <f>V62+V69+V78+V85+V90+V100</f>
        <v>183059</v>
      </c>
      <c r="W61" s="238">
        <f>W62+W69+W78+W85+W90+W100</f>
        <v>20000</v>
      </c>
      <c r="X61" s="238">
        <f>X62+X69+X78+X85+X90+X100</f>
        <v>0</v>
      </c>
      <c r="Y61" s="238"/>
      <c r="Z61" s="238">
        <f>Z62+Z69+Z78+Z85+Z90+Z100</f>
        <v>0</v>
      </c>
      <c r="AA61" s="238">
        <f>AA62+AA69+AA78+AA85+AA90+AA100</f>
        <v>203059</v>
      </c>
      <c r="AB61" s="213">
        <f t="shared" si="4"/>
        <v>790075</v>
      </c>
      <c r="AC61" s="213">
        <f t="shared" si="5"/>
        <v>903047.9</v>
      </c>
    </row>
    <row r="62" spans="1:113" ht="15" customHeight="1" x14ac:dyDescent="0.25">
      <c r="A62" s="265" t="s">
        <v>715</v>
      </c>
      <c r="B62" s="214"/>
      <c r="C62" s="308"/>
      <c r="D62" s="216">
        <f>SUM(D63:D68)</f>
        <v>28085</v>
      </c>
      <c r="E62" s="216">
        <f t="shared" ref="E62:AA62" si="53">SUM(E63:E68)</f>
        <v>0</v>
      </c>
      <c r="F62" s="216">
        <f t="shared" si="53"/>
        <v>7563.9</v>
      </c>
      <c r="G62" s="216">
        <f t="shared" si="53"/>
        <v>0</v>
      </c>
      <c r="H62" s="216">
        <f t="shared" si="53"/>
        <v>0</v>
      </c>
      <c r="I62" s="216">
        <f t="shared" si="53"/>
        <v>29255.9</v>
      </c>
      <c r="J62" s="216">
        <f t="shared" si="53"/>
        <v>30200</v>
      </c>
      <c r="K62" s="216">
        <f t="shared" si="53"/>
        <v>0</v>
      </c>
      <c r="L62" s="216">
        <f t="shared" si="53"/>
        <v>6393</v>
      </c>
      <c r="M62" s="216">
        <f t="shared" si="53"/>
        <v>0</v>
      </c>
      <c r="N62" s="216">
        <f t="shared" si="53"/>
        <v>0</v>
      </c>
      <c r="O62" s="216">
        <f t="shared" si="53"/>
        <v>30200</v>
      </c>
      <c r="P62" s="216">
        <f t="shared" si="53"/>
        <v>30200</v>
      </c>
      <c r="Q62" s="216">
        <f t="shared" si="53"/>
        <v>0</v>
      </c>
      <c r="R62" s="216">
        <f t="shared" si="53"/>
        <v>0</v>
      </c>
      <c r="S62" s="216">
        <f t="shared" si="53"/>
        <v>0</v>
      </c>
      <c r="T62" s="216">
        <f t="shared" si="53"/>
        <v>0</v>
      </c>
      <c r="U62" s="216">
        <f t="shared" si="53"/>
        <v>30200</v>
      </c>
      <c r="V62" s="216">
        <f t="shared" si="53"/>
        <v>30200</v>
      </c>
      <c r="W62" s="216">
        <f t="shared" si="53"/>
        <v>0</v>
      </c>
      <c r="X62" s="216">
        <f t="shared" si="53"/>
        <v>0</v>
      </c>
      <c r="Y62" s="216">
        <f t="shared" si="53"/>
        <v>0</v>
      </c>
      <c r="Z62" s="216">
        <f t="shared" si="53"/>
        <v>0</v>
      </c>
      <c r="AA62" s="216">
        <f t="shared" si="53"/>
        <v>30200</v>
      </c>
      <c r="AB62" s="216">
        <f t="shared" si="4"/>
        <v>118685</v>
      </c>
      <c r="AC62" s="216">
        <f t="shared" si="5"/>
        <v>119855.9</v>
      </c>
    </row>
    <row r="63" spans="1:113" ht="106.5" customHeight="1" x14ac:dyDescent="0.25">
      <c r="A63" s="266"/>
      <c r="B63" s="227" t="s">
        <v>683</v>
      </c>
      <c r="C63" s="298" t="s">
        <v>735</v>
      </c>
      <c r="D63" s="219">
        <v>15000</v>
      </c>
      <c r="E63" s="219"/>
      <c r="F63" s="219"/>
      <c r="G63" s="219"/>
      <c r="H63" s="219"/>
      <c r="I63" s="219">
        <f t="shared" ref="I63:I118" si="54">SUM(D63:H63)</f>
        <v>15000</v>
      </c>
      <c r="J63" s="219">
        <v>16500</v>
      </c>
      <c r="K63" s="219"/>
      <c r="L63" s="219"/>
      <c r="M63" s="219"/>
      <c r="N63" s="219"/>
      <c r="O63" s="219">
        <f>SUM(J63:N63)</f>
        <v>16500</v>
      </c>
      <c r="P63" s="219">
        <v>16500</v>
      </c>
      <c r="Q63" s="219"/>
      <c r="R63" s="219"/>
      <c r="S63" s="219"/>
      <c r="T63" s="219"/>
      <c r="U63" s="219">
        <f>SUM(P63:T63)</f>
        <v>16500</v>
      </c>
      <c r="V63" s="218">
        <v>16500</v>
      </c>
      <c r="W63" s="218"/>
      <c r="X63" s="218"/>
      <c r="Y63" s="218"/>
      <c r="Z63" s="218"/>
      <c r="AA63" s="218">
        <f>SUM(V63:Z63)</f>
        <v>16500</v>
      </c>
      <c r="AB63" s="216">
        <f t="shared" si="4"/>
        <v>64500</v>
      </c>
      <c r="AC63" s="216">
        <f t="shared" si="5"/>
        <v>64500</v>
      </c>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row>
    <row r="64" spans="1:113" ht="140.25" customHeight="1" x14ac:dyDescent="0.25">
      <c r="A64" s="266"/>
      <c r="B64" s="227" t="s">
        <v>684</v>
      </c>
      <c r="C64" s="299"/>
      <c r="D64" s="219">
        <v>10500</v>
      </c>
      <c r="E64" s="219"/>
      <c r="F64" s="219"/>
      <c r="G64" s="219"/>
      <c r="H64" s="219"/>
      <c r="I64" s="219">
        <f t="shared" si="54"/>
        <v>10500</v>
      </c>
      <c r="J64" s="219">
        <v>10500</v>
      </c>
      <c r="K64" s="219"/>
      <c r="L64" s="219"/>
      <c r="M64" s="219"/>
      <c r="N64" s="219"/>
      <c r="O64" s="219">
        <f t="shared" ref="O64:O132" si="55">SUM(J64:N64)</f>
        <v>10500</v>
      </c>
      <c r="P64" s="219">
        <v>10500</v>
      </c>
      <c r="Q64" s="219"/>
      <c r="R64" s="219"/>
      <c r="S64" s="219"/>
      <c r="T64" s="219"/>
      <c r="U64" s="219">
        <f t="shared" ref="U64:U67" si="56">SUM(P64:T64)</f>
        <v>10500</v>
      </c>
      <c r="V64" s="218">
        <v>10500</v>
      </c>
      <c r="W64" s="218"/>
      <c r="X64" s="218"/>
      <c r="Y64" s="218"/>
      <c r="Z64" s="218"/>
      <c r="AA64" s="218">
        <f t="shared" ref="AA64:AA65" si="57">SUM(V64:Z64)</f>
        <v>10500</v>
      </c>
      <c r="AB64" s="216">
        <f t="shared" si="4"/>
        <v>42000</v>
      </c>
      <c r="AC64" s="216">
        <f t="shared" si="5"/>
        <v>42000</v>
      </c>
      <c r="AD64" s="78"/>
      <c r="AE64" s="78"/>
      <c r="AF64" s="78"/>
      <c r="AG64" s="78"/>
      <c r="AH64" s="78"/>
      <c r="AI64" s="78"/>
      <c r="AJ64" s="78"/>
      <c r="AK64" s="78"/>
      <c r="AL64" s="78"/>
      <c r="AM64" s="78"/>
      <c r="AN64" s="78"/>
      <c r="AO64" s="78"/>
      <c r="AP64" s="78"/>
      <c r="AQ64" s="78"/>
      <c r="AR64" s="78"/>
      <c r="AS64" s="78"/>
      <c r="AT64" s="78"/>
      <c r="AU64" s="78"/>
      <c r="AV64" s="78"/>
      <c r="AW64" s="78"/>
      <c r="AX64" s="78"/>
      <c r="AY64" s="78"/>
      <c r="AZ64" s="78"/>
      <c r="BA64" s="78"/>
      <c r="BB64" s="78"/>
      <c r="BC64" s="78"/>
      <c r="BD64" s="78"/>
      <c r="BE64" s="78"/>
      <c r="BF64" s="78"/>
      <c r="BG64" s="78"/>
      <c r="BH64" s="78"/>
      <c r="BI64" s="78"/>
      <c r="BJ64" s="78"/>
      <c r="BK64" s="78"/>
      <c r="BL64" s="78"/>
      <c r="BM64" s="78"/>
      <c r="BN64" s="78"/>
      <c r="BO64" s="78"/>
      <c r="BP64" s="78"/>
      <c r="BQ64" s="78"/>
      <c r="BR64" s="78"/>
      <c r="BS64" s="78"/>
      <c r="BT64" s="78"/>
      <c r="BU64" s="78"/>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row>
    <row r="65" spans="1:29" ht="104.25" customHeight="1" x14ac:dyDescent="0.25">
      <c r="A65" s="266"/>
      <c r="B65" s="227" t="s">
        <v>685</v>
      </c>
      <c r="C65" s="299"/>
      <c r="D65" s="219">
        <v>200</v>
      </c>
      <c r="E65" s="219"/>
      <c r="F65" s="219"/>
      <c r="G65" s="219"/>
      <c r="H65" s="219"/>
      <c r="I65" s="219">
        <f t="shared" si="54"/>
        <v>200</v>
      </c>
      <c r="J65" s="219">
        <v>200</v>
      </c>
      <c r="K65" s="219"/>
      <c r="L65" s="219"/>
      <c r="M65" s="219"/>
      <c r="N65" s="219"/>
      <c r="O65" s="219">
        <f t="shared" si="55"/>
        <v>200</v>
      </c>
      <c r="P65" s="219">
        <v>200</v>
      </c>
      <c r="Q65" s="219"/>
      <c r="R65" s="219"/>
      <c r="S65" s="219"/>
      <c r="T65" s="219"/>
      <c r="U65" s="219">
        <f t="shared" si="56"/>
        <v>200</v>
      </c>
      <c r="V65" s="218">
        <v>200</v>
      </c>
      <c r="W65" s="218"/>
      <c r="X65" s="218"/>
      <c r="Y65" s="218"/>
      <c r="Z65" s="218"/>
      <c r="AA65" s="218">
        <f t="shared" si="57"/>
        <v>200</v>
      </c>
      <c r="AB65" s="216">
        <f t="shared" si="4"/>
        <v>800</v>
      </c>
      <c r="AC65" s="216">
        <f t="shared" si="5"/>
        <v>800</v>
      </c>
    </row>
    <row r="66" spans="1:29" ht="28.5" customHeight="1" x14ac:dyDescent="0.25">
      <c r="A66" s="266"/>
      <c r="B66" s="226" t="s">
        <v>686</v>
      </c>
      <c r="C66" s="299"/>
      <c r="D66" s="240">
        <v>2385</v>
      </c>
      <c r="E66" s="240"/>
      <c r="F66" s="240"/>
      <c r="G66" s="240"/>
      <c r="H66" s="240"/>
      <c r="I66" s="240">
        <f t="shared" ref="I66" si="58">SUM(D66:H66)</f>
        <v>2385</v>
      </c>
      <c r="J66" s="240">
        <v>3000</v>
      </c>
      <c r="K66" s="240"/>
      <c r="L66" s="240"/>
      <c r="M66" s="240"/>
      <c r="N66" s="240"/>
      <c r="O66" s="240">
        <f t="shared" ref="O66" si="59">SUM(J66:N66)</f>
        <v>3000</v>
      </c>
      <c r="P66" s="240">
        <v>3000</v>
      </c>
      <c r="Q66" s="240"/>
      <c r="R66" s="240"/>
      <c r="S66" s="240"/>
      <c r="T66" s="240"/>
      <c r="U66" s="240">
        <f t="shared" ref="U66" si="60">SUM(P66:T66)</f>
        <v>3000</v>
      </c>
      <c r="V66" s="240">
        <v>3000</v>
      </c>
      <c r="W66" s="240"/>
      <c r="X66" s="240"/>
      <c r="Y66" s="240"/>
      <c r="Z66" s="240"/>
      <c r="AA66" s="240">
        <f t="shared" ref="AA66" si="61">V66+W66+X66+Z66</f>
        <v>3000</v>
      </c>
      <c r="AB66" s="216">
        <f t="shared" si="4"/>
        <v>11385</v>
      </c>
      <c r="AC66" s="216">
        <f t="shared" si="5"/>
        <v>11385</v>
      </c>
    </row>
    <row r="67" spans="1:29" ht="93.75" customHeight="1" x14ac:dyDescent="0.25">
      <c r="A67" s="266"/>
      <c r="B67" s="261" t="s">
        <v>716</v>
      </c>
      <c r="C67" s="299"/>
      <c r="D67" s="223"/>
      <c r="E67" s="223"/>
      <c r="F67" s="228">
        <v>1170.9000000000001</v>
      </c>
      <c r="G67" s="209"/>
      <c r="H67" s="223"/>
      <c r="I67" s="223">
        <f t="shared" ref="I67" si="62">SUM(D67:H67)</f>
        <v>1170.9000000000001</v>
      </c>
      <c r="J67" s="223"/>
      <c r="K67" s="223"/>
      <c r="L67" s="228"/>
      <c r="M67" s="228"/>
      <c r="N67" s="223"/>
      <c r="O67" s="223">
        <f t="shared" si="55"/>
        <v>0</v>
      </c>
      <c r="P67" s="223"/>
      <c r="Q67" s="223"/>
      <c r="R67" s="223"/>
      <c r="S67" s="223"/>
      <c r="T67" s="223"/>
      <c r="U67" s="223">
        <f t="shared" si="56"/>
        <v>0</v>
      </c>
      <c r="V67" s="222"/>
      <c r="W67" s="222"/>
      <c r="X67" s="222"/>
      <c r="Y67" s="222"/>
      <c r="Z67" s="222"/>
      <c r="AA67" s="218"/>
      <c r="AB67" s="216">
        <f t="shared" si="4"/>
        <v>0</v>
      </c>
      <c r="AC67" s="216">
        <f t="shared" si="5"/>
        <v>1170.9000000000001</v>
      </c>
    </row>
    <row r="68" spans="1:29" ht="56.25" x14ac:dyDescent="0.25">
      <c r="A68" s="266"/>
      <c r="B68" s="253" t="s">
        <v>717</v>
      </c>
      <c r="C68" s="300"/>
      <c r="D68" s="254"/>
      <c r="E68" s="223"/>
      <c r="F68" s="223">
        <f>12786/2</f>
        <v>6393</v>
      </c>
      <c r="G68" s="223"/>
      <c r="H68" s="223"/>
      <c r="I68" s="223"/>
      <c r="J68" s="223"/>
      <c r="K68" s="223"/>
      <c r="L68" s="223">
        <f>12786/2</f>
        <v>6393</v>
      </c>
      <c r="M68" s="223"/>
      <c r="N68" s="223"/>
      <c r="O68" s="223"/>
      <c r="P68" s="223"/>
      <c r="Q68" s="223"/>
      <c r="R68" s="223"/>
      <c r="S68" s="223"/>
      <c r="T68" s="223"/>
      <c r="U68" s="223"/>
      <c r="V68" s="222"/>
      <c r="W68" s="222"/>
      <c r="X68" s="222"/>
      <c r="Y68" s="222"/>
      <c r="Z68" s="222"/>
      <c r="AA68" s="218"/>
      <c r="AB68" s="216">
        <f t="shared" si="4"/>
        <v>0</v>
      </c>
      <c r="AC68" s="216">
        <f t="shared" si="5"/>
        <v>0</v>
      </c>
    </row>
    <row r="69" spans="1:29" ht="15" customHeight="1" x14ac:dyDescent="0.25">
      <c r="A69" s="265" t="s">
        <v>325</v>
      </c>
      <c r="B69" s="214"/>
      <c r="C69" s="310">
        <f t="shared" ref="C69:J69" si="63">SUM(C70,C74)</f>
        <v>0</v>
      </c>
      <c r="D69" s="216">
        <f t="shared" si="63"/>
        <v>10315</v>
      </c>
      <c r="E69" s="216">
        <f t="shared" si="63"/>
        <v>0</v>
      </c>
      <c r="F69" s="216">
        <f t="shared" si="63"/>
        <v>0</v>
      </c>
      <c r="G69" s="216">
        <f t="shared" si="63"/>
        <v>0</v>
      </c>
      <c r="H69" s="216">
        <f t="shared" si="63"/>
        <v>0</v>
      </c>
      <c r="I69" s="216">
        <f t="shared" si="63"/>
        <v>10315</v>
      </c>
      <c r="J69" s="216">
        <f t="shared" si="63"/>
        <v>28200</v>
      </c>
      <c r="K69" s="216">
        <f t="shared" ref="K69:AA69" si="64">SUM(K70,K74)</f>
        <v>0</v>
      </c>
      <c r="L69" s="216">
        <f t="shared" si="64"/>
        <v>0</v>
      </c>
      <c r="M69" s="216">
        <f t="shared" si="64"/>
        <v>0</v>
      </c>
      <c r="N69" s="216">
        <f t="shared" si="64"/>
        <v>0</v>
      </c>
      <c r="O69" s="216">
        <f t="shared" si="64"/>
        <v>28200</v>
      </c>
      <c r="P69" s="216">
        <f t="shared" si="64"/>
        <v>27200</v>
      </c>
      <c r="Q69" s="216">
        <f t="shared" si="64"/>
        <v>0</v>
      </c>
      <c r="R69" s="216">
        <f t="shared" si="64"/>
        <v>0</v>
      </c>
      <c r="S69" s="216">
        <f t="shared" si="64"/>
        <v>0</v>
      </c>
      <c r="T69" s="216">
        <f t="shared" si="64"/>
        <v>0</v>
      </c>
      <c r="U69" s="216">
        <f t="shared" si="64"/>
        <v>27200</v>
      </c>
      <c r="V69" s="216">
        <f t="shared" si="64"/>
        <v>26475</v>
      </c>
      <c r="W69" s="216">
        <f t="shared" si="64"/>
        <v>0</v>
      </c>
      <c r="X69" s="216">
        <f t="shared" si="64"/>
        <v>0</v>
      </c>
      <c r="Y69" s="216">
        <f t="shared" si="64"/>
        <v>0</v>
      </c>
      <c r="Z69" s="216">
        <f t="shared" si="64"/>
        <v>0</v>
      </c>
      <c r="AA69" s="216">
        <f t="shared" si="64"/>
        <v>26475</v>
      </c>
      <c r="AB69" s="216">
        <f t="shared" si="4"/>
        <v>92190</v>
      </c>
      <c r="AC69" s="216">
        <f t="shared" si="5"/>
        <v>92190</v>
      </c>
    </row>
    <row r="70" spans="1:29" ht="47.25" customHeight="1" x14ac:dyDescent="0.25">
      <c r="A70" s="266"/>
      <c r="B70" s="217" t="s">
        <v>668</v>
      </c>
      <c r="C70" s="298" t="s">
        <v>748</v>
      </c>
      <c r="D70" s="219">
        <f>SUM(D71:D73)</f>
        <v>3720</v>
      </c>
      <c r="E70" s="219">
        <f t="shared" ref="E70:AC70" si="65">SUM(E71:E73)</f>
        <v>0</v>
      </c>
      <c r="F70" s="219">
        <f t="shared" si="65"/>
        <v>0</v>
      </c>
      <c r="G70" s="219">
        <f t="shared" si="65"/>
        <v>0</v>
      </c>
      <c r="H70" s="219">
        <f t="shared" si="65"/>
        <v>0</v>
      </c>
      <c r="I70" s="219">
        <f t="shared" si="65"/>
        <v>3720</v>
      </c>
      <c r="J70" s="219">
        <f t="shared" si="65"/>
        <v>6900</v>
      </c>
      <c r="K70" s="219">
        <f t="shared" si="65"/>
        <v>0</v>
      </c>
      <c r="L70" s="219">
        <f t="shared" si="65"/>
        <v>0</v>
      </c>
      <c r="M70" s="219">
        <f t="shared" si="65"/>
        <v>0</v>
      </c>
      <c r="N70" s="219">
        <f t="shared" si="65"/>
        <v>0</v>
      </c>
      <c r="O70" s="219">
        <f t="shared" si="65"/>
        <v>6900</v>
      </c>
      <c r="P70" s="219">
        <f t="shared" si="65"/>
        <v>5900</v>
      </c>
      <c r="Q70" s="219">
        <f t="shared" si="65"/>
        <v>0</v>
      </c>
      <c r="R70" s="219">
        <f t="shared" si="65"/>
        <v>0</v>
      </c>
      <c r="S70" s="219">
        <f t="shared" si="65"/>
        <v>0</v>
      </c>
      <c r="T70" s="219">
        <f t="shared" si="65"/>
        <v>0</v>
      </c>
      <c r="U70" s="219">
        <f t="shared" si="65"/>
        <v>5900</v>
      </c>
      <c r="V70" s="219">
        <f t="shared" si="65"/>
        <v>5175</v>
      </c>
      <c r="W70" s="219">
        <f t="shared" si="65"/>
        <v>0</v>
      </c>
      <c r="X70" s="219">
        <f t="shared" si="65"/>
        <v>0</v>
      </c>
      <c r="Y70" s="219">
        <f t="shared" si="65"/>
        <v>0</v>
      </c>
      <c r="Z70" s="219">
        <f t="shared" si="65"/>
        <v>0</v>
      </c>
      <c r="AA70" s="219">
        <f t="shared" si="65"/>
        <v>5175</v>
      </c>
      <c r="AB70" s="216">
        <f t="shared" si="65"/>
        <v>21695</v>
      </c>
      <c r="AC70" s="216">
        <f t="shared" si="65"/>
        <v>21695</v>
      </c>
    </row>
    <row r="71" spans="1:29" ht="24" customHeight="1" x14ac:dyDescent="0.25">
      <c r="A71" s="266"/>
      <c r="B71" s="217" t="s">
        <v>669</v>
      </c>
      <c r="C71" s="299"/>
      <c r="D71" s="219">
        <v>2920</v>
      </c>
      <c r="E71" s="219"/>
      <c r="F71" s="219"/>
      <c r="G71" s="219"/>
      <c r="H71" s="219"/>
      <c r="I71" s="219">
        <f t="shared" ref="I71:I73" si="66">SUM(D71:H71)</f>
        <v>2920</v>
      </c>
      <c r="J71" s="219">
        <v>5000</v>
      </c>
      <c r="K71" s="219"/>
      <c r="L71" s="219"/>
      <c r="M71" s="219"/>
      <c r="N71" s="219"/>
      <c r="O71" s="219">
        <f t="shared" ref="O71:O73" si="67">SUM(J71:N71)</f>
        <v>5000</v>
      </c>
      <c r="P71" s="219">
        <v>4000</v>
      </c>
      <c r="Q71" s="219"/>
      <c r="R71" s="219"/>
      <c r="S71" s="219"/>
      <c r="T71" s="219"/>
      <c r="U71" s="219">
        <f t="shared" ref="U71:U73" si="68">SUM(P71:T71)</f>
        <v>4000</v>
      </c>
      <c r="V71" s="218">
        <v>4000</v>
      </c>
      <c r="W71" s="218"/>
      <c r="X71" s="218"/>
      <c r="Y71" s="218"/>
      <c r="Z71" s="218"/>
      <c r="AA71" s="218">
        <f t="shared" ref="AA71:AA73" si="69">SUM(V71:Z71)</f>
        <v>4000</v>
      </c>
      <c r="AB71" s="216">
        <f t="shared" ref="AB71:AB73" si="70">SUM(D71,J71,P71,V71)</f>
        <v>15920</v>
      </c>
      <c r="AC71" s="216">
        <f t="shared" ref="AC71:AC73" si="71">SUM(I71,O71,U71,AA71)</f>
        <v>15920</v>
      </c>
    </row>
    <row r="72" spans="1:29" ht="33.75" x14ac:dyDescent="0.25">
      <c r="A72" s="266"/>
      <c r="B72" s="217" t="s">
        <v>670</v>
      </c>
      <c r="C72" s="299"/>
      <c r="D72" s="219">
        <v>300</v>
      </c>
      <c r="E72" s="219"/>
      <c r="F72" s="219"/>
      <c r="G72" s="219"/>
      <c r="H72" s="219"/>
      <c r="I72" s="219">
        <f t="shared" si="66"/>
        <v>300</v>
      </c>
      <c r="J72" s="219">
        <v>1200</v>
      </c>
      <c r="K72" s="219"/>
      <c r="L72" s="219"/>
      <c r="M72" s="219"/>
      <c r="N72" s="219"/>
      <c r="O72" s="219">
        <f t="shared" si="67"/>
        <v>1200</v>
      </c>
      <c r="P72" s="219">
        <v>1200</v>
      </c>
      <c r="Q72" s="219"/>
      <c r="R72" s="219"/>
      <c r="S72" s="219"/>
      <c r="T72" s="219"/>
      <c r="U72" s="219">
        <f t="shared" si="68"/>
        <v>1200</v>
      </c>
      <c r="V72" s="218">
        <v>900</v>
      </c>
      <c r="W72" s="218"/>
      <c r="X72" s="218"/>
      <c r="Y72" s="218"/>
      <c r="Z72" s="218"/>
      <c r="AA72" s="218">
        <f t="shared" si="69"/>
        <v>900</v>
      </c>
      <c r="AB72" s="216">
        <f t="shared" si="70"/>
        <v>3600</v>
      </c>
      <c r="AC72" s="216">
        <f t="shared" si="71"/>
        <v>3600</v>
      </c>
    </row>
    <row r="73" spans="1:29" ht="45" x14ac:dyDescent="0.25">
      <c r="A73" s="266"/>
      <c r="B73" s="217" t="s">
        <v>671</v>
      </c>
      <c r="C73" s="299"/>
      <c r="D73" s="219">
        <v>500</v>
      </c>
      <c r="E73" s="219"/>
      <c r="F73" s="219"/>
      <c r="G73" s="219"/>
      <c r="H73" s="219"/>
      <c r="I73" s="219">
        <f t="shared" si="66"/>
        <v>500</v>
      </c>
      <c r="J73" s="219">
        <v>700</v>
      </c>
      <c r="K73" s="219"/>
      <c r="L73" s="219"/>
      <c r="M73" s="219"/>
      <c r="N73" s="219"/>
      <c r="O73" s="219">
        <f t="shared" si="67"/>
        <v>700</v>
      </c>
      <c r="P73" s="219">
        <v>700</v>
      </c>
      <c r="Q73" s="219"/>
      <c r="R73" s="219"/>
      <c r="S73" s="219"/>
      <c r="T73" s="219"/>
      <c r="U73" s="219">
        <f t="shared" si="68"/>
        <v>700</v>
      </c>
      <c r="V73" s="218">
        <v>275</v>
      </c>
      <c r="W73" s="218"/>
      <c r="X73" s="218"/>
      <c r="Y73" s="218"/>
      <c r="Z73" s="218"/>
      <c r="AA73" s="218">
        <f t="shared" si="69"/>
        <v>275</v>
      </c>
      <c r="AB73" s="216">
        <f t="shared" si="70"/>
        <v>2175</v>
      </c>
      <c r="AC73" s="216">
        <f t="shared" si="71"/>
        <v>2175</v>
      </c>
    </row>
    <row r="74" spans="1:29" ht="45" x14ac:dyDescent="0.25">
      <c r="A74" s="266"/>
      <c r="B74" s="217" t="s">
        <v>689</v>
      </c>
      <c r="C74" s="299"/>
      <c r="D74" s="219">
        <f>SUM(D75:D77)</f>
        <v>6595</v>
      </c>
      <c r="E74" s="219">
        <f t="shared" ref="E74" si="72">SUM(E75:E77)</f>
        <v>0</v>
      </c>
      <c r="F74" s="219">
        <f t="shared" ref="F74" si="73">SUM(F75:F77)</f>
        <v>0</v>
      </c>
      <c r="G74" s="219">
        <f t="shared" ref="G74" si="74">SUM(G75:G77)</f>
        <v>0</v>
      </c>
      <c r="H74" s="219">
        <f t="shared" ref="H74" si="75">SUM(H75:H77)</f>
        <v>0</v>
      </c>
      <c r="I74" s="219">
        <f t="shared" ref="I74" si="76">SUM(I75:I77)</f>
        <v>6595</v>
      </c>
      <c r="J74" s="219">
        <f t="shared" ref="J74" si="77">SUM(J75:J77)</f>
        <v>21300</v>
      </c>
      <c r="K74" s="219">
        <f t="shared" ref="K74" si="78">SUM(K75:K77)</f>
        <v>0</v>
      </c>
      <c r="L74" s="219">
        <f t="shared" ref="L74" si="79">SUM(L75:L77)</f>
        <v>0</v>
      </c>
      <c r="M74" s="219">
        <f t="shared" ref="M74" si="80">SUM(M75:M77)</f>
        <v>0</v>
      </c>
      <c r="N74" s="219">
        <f t="shared" ref="N74" si="81">SUM(N75:N77)</f>
        <v>0</v>
      </c>
      <c r="O74" s="219">
        <f t="shared" ref="O74" si="82">SUM(O75:O77)</f>
        <v>21300</v>
      </c>
      <c r="P74" s="219">
        <f t="shared" ref="P74" si="83">SUM(P75:P77)</f>
        <v>21300</v>
      </c>
      <c r="Q74" s="219">
        <f t="shared" ref="Q74" si="84">SUM(Q75:Q77)</f>
        <v>0</v>
      </c>
      <c r="R74" s="219">
        <f t="shared" ref="R74" si="85">SUM(R75:R77)</f>
        <v>0</v>
      </c>
      <c r="S74" s="219">
        <f t="shared" ref="S74" si="86">SUM(S75:S77)</f>
        <v>0</v>
      </c>
      <c r="T74" s="219">
        <f t="shared" ref="T74" si="87">SUM(T75:T77)</f>
        <v>0</v>
      </c>
      <c r="U74" s="219">
        <f t="shared" ref="U74" si="88">SUM(U75:U77)</f>
        <v>21300</v>
      </c>
      <c r="V74" s="219">
        <f t="shared" ref="V74" si="89">SUM(V75:V77)</f>
        <v>21300</v>
      </c>
      <c r="W74" s="219">
        <f t="shared" ref="W74" si="90">SUM(W75:W77)</f>
        <v>0</v>
      </c>
      <c r="X74" s="219">
        <f t="shared" ref="X74" si="91">SUM(X75:X77)</f>
        <v>0</v>
      </c>
      <c r="Y74" s="219">
        <f t="shared" ref="Y74" si="92">SUM(Y75:Y77)</f>
        <v>0</v>
      </c>
      <c r="Z74" s="219">
        <f t="shared" ref="Z74" si="93">SUM(Z75:Z77)</f>
        <v>0</v>
      </c>
      <c r="AA74" s="219">
        <f t="shared" ref="AA74" si="94">SUM(AA75:AA77)</f>
        <v>21300</v>
      </c>
      <c r="AB74" s="216">
        <f t="shared" ref="AB74" si="95">SUM(AB75:AB77)</f>
        <v>70495</v>
      </c>
      <c r="AC74" s="216">
        <f t="shared" ref="AC74" si="96">SUM(AC75:AC77)</f>
        <v>70495</v>
      </c>
    </row>
    <row r="75" spans="1:29" ht="191.25" x14ac:dyDescent="0.25">
      <c r="A75" s="266"/>
      <c r="B75" s="217" t="s">
        <v>690</v>
      </c>
      <c r="C75" s="299"/>
      <c r="D75" s="219">
        <v>2320</v>
      </c>
      <c r="E75" s="219"/>
      <c r="F75" s="219"/>
      <c r="G75" s="219"/>
      <c r="H75" s="219"/>
      <c r="I75" s="219">
        <f t="shared" ref="I75:I77" si="97">SUM(D75:H75)</f>
        <v>2320</v>
      </c>
      <c r="J75" s="219">
        <v>9800</v>
      </c>
      <c r="K75" s="219"/>
      <c r="L75" s="219"/>
      <c r="M75" s="219"/>
      <c r="N75" s="219"/>
      <c r="O75" s="219">
        <f t="shared" ref="O75:O77" si="98">SUM(J75:N75)</f>
        <v>9800</v>
      </c>
      <c r="P75" s="219">
        <v>9800</v>
      </c>
      <c r="Q75" s="219"/>
      <c r="R75" s="219"/>
      <c r="S75" s="219"/>
      <c r="T75" s="219"/>
      <c r="U75" s="219">
        <f t="shared" ref="U75:U77" si="99">SUM(P75:T75)</f>
        <v>9800</v>
      </c>
      <c r="V75" s="218">
        <v>9800</v>
      </c>
      <c r="W75" s="218"/>
      <c r="X75" s="218"/>
      <c r="Y75" s="218"/>
      <c r="Z75" s="218"/>
      <c r="AA75" s="218">
        <f t="shared" ref="AA75:AA77" si="100">SUM(V75:Z75)</f>
        <v>9800</v>
      </c>
      <c r="AB75" s="216">
        <f t="shared" ref="AB75:AB77" si="101">SUM(D75,J75,P75,V75)</f>
        <v>31720</v>
      </c>
      <c r="AC75" s="216">
        <f t="shared" ref="AC75:AC77" si="102">SUM(I75,O75,U75,AA75)</f>
        <v>31720</v>
      </c>
    </row>
    <row r="76" spans="1:29" ht="30.75" customHeight="1" x14ac:dyDescent="0.25">
      <c r="A76" s="266"/>
      <c r="B76" s="217" t="s">
        <v>672</v>
      </c>
      <c r="C76" s="299"/>
      <c r="D76" s="219">
        <v>555</v>
      </c>
      <c r="E76" s="219"/>
      <c r="F76" s="219"/>
      <c r="G76" s="219"/>
      <c r="H76" s="219"/>
      <c r="I76" s="219">
        <f t="shared" si="97"/>
        <v>555</v>
      </c>
      <c r="J76" s="219">
        <v>9000</v>
      </c>
      <c r="K76" s="219"/>
      <c r="L76" s="219"/>
      <c r="M76" s="219"/>
      <c r="N76" s="219"/>
      <c r="O76" s="219">
        <f t="shared" si="98"/>
        <v>9000</v>
      </c>
      <c r="P76" s="219">
        <v>9000</v>
      </c>
      <c r="Q76" s="219"/>
      <c r="R76" s="219"/>
      <c r="S76" s="219"/>
      <c r="T76" s="219"/>
      <c r="U76" s="219">
        <f t="shared" si="99"/>
        <v>9000</v>
      </c>
      <c r="V76" s="218">
        <v>9000</v>
      </c>
      <c r="W76" s="218"/>
      <c r="X76" s="218"/>
      <c r="Y76" s="218"/>
      <c r="Z76" s="218"/>
      <c r="AA76" s="218">
        <f t="shared" si="100"/>
        <v>9000</v>
      </c>
      <c r="AB76" s="216">
        <f t="shared" si="101"/>
        <v>27555</v>
      </c>
      <c r="AC76" s="216">
        <f t="shared" si="102"/>
        <v>27555</v>
      </c>
    </row>
    <row r="77" spans="1:29" ht="117" customHeight="1" x14ac:dyDescent="0.25">
      <c r="A77" s="266"/>
      <c r="B77" s="217" t="s">
        <v>679</v>
      </c>
      <c r="C77" s="300"/>
      <c r="D77" s="219">
        <v>3720</v>
      </c>
      <c r="E77" s="219"/>
      <c r="F77" s="219"/>
      <c r="G77" s="219"/>
      <c r="H77" s="219"/>
      <c r="I77" s="219">
        <f t="shared" si="97"/>
        <v>3720</v>
      </c>
      <c r="J77" s="219">
        <v>2500</v>
      </c>
      <c r="K77" s="219"/>
      <c r="L77" s="219"/>
      <c r="M77" s="219"/>
      <c r="N77" s="219"/>
      <c r="O77" s="219">
        <f t="shared" si="98"/>
        <v>2500</v>
      </c>
      <c r="P77" s="219">
        <v>2500</v>
      </c>
      <c r="Q77" s="219"/>
      <c r="R77" s="219"/>
      <c r="S77" s="219"/>
      <c r="T77" s="219"/>
      <c r="U77" s="219">
        <f t="shared" si="99"/>
        <v>2500</v>
      </c>
      <c r="V77" s="218">
        <v>2500</v>
      </c>
      <c r="W77" s="218"/>
      <c r="X77" s="218"/>
      <c r="Y77" s="218"/>
      <c r="Z77" s="218"/>
      <c r="AA77" s="218">
        <f t="shared" si="100"/>
        <v>2500</v>
      </c>
      <c r="AB77" s="216">
        <f t="shared" si="101"/>
        <v>11220</v>
      </c>
      <c r="AC77" s="216">
        <f t="shared" si="102"/>
        <v>11220</v>
      </c>
    </row>
    <row r="78" spans="1:29" x14ac:dyDescent="0.25">
      <c r="A78" s="264" t="s">
        <v>326</v>
      </c>
      <c r="B78" s="214"/>
      <c r="C78" s="308"/>
      <c r="D78" s="216">
        <f>SUM(D79:D84)</f>
        <v>52000</v>
      </c>
      <c r="E78" s="216">
        <f t="shared" ref="E78:Z78" si="103">SUM(E79:E84)</f>
        <v>0</v>
      </c>
      <c r="F78" s="216">
        <f t="shared" si="103"/>
        <v>0</v>
      </c>
      <c r="G78" s="216">
        <f>SUM(G79:G84)</f>
        <v>0</v>
      </c>
      <c r="H78" s="216">
        <f t="shared" si="103"/>
        <v>0</v>
      </c>
      <c r="I78" s="216">
        <f t="shared" si="54"/>
        <v>52000</v>
      </c>
      <c r="J78" s="216">
        <f t="shared" si="103"/>
        <v>39000</v>
      </c>
      <c r="K78" s="216">
        <f t="shared" si="103"/>
        <v>0</v>
      </c>
      <c r="L78" s="216">
        <f t="shared" si="103"/>
        <v>0</v>
      </c>
      <c r="M78" s="216"/>
      <c r="N78" s="216">
        <f t="shared" si="103"/>
        <v>0</v>
      </c>
      <c r="O78" s="216">
        <f t="shared" si="55"/>
        <v>39000</v>
      </c>
      <c r="P78" s="216">
        <f t="shared" si="103"/>
        <v>21684</v>
      </c>
      <c r="Q78" s="216">
        <f t="shared" si="103"/>
        <v>0</v>
      </c>
      <c r="R78" s="216">
        <f t="shared" si="103"/>
        <v>0</v>
      </c>
      <c r="S78" s="216"/>
      <c r="T78" s="216">
        <f t="shared" si="103"/>
        <v>0</v>
      </c>
      <c r="U78" s="216">
        <f t="shared" si="27"/>
        <v>21684</v>
      </c>
      <c r="V78" s="216">
        <f t="shared" si="103"/>
        <v>21684</v>
      </c>
      <c r="W78" s="216">
        <f t="shared" si="103"/>
        <v>0</v>
      </c>
      <c r="X78" s="216">
        <f t="shared" si="103"/>
        <v>0</v>
      </c>
      <c r="Y78" s="216"/>
      <c r="Z78" s="216">
        <f t="shared" si="103"/>
        <v>0</v>
      </c>
      <c r="AA78" s="216">
        <f t="shared" si="28"/>
        <v>21684</v>
      </c>
      <c r="AB78" s="216">
        <f t="shared" ref="AB78:AB141" si="104">SUM(D78,J78,P78,V78)</f>
        <v>134368</v>
      </c>
      <c r="AC78" s="216">
        <f t="shared" ref="AC78:AC141" si="105">SUM(I78,O78,U78,AA78)</f>
        <v>134368</v>
      </c>
    </row>
    <row r="79" spans="1:29" ht="45" x14ac:dyDescent="0.25">
      <c r="A79" s="264"/>
      <c r="B79" s="217" t="s">
        <v>615</v>
      </c>
      <c r="C79" s="298" t="s">
        <v>736</v>
      </c>
      <c r="D79" s="219">
        <v>5000</v>
      </c>
      <c r="E79" s="219"/>
      <c r="F79" s="219"/>
      <c r="G79" s="219"/>
      <c r="H79" s="219"/>
      <c r="I79" s="219">
        <f>SUM(D79:H79)</f>
        <v>5000</v>
      </c>
      <c r="J79" s="219">
        <v>5000</v>
      </c>
      <c r="K79" s="219"/>
      <c r="L79" s="219"/>
      <c r="M79" s="219"/>
      <c r="N79" s="219"/>
      <c r="O79" s="219">
        <f>SUM(J79:N79)</f>
        <v>5000</v>
      </c>
      <c r="P79" s="219">
        <v>4000</v>
      </c>
      <c r="Q79" s="219"/>
      <c r="R79" s="219"/>
      <c r="S79" s="219"/>
      <c r="T79" s="219"/>
      <c r="U79" s="219">
        <f>SUM(P79:T79)</f>
        <v>4000</v>
      </c>
      <c r="V79" s="218">
        <v>4000</v>
      </c>
      <c r="W79" s="218"/>
      <c r="X79" s="218"/>
      <c r="Y79" s="218"/>
      <c r="Z79" s="218"/>
      <c r="AA79" s="218">
        <f>SUM(V79:Z79)</f>
        <v>4000</v>
      </c>
      <c r="AB79" s="216">
        <f t="shared" si="104"/>
        <v>18000</v>
      </c>
      <c r="AC79" s="216">
        <f t="shared" si="105"/>
        <v>18000</v>
      </c>
    </row>
    <row r="80" spans="1:29" ht="33.75" x14ac:dyDescent="0.25">
      <c r="A80" s="264"/>
      <c r="B80" s="217" t="s">
        <v>616</v>
      </c>
      <c r="C80" s="299"/>
      <c r="D80" s="219">
        <v>25000</v>
      </c>
      <c r="E80" s="219"/>
      <c r="F80" s="219"/>
      <c r="G80" s="219"/>
      <c r="H80" s="219"/>
      <c r="I80" s="219">
        <f t="shared" si="54"/>
        <v>25000</v>
      </c>
      <c r="J80" s="219">
        <v>27000</v>
      </c>
      <c r="K80" s="219"/>
      <c r="L80" s="219"/>
      <c r="M80" s="219"/>
      <c r="N80" s="219"/>
      <c r="O80" s="219">
        <f t="shared" si="55"/>
        <v>27000</v>
      </c>
      <c r="P80" s="219">
        <v>15684</v>
      </c>
      <c r="Q80" s="219"/>
      <c r="R80" s="219"/>
      <c r="S80" s="219"/>
      <c r="T80" s="219"/>
      <c r="U80" s="219">
        <f t="shared" si="27"/>
        <v>15684</v>
      </c>
      <c r="V80" s="218">
        <v>15684</v>
      </c>
      <c r="W80" s="218"/>
      <c r="X80" s="218"/>
      <c r="Y80" s="218"/>
      <c r="Z80" s="218"/>
      <c r="AA80" s="218">
        <f t="shared" si="28"/>
        <v>15684</v>
      </c>
      <c r="AB80" s="216">
        <f t="shared" si="104"/>
        <v>83368</v>
      </c>
      <c r="AC80" s="216">
        <f t="shared" si="105"/>
        <v>83368</v>
      </c>
    </row>
    <row r="81" spans="1:29" ht="22.5" x14ac:dyDescent="0.25">
      <c r="A81" s="264"/>
      <c r="B81" s="217" t="s">
        <v>617</v>
      </c>
      <c r="C81" s="299"/>
      <c r="D81" s="219">
        <v>400</v>
      </c>
      <c r="E81" s="219"/>
      <c r="F81" s="219"/>
      <c r="G81" s="219"/>
      <c r="H81" s="219"/>
      <c r="I81" s="219">
        <f t="shared" si="54"/>
        <v>400</v>
      </c>
      <c r="J81" s="219">
        <v>350</v>
      </c>
      <c r="K81" s="219"/>
      <c r="L81" s="219"/>
      <c r="M81" s="219"/>
      <c r="N81" s="219"/>
      <c r="O81" s="219">
        <f t="shared" si="55"/>
        <v>350</v>
      </c>
      <c r="P81" s="219">
        <v>350</v>
      </c>
      <c r="Q81" s="219"/>
      <c r="R81" s="219"/>
      <c r="S81" s="219"/>
      <c r="T81" s="219"/>
      <c r="U81" s="219">
        <f t="shared" si="27"/>
        <v>350</v>
      </c>
      <c r="V81" s="218">
        <v>350</v>
      </c>
      <c r="W81" s="218"/>
      <c r="X81" s="218"/>
      <c r="Y81" s="218"/>
      <c r="Z81" s="218"/>
      <c r="AA81" s="218">
        <f t="shared" si="28"/>
        <v>350</v>
      </c>
      <c r="AB81" s="216">
        <f t="shared" si="104"/>
        <v>1450</v>
      </c>
      <c r="AC81" s="216">
        <f t="shared" si="105"/>
        <v>1450</v>
      </c>
    </row>
    <row r="82" spans="1:29" ht="22.5" x14ac:dyDescent="0.25">
      <c r="A82" s="264"/>
      <c r="B82" s="217" t="s">
        <v>618</v>
      </c>
      <c r="C82" s="299"/>
      <c r="D82" s="219">
        <v>1250</v>
      </c>
      <c r="E82" s="219"/>
      <c r="F82" s="219"/>
      <c r="G82" s="219"/>
      <c r="H82" s="219"/>
      <c r="I82" s="219">
        <f t="shared" si="54"/>
        <v>1250</v>
      </c>
      <c r="J82" s="219">
        <v>1250</v>
      </c>
      <c r="K82" s="219"/>
      <c r="L82" s="219"/>
      <c r="M82" s="219"/>
      <c r="N82" s="219"/>
      <c r="O82" s="219">
        <f t="shared" si="55"/>
        <v>1250</v>
      </c>
      <c r="P82" s="219">
        <v>1250</v>
      </c>
      <c r="Q82" s="219"/>
      <c r="R82" s="219"/>
      <c r="S82" s="219"/>
      <c r="T82" s="219"/>
      <c r="U82" s="219">
        <f t="shared" si="27"/>
        <v>1250</v>
      </c>
      <c r="V82" s="218">
        <v>1250</v>
      </c>
      <c r="W82" s="218"/>
      <c r="X82" s="218"/>
      <c r="Y82" s="218"/>
      <c r="Z82" s="218"/>
      <c r="AA82" s="218">
        <f t="shared" si="28"/>
        <v>1250</v>
      </c>
      <c r="AB82" s="216">
        <f t="shared" si="104"/>
        <v>5000</v>
      </c>
      <c r="AC82" s="216">
        <f t="shared" si="105"/>
        <v>5000</v>
      </c>
    </row>
    <row r="83" spans="1:29" ht="22.5" x14ac:dyDescent="0.25">
      <c r="A83" s="264"/>
      <c r="B83" s="217" t="s">
        <v>619</v>
      </c>
      <c r="C83" s="299"/>
      <c r="D83" s="219">
        <v>350</v>
      </c>
      <c r="E83" s="219"/>
      <c r="F83" s="219"/>
      <c r="G83" s="219"/>
      <c r="H83" s="219"/>
      <c r="I83" s="219">
        <f t="shared" si="54"/>
        <v>350</v>
      </c>
      <c r="J83" s="219">
        <v>400</v>
      </c>
      <c r="K83" s="219"/>
      <c r="L83" s="219"/>
      <c r="M83" s="219"/>
      <c r="N83" s="219"/>
      <c r="O83" s="219">
        <f t="shared" si="55"/>
        <v>400</v>
      </c>
      <c r="P83" s="219">
        <v>400</v>
      </c>
      <c r="Q83" s="219"/>
      <c r="R83" s="219"/>
      <c r="S83" s="219"/>
      <c r="T83" s="219"/>
      <c r="U83" s="219">
        <f t="shared" si="27"/>
        <v>400</v>
      </c>
      <c r="V83" s="218">
        <v>400</v>
      </c>
      <c r="W83" s="218"/>
      <c r="X83" s="218"/>
      <c r="Y83" s="218"/>
      <c r="Z83" s="218"/>
      <c r="AA83" s="218">
        <f t="shared" si="28"/>
        <v>400</v>
      </c>
      <c r="AB83" s="216">
        <f t="shared" si="104"/>
        <v>1550</v>
      </c>
      <c r="AC83" s="216">
        <f t="shared" si="105"/>
        <v>1550</v>
      </c>
    </row>
    <row r="84" spans="1:29" ht="22.5" x14ac:dyDescent="0.25">
      <c r="A84" s="264"/>
      <c r="B84" s="217" t="s">
        <v>691</v>
      </c>
      <c r="C84" s="300"/>
      <c r="D84" s="219">
        <v>20000</v>
      </c>
      <c r="E84" s="219"/>
      <c r="F84" s="219"/>
      <c r="G84" s="219"/>
      <c r="H84" s="219"/>
      <c r="I84" s="219">
        <f t="shared" si="54"/>
        <v>20000</v>
      </c>
      <c r="J84" s="219">
        <v>5000</v>
      </c>
      <c r="K84" s="219"/>
      <c r="L84" s="219"/>
      <c r="M84" s="219"/>
      <c r="N84" s="219"/>
      <c r="O84" s="219">
        <f t="shared" si="55"/>
        <v>5000</v>
      </c>
      <c r="P84" s="219">
        <v>0</v>
      </c>
      <c r="Q84" s="219"/>
      <c r="R84" s="219"/>
      <c r="S84" s="219"/>
      <c r="T84" s="219"/>
      <c r="U84" s="219">
        <f t="shared" si="27"/>
        <v>0</v>
      </c>
      <c r="V84" s="218">
        <v>0</v>
      </c>
      <c r="W84" s="218"/>
      <c r="X84" s="218"/>
      <c r="Y84" s="218"/>
      <c r="Z84" s="218"/>
      <c r="AA84" s="218">
        <f t="shared" si="28"/>
        <v>0</v>
      </c>
      <c r="AB84" s="216">
        <f t="shared" si="104"/>
        <v>25000</v>
      </c>
      <c r="AC84" s="216">
        <f t="shared" si="105"/>
        <v>25000</v>
      </c>
    </row>
    <row r="85" spans="1:29" x14ac:dyDescent="0.25">
      <c r="A85" s="264" t="s">
        <v>327</v>
      </c>
      <c r="B85" s="214"/>
      <c r="C85" s="308"/>
      <c r="D85" s="216">
        <f>SUM(D86:D89)</f>
        <v>92520</v>
      </c>
      <c r="E85" s="216">
        <f t="shared" ref="E85:H85" si="106">SUM(E86:E89)</f>
        <v>10000</v>
      </c>
      <c r="F85" s="216">
        <f t="shared" si="106"/>
        <v>39044</v>
      </c>
      <c r="G85" s="216">
        <f>SUM(G86:G89)</f>
        <v>0</v>
      </c>
      <c r="H85" s="216">
        <f t="shared" si="106"/>
        <v>1300</v>
      </c>
      <c r="I85" s="216">
        <f t="shared" si="54"/>
        <v>142864</v>
      </c>
      <c r="J85" s="216">
        <f>SUM(J86:J89)</f>
        <v>87810</v>
      </c>
      <c r="K85" s="216">
        <f t="shared" ref="K85:N85" si="107">SUM(K86:K89)</f>
        <v>20000</v>
      </c>
      <c r="L85" s="216">
        <f t="shared" si="107"/>
        <v>0</v>
      </c>
      <c r="M85" s="216"/>
      <c r="N85" s="216">
        <f t="shared" si="107"/>
        <v>1500</v>
      </c>
      <c r="O85" s="216">
        <f t="shared" si="55"/>
        <v>109310</v>
      </c>
      <c r="P85" s="216">
        <f>SUM(P86:P89)</f>
        <v>79170</v>
      </c>
      <c r="Q85" s="216">
        <f t="shared" ref="Q85:T85" si="108">SUM(Q86:Q89)</f>
        <v>20000</v>
      </c>
      <c r="R85" s="216">
        <f t="shared" si="108"/>
        <v>0</v>
      </c>
      <c r="S85" s="216"/>
      <c r="T85" s="216">
        <f t="shared" si="108"/>
        <v>0</v>
      </c>
      <c r="U85" s="216">
        <f t="shared" ref="U85:U142" si="109">SUM(P85:T85)</f>
        <v>99170</v>
      </c>
      <c r="V85" s="216">
        <f>SUM(V86:V89)</f>
        <v>78670</v>
      </c>
      <c r="W85" s="216">
        <f t="shared" ref="W85:Z85" si="110">SUM(W86:W89)</f>
        <v>20000</v>
      </c>
      <c r="X85" s="216">
        <f t="shared" si="110"/>
        <v>0</v>
      </c>
      <c r="Y85" s="216"/>
      <c r="Z85" s="216">
        <f t="shared" si="110"/>
        <v>0</v>
      </c>
      <c r="AA85" s="216">
        <f t="shared" ref="AA85:AA144" si="111">V85+W85+X85+Z85</f>
        <v>98670</v>
      </c>
      <c r="AB85" s="216">
        <f t="shared" si="104"/>
        <v>338170</v>
      </c>
      <c r="AC85" s="216">
        <f t="shared" si="105"/>
        <v>450014</v>
      </c>
    </row>
    <row r="86" spans="1:29" ht="190.5" customHeight="1" x14ac:dyDescent="0.25">
      <c r="A86" s="264"/>
      <c r="B86" s="217" t="s">
        <v>620</v>
      </c>
      <c r="C86" s="298" t="s">
        <v>737</v>
      </c>
      <c r="D86" s="223">
        <f>45000+10000+9000+5000</f>
        <v>69000</v>
      </c>
      <c r="E86" s="241">
        <v>10000</v>
      </c>
      <c r="F86" s="223">
        <f>37585-1589</f>
        <v>35996</v>
      </c>
      <c r="G86" s="223"/>
      <c r="H86" s="223">
        <v>1300</v>
      </c>
      <c r="I86" s="223">
        <f t="shared" ref="I86:I89" si="112">SUM(D86:H86)</f>
        <v>116296</v>
      </c>
      <c r="J86" s="223">
        <v>67000</v>
      </c>
      <c r="K86" s="223">
        <v>20000</v>
      </c>
      <c r="L86" s="223"/>
      <c r="M86" s="223"/>
      <c r="N86" s="223">
        <v>1500</v>
      </c>
      <c r="O86" s="223">
        <f t="shared" si="55"/>
        <v>88500</v>
      </c>
      <c r="P86" s="223">
        <v>56500</v>
      </c>
      <c r="Q86" s="223">
        <v>20000</v>
      </c>
      <c r="R86" s="223"/>
      <c r="S86" s="223"/>
      <c r="T86" s="223"/>
      <c r="U86" s="223">
        <f t="shared" si="109"/>
        <v>76500</v>
      </c>
      <c r="V86" s="222">
        <v>57000</v>
      </c>
      <c r="W86" s="222">
        <v>20000</v>
      </c>
      <c r="X86" s="222"/>
      <c r="Y86" s="222"/>
      <c r="Z86" s="222"/>
      <c r="AA86" s="218">
        <f t="shared" si="111"/>
        <v>77000</v>
      </c>
      <c r="AB86" s="216">
        <f t="shared" si="104"/>
        <v>249500</v>
      </c>
      <c r="AC86" s="216">
        <f t="shared" si="105"/>
        <v>358296</v>
      </c>
    </row>
    <row r="87" spans="1:29" ht="71.25" customHeight="1" x14ac:dyDescent="0.25">
      <c r="A87" s="264"/>
      <c r="B87" s="217" t="s">
        <v>621</v>
      </c>
      <c r="C87" s="299"/>
      <c r="D87" s="223">
        <f>7750-950-1190</f>
        <v>5610</v>
      </c>
      <c r="E87" s="223"/>
      <c r="F87" s="223">
        <f>2027-414</f>
        <v>1613</v>
      </c>
      <c r="G87" s="223"/>
      <c r="H87" s="223"/>
      <c r="I87" s="223">
        <f t="shared" si="112"/>
        <v>7223</v>
      </c>
      <c r="J87" s="223">
        <v>7750</v>
      </c>
      <c r="K87" s="223"/>
      <c r="L87" s="223"/>
      <c r="M87" s="223"/>
      <c r="N87" s="223"/>
      <c r="O87" s="223">
        <f t="shared" si="55"/>
        <v>7750</v>
      </c>
      <c r="P87" s="223">
        <v>6450</v>
      </c>
      <c r="Q87" s="223"/>
      <c r="R87" s="223"/>
      <c r="S87" s="223"/>
      <c r="T87" s="223"/>
      <c r="U87" s="223">
        <f t="shared" si="109"/>
        <v>6450</v>
      </c>
      <c r="V87" s="222">
        <v>5450</v>
      </c>
      <c r="W87" s="222"/>
      <c r="X87" s="222"/>
      <c r="Y87" s="222"/>
      <c r="Z87" s="222"/>
      <c r="AA87" s="218">
        <f t="shared" si="111"/>
        <v>5450</v>
      </c>
      <c r="AB87" s="216">
        <f t="shared" si="104"/>
        <v>25260</v>
      </c>
      <c r="AC87" s="216">
        <f t="shared" si="105"/>
        <v>26873</v>
      </c>
    </row>
    <row r="88" spans="1:29" ht="22.5" x14ac:dyDescent="0.25">
      <c r="A88" s="264"/>
      <c r="B88" s="217" t="s">
        <v>622</v>
      </c>
      <c r="C88" s="299"/>
      <c r="D88" s="223">
        <f>25060-1700-200-6000-150</f>
        <v>17010</v>
      </c>
      <c r="E88" s="223"/>
      <c r="F88" s="223"/>
      <c r="G88" s="223"/>
      <c r="H88" s="223"/>
      <c r="I88" s="223">
        <f t="shared" si="112"/>
        <v>17010</v>
      </c>
      <c r="J88" s="223">
        <v>13060</v>
      </c>
      <c r="K88" s="223"/>
      <c r="L88" s="223"/>
      <c r="M88" s="223"/>
      <c r="N88" s="223"/>
      <c r="O88" s="223">
        <f t="shared" si="55"/>
        <v>13060</v>
      </c>
      <c r="P88" s="223">
        <v>16220</v>
      </c>
      <c r="Q88" s="223"/>
      <c r="R88" s="223"/>
      <c r="S88" s="223"/>
      <c r="T88" s="223"/>
      <c r="U88" s="223">
        <f t="shared" si="109"/>
        <v>16220</v>
      </c>
      <c r="V88" s="222">
        <v>16220</v>
      </c>
      <c r="W88" s="222"/>
      <c r="X88" s="222"/>
      <c r="Y88" s="222"/>
      <c r="Z88" s="222"/>
      <c r="AA88" s="218">
        <f t="shared" si="111"/>
        <v>16220</v>
      </c>
      <c r="AB88" s="216">
        <f t="shared" si="104"/>
        <v>62510</v>
      </c>
      <c r="AC88" s="216">
        <f t="shared" si="105"/>
        <v>62510</v>
      </c>
    </row>
    <row r="89" spans="1:29" ht="72.75" customHeight="1" x14ac:dyDescent="0.25">
      <c r="A89" s="264"/>
      <c r="B89" s="217" t="s">
        <v>623</v>
      </c>
      <c r="C89" s="300"/>
      <c r="D89" s="223">
        <v>900</v>
      </c>
      <c r="E89" s="242"/>
      <c r="F89" s="223">
        <v>1435</v>
      </c>
      <c r="G89" s="223"/>
      <c r="H89" s="223"/>
      <c r="I89" s="223">
        <f t="shared" si="112"/>
        <v>2335</v>
      </c>
      <c r="J89" s="223"/>
      <c r="K89" s="223"/>
      <c r="L89" s="223"/>
      <c r="M89" s="223"/>
      <c r="N89" s="223"/>
      <c r="O89" s="223">
        <f t="shared" si="55"/>
        <v>0</v>
      </c>
      <c r="P89" s="223"/>
      <c r="Q89" s="223"/>
      <c r="R89" s="223"/>
      <c r="S89" s="223"/>
      <c r="T89" s="223"/>
      <c r="U89" s="223">
        <f t="shared" si="109"/>
        <v>0</v>
      </c>
      <c r="V89" s="222"/>
      <c r="W89" s="222"/>
      <c r="X89" s="222"/>
      <c r="Y89" s="222"/>
      <c r="Z89" s="222"/>
      <c r="AA89" s="218">
        <f t="shared" si="111"/>
        <v>0</v>
      </c>
      <c r="AB89" s="216">
        <f t="shared" si="104"/>
        <v>900</v>
      </c>
      <c r="AC89" s="216">
        <f t="shared" si="105"/>
        <v>2335</v>
      </c>
    </row>
    <row r="90" spans="1:29" ht="15" customHeight="1" x14ac:dyDescent="0.25">
      <c r="A90" s="265" t="s">
        <v>328</v>
      </c>
      <c r="B90" s="214"/>
      <c r="C90" s="308"/>
      <c r="D90" s="216">
        <f>SUM(D91:D99)</f>
        <v>10072</v>
      </c>
      <c r="E90" s="216">
        <f t="shared" ref="E90:AA90" si="113">SUM(E91:E99)</f>
        <v>0</v>
      </c>
      <c r="F90" s="216">
        <f t="shared" si="113"/>
        <v>0</v>
      </c>
      <c r="G90" s="216">
        <f t="shared" si="113"/>
        <v>0</v>
      </c>
      <c r="H90" s="216">
        <f t="shared" si="113"/>
        <v>0</v>
      </c>
      <c r="I90" s="216">
        <f t="shared" si="113"/>
        <v>10030</v>
      </c>
      <c r="J90" s="216">
        <f t="shared" si="113"/>
        <v>9030</v>
      </c>
      <c r="K90" s="216">
        <f t="shared" si="113"/>
        <v>0</v>
      </c>
      <c r="L90" s="216">
        <f t="shared" si="113"/>
        <v>0</v>
      </c>
      <c r="M90" s="216">
        <f t="shared" si="113"/>
        <v>0</v>
      </c>
      <c r="N90" s="216">
        <f t="shared" si="113"/>
        <v>0</v>
      </c>
      <c r="O90" s="216">
        <f t="shared" si="113"/>
        <v>9030</v>
      </c>
      <c r="P90" s="216">
        <f t="shared" si="113"/>
        <v>8030</v>
      </c>
      <c r="Q90" s="216">
        <f t="shared" si="113"/>
        <v>0</v>
      </c>
      <c r="R90" s="216">
        <f t="shared" si="113"/>
        <v>0</v>
      </c>
      <c r="S90" s="216">
        <f t="shared" si="113"/>
        <v>0</v>
      </c>
      <c r="T90" s="216">
        <f t="shared" si="113"/>
        <v>0</v>
      </c>
      <c r="U90" s="216">
        <f t="shared" si="113"/>
        <v>8030</v>
      </c>
      <c r="V90" s="216">
        <f t="shared" si="113"/>
        <v>8030</v>
      </c>
      <c r="W90" s="216">
        <f t="shared" si="113"/>
        <v>0</v>
      </c>
      <c r="X90" s="216">
        <f t="shared" si="113"/>
        <v>0</v>
      </c>
      <c r="Y90" s="216">
        <f t="shared" si="113"/>
        <v>0</v>
      </c>
      <c r="Z90" s="216">
        <f t="shared" si="113"/>
        <v>0</v>
      </c>
      <c r="AA90" s="216">
        <f t="shared" si="113"/>
        <v>8030</v>
      </c>
      <c r="AB90" s="216">
        <f t="shared" si="104"/>
        <v>35162</v>
      </c>
      <c r="AC90" s="216">
        <f t="shared" si="105"/>
        <v>35120</v>
      </c>
    </row>
    <row r="91" spans="1:29" ht="60" customHeight="1" x14ac:dyDescent="0.25">
      <c r="A91" s="266"/>
      <c r="B91" s="255" t="s">
        <v>624</v>
      </c>
      <c r="C91" s="298" t="s">
        <v>738</v>
      </c>
      <c r="D91" s="219"/>
      <c r="E91" s="219"/>
      <c r="F91" s="219"/>
      <c r="G91" s="219"/>
      <c r="H91" s="219"/>
      <c r="I91" s="219"/>
      <c r="J91" s="219"/>
      <c r="K91" s="219"/>
      <c r="L91" s="219"/>
      <c r="M91" s="219"/>
      <c r="N91" s="219"/>
      <c r="O91" s="219"/>
      <c r="P91" s="219"/>
      <c r="Q91" s="219"/>
      <c r="R91" s="219"/>
      <c r="S91" s="219"/>
      <c r="T91" s="219"/>
      <c r="U91" s="219"/>
      <c r="V91" s="218"/>
      <c r="W91" s="218"/>
      <c r="X91" s="218"/>
      <c r="Y91" s="218"/>
      <c r="Z91" s="218"/>
      <c r="AA91" s="218"/>
      <c r="AB91" s="216">
        <f t="shared" si="104"/>
        <v>0</v>
      </c>
      <c r="AC91" s="216">
        <f t="shared" si="105"/>
        <v>0</v>
      </c>
    </row>
    <row r="92" spans="1:29" ht="33.75" x14ac:dyDescent="0.25">
      <c r="A92" s="266"/>
      <c r="B92" s="217" t="s">
        <v>625</v>
      </c>
      <c r="C92" s="299"/>
      <c r="D92" s="219">
        <v>1830</v>
      </c>
      <c r="E92" s="219"/>
      <c r="F92" s="219"/>
      <c r="G92" s="219"/>
      <c r="H92" s="219"/>
      <c r="I92" s="219">
        <f t="shared" ref="I92:I98" si="114">SUM(D92:H92)</f>
        <v>1830</v>
      </c>
      <c r="J92" s="219">
        <v>1830</v>
      </c>
      <c r="K92" s="219"/>
      <c r="L92" s="219"/>
      <c r="M92" s="219"/>
      <c r="N92" s="219"/>
      <c r="O92" s="219">
        <f t="shared" si="55"/>
        <v>1830</v>
      </c>
      <c r="P92" s="219">
        <v>1830</v>
      </c>
      <c r="Q92" s="219"/>
      <c r="R92" s="219"/>
      <c r="S92" s="219"/>
      <c r="T92" s="219"/>
      <c r="U92" s="219">
        <f t="shared" si="109"/>
        <v>1830</v>
      </c>
      <c r="V92" s="218">
        <v>1830</v>
      </c>
      <c r="W92" s="218"/>
      <c r="X92" s="218"/>
      <c r="Y92" s="218"/>
      <c r="Z92" s="218"/>
      <c r="AA92" s="218">
        <f t="shared" ref="AA92:AA98" si="115">SUM(V92:Z92)</f>
        <v>1830</v>
      </c>
      <c r="AB92" s="216">
        <f t="shared" si="104"/>
        <v>7320</v>
      </c>
      <c r="AC92" s="216">
        <f t="shared" si="105"/>
        <v>7320</v>
      </c>
    </row>
    <row r="93" spans="1:29" ht="33.75" x14ac:dyDescent="0.25">
      <c r="A93" s="266"/>
      <c r="B93" s="217" t="s">
        <v>626</v>
      </c>
      <c r="C93" s="299"/>
      <c r="D93" s="219">
        <v>1000</v>
      </c>
      <c r="E93" s="219"/>
      <c r="F93" s="219"/>
      <c r="G93" s="219"/>
      <c r="H93" s="219"/>
      <c r="I93" s="219">
        <f t="shared" si="114"/>
        <v>1000</v>
      </c>
      <c r="J93" s="219">
        <v>1000</v>
      </c>
      <c r="K93" s="219"/>
      <c r="L93" s="219"/>
      <c r="M93" s="219"/>
      <c r="N93" s="219"/>
      <c r="O93" s="219">
        <f t="shared" si="55"/>
        <v>1000</v>
      </c>
      <c r="P93" s="219"/>
      <c r="Q93" s="219"/>
      <c r="R93" s="219"/>
      <c r="S93" s="219"/>
      <c r="T93" s="219"/>
      <c r="U93" s="219">
        <f t="shared" si="109"/>
        <v>0</v>
      </c>
      <c r="V93" s="218"/>
      <c r="W93" s="218"/>
      <c r="X93" s="218"/>
      <c r="Y93" s="218"/>
      <c r="Z93" s="218"/>
      <c r="AA93" s="218">
        <f t="shared" si="115"/>
        <v>0</v>
      </c>
      <c r="AB93" s="216">
        <f t="shared" si="104"/>
        <v>2000</v>
      </c>
      <c r="AC93" s="216">
        <f t="shared" si="105"/>
        <v>2000</v>
      </c>
    </row>
    <row r="94" spans="1:29" ht="60" customHeight="1" x14ac:dyDescent="0.25">
      <c r="A94" s="266"/>
      <c r="B94" s="217" t="s">
        <v>627</v>
      </c>
      <c r="C94" s="299"/>
      <c r="D94" s="219">
        <v>1000</v>
      </c>
      <c r="E94" s="219"/>
      <c r="F94" s="219"/>
      <c r="G94" s="219"/>
      <c r="H94" s="219"/>
      <c r="I94" s="219">
        <f t="shared" si="114"/>
        <v>1000</v>
      </c>
      <c r="J94" s="219"/>
      <c r="K94" s="219"/>
      <c r="L94" s="219"/>
      <c r="M94" s="219"/>
      <c r="N94" s="219"/>
      <c r="O94" s="219">
        <f t="shared" si="55"/>
        <v>0</v>
      </c>
      <c r="P94" s="219"/>
      <c r="Q94" s="219"/>
      <c r="R94" s="219"/>
      <c r="S94" s="219"/>
      <c r="T94" s="219"/>
      <c r="U94" s="219">
        <f t="shared" si="109"/>
        <v>0</v>
      </c>
      <c r="V94" s="218"/>
      <c r="W94" s="218"/>
      <c r="X94" s="218"/>
      <c r="Y94" s="218"/>
      <c r="Z94" s="218"/>
      <c r="AA94" s="218">
        <f t="shared" si="115"/>
        <v>0</v>
      </c>
      <c r="AB94" s="216">
        <f t="shared" si="104"/>
        <v>1000</v>
      </c>
      <c r="AC94" s="216">
        <f t="shared" si="105"/>
        <v>1000</v>
      </c>
    </row>
    <row r="95" spans="1:29" ht="48" customHeight="1" x14ac:dyDescent="0.25">
      <c r="A95" s="266"/>
      <c r="B95" s="255" t="s">
        <v>680</v>
      </c>
      <c r="C95" s="299"/>
      <c r="D95" s="219">
        <f>6000+150</f>
        <v>6150</v>
      </c>
      <c r="E95" s="219"/>
      <c r="F95" s="219"/>
      <c r="G95" s="219"/>
      <c r="H95" s="219"/>
      <c r="I95" s="219">
        <f t="shared" si="114"/>
        <v>6150</v>
      </c>
      <c r="J95" s="219">
        <v>6150</v>
      </c>
      <c r="K95" s="219"/>
      <c r="L95" s="219"/>
      <c r="M95" s="219"/>
      <c r="N95" s="219"/>
      <c r="O95" s="219">
        <f t="shared" si="55"/>
        <v>6150</v>
      </c>
      <c r="P95" s="219">
        <v>6150</v>
      </c>
      <c r="Q95" s="219"/>
      <c r="R95" s="219"/>
      <c r="S95" s="219"/>
      <c r="T95" s="219"/>
      <c r="U95" s="219">
        <f t="shared" si="109"/>
        <v>6150</v>
      </c>
      <c r="V95" s="218">
        <v>6150</v>
      </c>
      <c r="W95" s="218"/>
      <c r="X95" s="218"/>
      <c r="Y95" s="218"/>
      <c r="Z95" s="218"/>
      <c r="AA95" s="218">
        <f t="shared" si="115"/>
        <v>6150</v>
      </c>
      <c r="AB95" s="216">
        <f t="shared" si="104"/>
        <v>24600</v>
      </c>
      <c r="AC95" s="216">
        <f t="shared" si="105"/>
        <v>24600</v>
      </c>
    </row>
    <row r="96" spans="1:29" ht="76.5" customHeight="1" x14ac:dyDescent="0.25">
      <c r="A96" s="266"/>
      <c r="B96" s="217" t="s">
        <v>681</v>
      </c>
      <c r="C96" s="299"/>
      <c r="D96" s="219"/>
      <c r="E96" s="219"/>
      <c r="F96" s="219"/>
      <c r="G96" s="219"/>
      <c r="H96" s="219"/>
      <c r="I96" s="219">
        <f t="shared" si="114"/>
        <v>0</v>
      </c>
      <c r="J96" s="219"/>
      <c r="K96" s="219"/>
      <c r="L96" s="219"/>
      <c r="M96" s="219"/>
      <c r="N96" s="219"/>
      <c r="O96" s="219">
        <f t="shared" si="55"/>
        <v>0</v>
      </c>
      <c r="P96" s="219"/>
      <c r="Q96" s="219"/>
      <c r="R96" s="219"/>
      <c r="S96" s="219"/>
      <c r="T96" s="219"/>
      <c r="U96" s="219">
        <f t="shared" si="109"/>
        <v>0</v>
      </c>
      <c r="V96" s="218"/>
      <c r="W96" s="218"/>
      <c r="X96" s="218"/>
      <c r="Y96" s="218"/>
      <c r="Z96" s="218"/>
      <c r="AA96" s="218">
        <f t="shared" si="115"/>
        <v>0</v>
      </c>
      <c r="AB96" s="216">
        <f t="shared" si="104"/>
        <v>0</v>
      </c>
      <c r="AC96" s="216">
        <f t="shared" si="105"/>
        <v>0</v>
      </c>
    </row>
    <row r="97" spans="1:29" ht="62.25" customHeight="1" x14ac:dyDescent="0.25">
      <c r="A97" s="266"/>
      <c r="B97" s="217" t="s">
        <v>706</v>
      </c>
      <c r="C97" s="299"/>
      <c r="D97" s="219"/>
      <c r="E97" s="219"/>
      <c r="F97" s="219"/>
      <c r="G97" s="219"/>
      <c r="H97" s="219"/>
      <c r="I97" s="219"/>
      <c r="J97" s="219"/>
      <c r="K97" s="219"/>
      <c r="L97" s="219"/>
      <c r="M97" s="219"/>
      <c r="N97" s="219"/>
      <c r="O97" s="219"/>
      <c r="P97" s="219"/>
      <c r="Q97" s="219"/>
      <c r="R97" s="219"/>
      <c r="S97" s="219"/>
      <c r="T97" s="219"/>
      <c r="U97" s="219"/>
      <c r="V97" s="218"/>
      <c r="W97" s="218"/>
      <c r="X97" s="218"/>
      <c r="Y97" s="218"/>
      <c r="Z97" s="218"/>
      <c r="AA97" s="218"/>
      <c r="AB97" s="216"/>
      <c r="AC97" s="216"/>
    </row>
    <row r="98" spans="1:29" ht="29.25" customHeight="1" x14ac:dyDescent="0.25">
      <c r="A98" s="266"/>
      <c r="B98" s="226" t="s">
        <v>682</v>
      </c>
      <c r="C98" s="299"/>
      <c r="D98" s="219">
        <v>50</v>
      </c>
      <c r="E98" s="219"/>
      <c r="F98" s="219"/>
      <c r="G98" s="219"/>
      <c r="H98" s="219"/>
      <c r="I98" s="219">
        <f t="shared" si="114"/>
        <v>50</v>
      </c>
      <c r="J98" s="219">
        <v>50</v>
      </c>
      <c r="K98" s="219"/>
      <c r="L98" s="219"/>
      <c r="M98" s="219"/>
      <c r="N98" s="219"/>
      <c r="O98" s="219">
        <f t="shared" si="55"/>
        <v>50</v>
      </c>
      <c r="P98" s="219">
        <v>50</v>
      </c>
      <c r="Q98" s="219"/>
      <c r="R98" s="219"/>
      <c r="S98" s="219"/>
      <c r="T98" s="219"/>
      <c r="U98" s="219">
        <f t="shared" si="109"/>
        <v>50</v>
      </c>
      <c r="V98" s="218">
        <v>50</v>
      </c>
      <c r="W98" s="218"/>
      <c r="X98" s="218"/>
      <c r="Y98" s="218"/>
      <c r="Z98" s="218"/>
      <c r="AA98" s="218">
        <f t="shared" si="115"/>
        <v>50</v>
      </c>
      <c r="AB98" s="216">
        <f t="shared" si="104"/>
        <v>200</v>
      </c>
      <c r="AC98" s="216">
        <f t="shared" si="105"/>
        <v>200</v>
      </c>
    </row>
    <row r="99" spans="1:29" ht="51" customHeight="1" x14ac:dyDescent="0.25">
      <c r="A99" s="269"/>
      <c r="B99" s="226" t="s">
        <v>707</v>
      </c>
      <c r="C99" s="300"/>
      <c r="D99" s="249">
        <v>42</v>
      </c>
      <c r="E99" s="219"/>
      <c r="F99" s="219"/>
      <c r="G99" s="219"/>
      <c r="H99" s="219"/>
      <c r="I99" s="219"/>
      <c r="J99" s="219"/>
      <c r="K99" s="219"/>
      <c r="L99" s="219"/>
      <c r="M99" s="219"/>
      <c r="N99" s="219"/>
      <c r="O99" s="219"/>
      <c r="P99" s="219"/>
      <c r="Q99" s="219"/>
      <c r="R99" s="219"/>
      <c r="S99" s="219"/>
      <c r="T99" s="219"/>
      <c r="U99" s="219"/>
      <c r="V99" s="218"/>
      <c r="W99" s="218"/>
      <c r="X99" s="218"/>
      <c r="Y99" s="218"/>
      <c r="Z99" s="218"/>
      <c r="AA99" s="218"/>
      <c r="AB99" s="216"/>
      <c r="AC99" s="216"/>
    </row>
    <row r="100" spans="1:29" x14ac:dyDescent="0.25">
      <c r="A100" s="264" t="s">
        <v>329</v>
      </c>
      <c r="B100" s="214"/>
      <c r="C100" s="308"/>
      <c r="D100" s="216">
        <f>SUM(D101:D104)</f>
        <v>17500</v>
      </c>
      <c r="E100" s="216">
        <f t="shared" ref="E100:H100" si="116">SUM(E101:E104)</f>
        <v>0</v>
      </c>
      <c r="F100" s="216">
        <f t="shared" si="116"/>
        <v>0</v>
      </c>
      <c r="G100" s="216">
        <f>SUM(G101:G104)</f>
        <v>0</v>
      </c>
      <c r="H100" s="216">
        <f t="shared" si="116"/>
        <v>0</v>
      </c>
      <c r="I100" s="216">
        <f t="shared" si="54"/>
        <v>17500</v>
      </c>
      <c r="J100" s="216">
        <f>SUM(J101:J104)</f>
        <v>18000</v>
      </c>
      <c r="K100" s="216">
        <f t="shared" ref="K100:N100" si="117">SUM(K101:K104)</f>
        <v>0</v>
      </c>
      <c r="L100" s="216">
        <f t="shared" si="117"/>
        <v>0</v>
      </c>
      <c r="M100" s="216"/>
      <c r="N100" s="216">
        <f t="shared" si="117"/>
        <v>0</v>
      </c>
      <c r="O100" s="216">
        <f t="shared" si="55"/>
        <v>18000</v>
      </c>
      <c r="P100" s="216">
        <f>SUM(P101:P104)</f>
        <v>18000</v>
      </c>
      <c r="Q100" s="216">
        <f t="shared" ref="Q100:T100" si="118">SUM(Q101:Q104)</f>
        <v>0</v>
      </c>
      <c r="R100" s="216">
        <f t="shared" si="118"/>
        <v>0</v>
      </c>
      <c r="S100" s="216"/>
      <c r="T100" s="216">
        <f t="shared" si="118"/>
        <v>0</v>
      </c>
      <c r="U100" s="216">
        <f t="shared" si="109"/>
        <v>18000</v>
      </c>
      <c r="V100" s="216">
        <f>SUM(V101:V104)</f>
        <v>18000</v>
      </c>
      <c r="W100" s="216">
        <f t="shared" ref="W100:Z100" si="119">SUM(W101:W104)</f>
        <v>0</v>
      </c>
      <c r="X100" s="216">
        <f t="shared" si="119"/>
        <v>0</v>
      </c>
      <c r="Y100" s="216"/>
      <c r="Z100" s="216">
        <f t="shared" si="119"/>
        <v>0</v>
      </c>
      <c r="AA100" s="216">
        <f t="shared" si="111"/>
        <v>18000</v>
      </c>
      <c r="AB100" s="216">
        <f t="shared" si="104"/>
        <v>71500</v>
      </c>
      <c r="AC100" s="216">
        <f t="shared" si="105"/>
        <v>71500</v>
      </c>
    </row>
    <row r="101" spans="1:29" ht="230.25" customHeight="1" x14ac:dyDescent="0.25">
      <c r="A101" s="264"/>
      <c r="B101" s="239" t="s">
        <v>628</v>
      </c>
      <c r="C101" s="298" t="s">
        <v>739</v>
      </c>
      <c r="D101" s="219"/>
      <c r="E101" s="219"/>
      <c r="F101" s="219"/>
      <c r="G101" s="219"/>
      <c r="H101" s="219"/>
      <c r="I101" s="219">
        <f t="shared" si="54"/>
        <v>0</v>
      </c>
      <c r="J101" s="219"/>
      <c r="K101" s="219"/>
      <c r="L101" s="219"/>
      <c r="M101" s="219"/>
      <c r="N101" s="219"/>
      <c r="O101" s="219">
        <f t="shared" si="55"/>
        <v>0</v>
      </c>
      <c r="P101" s="219"/>
      <c r="Q101" s="219"/>
      <c r="R101" s="219"/>
      <c r="S101" s="219"/>
      <c r="T101" s="219"/>
      <c r="U101" s="219">
        <f t="shared" si="109"/>
        <v>0</v>
      </c>
      <c r="V101" s="218"/>
      <c r="W101" s="218"/>
      <c r="X101" s="218"/>
      <c r="Y101" s="218"/>
      <c r="Z101" s="218"/>
      <c r="AA101" s="218">
        <f t="shared" si="111"/>
        <v>0</v>
      </c>
      <c r="AB101" s="228">
        <f t="shared" si="104"/>
        <v>0</v>
      </c>
      <c r="AC101" s="228">
        <f t="shared" si="105"/>
        <v>0</v>
      </c>
    </row>
    <row r="102" spans="1:29" ht="202.5" x14ac:dyDescent="0.25">
      <c r="A102" s="264"/>
      <c r="B102" s="239" t="s">
        <v>629</v>
      </c>
      <c r="C102" s="299"/>
      <c r="D102" s="219">
        <v>15000</v>
      </c>
      <c r="E102" s="219"/>
      <c r="F102" s="219"/>
      <c r="G102" s="219"/>
      <c r="H102" s="219"/>
      <c r="I102" s="219">
        <f t="shared" si="54"/>
        <v>15000</v>
      </c>
      <c r="J102" s="219">
        <v>15000</v>
      </c>
      <c r="K102" s="219"/>
      <c r="L102" s="219"/>
      <c r="M102" s="219"/>
      <c r="N102" s="219"/>
      <c r="O102" s="219">
        <f t="shared" si="55"/>
        <v>15000</v>
      </c>
      <c r="P102" s="219">
        <v>15000</v>
      </c>
      <c r="Q102" s="219"/>
      <c r="R102" s="219"/>
      <c r="S102" s="219"/>
      <c r="T102" s="219"/>
      <c r="U102" s="219">
        <f t="shared" si="109"/>
        <v>15000</v>
      </c>
      <c r="V102" s="218">
        <v>15000</v>
      </c>
      <c r="W102" s="218"/>
      <c r="X102" s="218"/>
      <c r="Y102" s="218"/>
      <c r="Z102" s="218"/>
      <c r="AA102" s="218">
        <f t="shared" si="111"/>
        <v>15000</v>
      </c>
      <c r="AB102" s="228">
        <f t="shared" si="104"/>
        <v>60000</v>
      </c>
      <c r="AC102" s="228">
        <f t="shared" si="105"/>
        <v>60000</v>
      </c>
    </row>
    <row r="103" spans="1:29" ht="180" x14ac:dyDescent="0.25">
      <c r="A103" s="264"/>
      <c r="B103" s="243" t="s">
        <v>630</v>
      </c>
      <c r="C103" s="299"/>
      <c r="D103" s="219">
        <v>1500</v>
      </c>
      <c r="E103" s="219"/>
      <c r="F103" s="219"/>
      <c r="G103" s="219"/>
      <c r="H103" s="219"/>
      <c r="I103" s="219">
        <f t="shared" si="54"/>
        <v>1500</v>
      </c>
      <c r="J103" s="219">
        <v>1500</v>
      </c>
      <c r="K103" s="219"/>
      <c r="L103" s="219"/>
      <c r="M103" s="219"/>
      <c r="N103" s="219"/>
      <c r="O103" s="219">
        <f t="shared" si="55"/>
        <v>1500</v>
      </c>
      <c r="P103" s="219">
        <v>1500</v>
      </c>
      <c r="Q103" s="219"/>
      <c r="R103" s="219"/>
      <c r="S103" s="219"/>
      <c r="T103" s="219"/>
      <c r="U103" s="219">
        <f t="shared" si="109"/>
        <v>1500</v>
      </c>
      <c r="V103" s="218">
        <v>1500</v>
      </c>
      <c r="W103" s="218"/>
      <c r="X103" s="218"/>
      <c r="Y103" s="218"/>
      <c r="Z103" s="218"/>
      <c r="AA103" s="218">
        <f t="shared" si="111"/>
        <v>1500</v>
      </c>
      <c r="AB103" s="228">
        <f t="shared" si="104"/>
        <v>6000</v>
      </c>
      <c r="AC103" s="228">
        <f t="shared" si="105"/>
        <v>6000</v>
      </c>
    </row>
    <row r="104" spans="1:29" ht="72" customHeight="1" x14ac:dyDescent="0.25">
      <c r="A104" s="264"/>
      <c r="B104" s="243" t="s">
        <v>631</v>
      </c>
      <c r="C104" s="300"/>
      <c r="D104" s="219">
        <v>1000</v>
      </c>
      <c r="E104" s="219"/>
      <c r="F104" s="219"/>
      <c r="G104" s="219"/>
      <c r="H104" s="219"/>
      <c r="I104" s="219">
        <f t="shared" si="54"/>
        <v>1000</v>
      </c>
      <c r="J104" s="219">
        <v>1500</v>
      </c>
      <c r="K104" s="219"/>
      <c r="L104" s="219"/>
      <c r="M104" s="219"/>
      <c r="N104" s="219"/>
      <c r="O104" s="219">
        <f t="shared" si="55"/>
        <v>1500</v>
      </c>
      <c r="P104" s="219">
        <v>1500</v>
      </c>
      <c r="Q104" s="219"/>
      <c r="R104" s="219"/>
      <c r="S104" s="219"/>
      <c r="T104" s="219"/>
      <c r="U104" s="219">
        <f t="shared" si="109"/>
        <v>1500</v>
      </c>
      <c r="V104" s="218">
        <v>1500</v>
      </c>
      <c r="W104" s="218"/>
      <c r="X104" s="218"/>
      <c r="Y104" s="218"/>
      <c r="Z104" s="218"/>
      <c r="AA104" s="218">
        <f t="shared" si="111"/>
        <v>1500</v>
      </c>
      <c r="AB104" s="228">
        <f t="shared" si="104"/>
        <v>5500</v>
      </c>
      <c r="AC104" s="228">
        <f t="shared" si="105"/>
        <v>5500</v>
      </c>
    </row>
    <row r="105" spans="1:29" ht="48.75" customHeight="1" x14ac:dyDescent="0.25">
      <c r="A105" s="244" t="s">
        <v>330</v>
      </c>
      <c r="B105" s="237"/>
      <c r="C105" s="309"/>
      <c r="D105" s="245">
        <f t="shared" ref="D105:T105" si="120">D106+D112+D118+D121+D127+D131+D138</f>
        <v>1347615</v>
      </c>
      <c r="E105" s="245">
        <f t="shared" si="120"/>
        <v>10380</v>
      </c>
      <c r="F105" s="245">
        <f t="shared" si="120"/>
        <v>8049.36</v>
      </c>
      <c r="G105" s="245">
        <f>SUM(G106,G112,G118,G121,G127,G131,G138)</f>
        <v>0</v>
      </c>
      <c r="H105" s="245">
        <f t="shared" si="120"/>
        <v>40226</v>
      </c>
      <c r="I105" s="245">
        <f t="shared" si="120"/>
        <v>1406270.3599999999</v>
      </c>
      <c r="J105" s="245">
        <f t="shared" si="120"/>
        <v>1451720</v>
      </c>
      <c r="K105" s="245">
        <f t="shared" si="120"/>
        <v>14000</v>
      </c>
      <c r="L105" s="245">
        <f t="shared" si="120"/>
        <v>5710.63</v>
      </c>
      <c r="M105" s="245"/>
      <c r="N105" s="245">
        <f t="shared" si="120"/>
        <v>33101</v>
      </c>
      <c r="O105" s="245">
        <f t="shared" si="120"/>
        <v>1504531.63</v>
      </c>
      <c r="P105" s="245">
        <f t="shared" si="120"/>
        <v>1458560</v>
      </c>
      <c r="Q105" s="245">
        <f t="shared" si="120"/>
        <v>14000</v>
      </c>
      <c r="R105" s="245">
        <f t="shared" si="120"/>
        <v>5308</v>
      </c>
      <c r="S105" s="245"/>
      <c r="T105" s="245">
        <f t="shared" si="120"/>
        <v>34081</v>
      </c>
      <c r="U105" s="245">
        <f>SUM(P105:T105)</f>
        <v>1511949</v>
      </c>
      <c r="V105" s="245">
        <f>V106+V112+V118+V121+V127+V131+V138</f>
        <v>1467625</v>
      </c>
      <c r="W105" s="245">
        <f>W106+W112+W118+W121+W127+W131+W138</f>
        <v>14000</v>
      </c>
      <c r="X105" s="245">
        <f>X106+X112+X118+X121+X127+X131+X138</f>
        <v>0</v>
      </c>
      <c r="Y105" s="245"/>
      <c r="Z105" s="245">
        <f>Z106+Z112+Z118+Z121+Z127+Z131+Z138</f>
        <v>34081</v>
      </c>
      <c r="AA105" s="245">
        <f>SUM(V105:Z105)</f>
        <v>1515706</v>
      </c>
      <c r="AB105" s="245">
        <f t="shared" si="104"/>
        <v>5725520</v>
      </c>
      <c r="AC105" s="245">
        <f t="shared" si="105"/>
        <v>5938456.9900000002</v>
      </c>
    </row>
    <row r="106" spans="1:29" x14ac:dyDescent="0.25">
      <c r="A106" s="264" t="s">
        <v>331</v>
      </c>
      <c r="B106" s="214"/>
      <c r="C106" s="308"/>
      <c r="D106" s="216">
        <f>SUM(D107:D111)</f>
        <v>97080</v>
      </c>
      <c r="E106" s="216">
        <f>SUM(E107:E111)</f>
        <v>10000</v>
      </c>
      <c r="F106" s="216">
        <f>SUM(F107:F111)</f>
        <v>0</v>
      </c>
      <c r="G106" s="216">
        <f>SUM(G107:G111)</f>
        <v>0</v>
      </c>
      <c r="H106" s="216">
        <f>SUM(H107:H111)</f>
        <v>5840</v>
      </c>
      <c r="I106" s="216">
        <f>SUM(D106:H106)</f>
        <v>112920</v>
      </c>
      <c r="J106" s="216">
        <f>SUM(J107:J111)</f>
        <v>117680</v>
      </c>
      <c r="K106" s="216">
        <f>SUM(K107:K111)</f>
        <v>14000</v>
      </c>
      <c r="L106" s="216">
        <f>SUM(L107:L111)</f>
        <v>0</v>
      </c>
      <c r="M106" s="216"/>
      <c r="N106" s="216">
        <f>SUM(N107:N111)</f>
        <v>5794</v>
      </c>
      <c r="O106" s="216">
        <f>SUM(J106:N106)</f>
        <v>137474</v>
      </c>
      <c r="P106" s="216">
        <f>SUM(P107:P111)</f>
        <v>119200</v>
      </c>
      <c r="Q106" s="216">
        <f>SUM(Q107:Q111)</f>
        <v>14000</v>
      </c>
      <c r="R106" s="216">
        <f>SUM(R107:R111)</f>
        <v>0</v>
      </c>
      <c r="S106" s="216"/>
      <c r="T106" s="216">
        <f>SUM(T107:T111)</f>
        <v>494</v>
      </c>
      <c r="U106" s="216">
        <f>SUM(P106:T106)</f>
        <v>133694</v>
      </c>
      <c r="V106" s="216">
        <f>SUM(V107:V111)</f>
        <v>120000</v>
      </c>
      <c r="W106" s="216">
        <f>SUM(W107:W111)</f>
        <v>14000</v>
      </c>
      <c r="X106" s="216">
        <f>SUM(X107:X111)</f>
        <v>0</v>
      </c>
      <c r="Y106" s="216"/>
      <c r="Z106" s="216">
        <f>SUM(Z107:Z111)</f>
        <v>494</v>
      </c>
      <c r="AA106" s="216">
        <f>SUM(V106:Z106)</f>
        <v>134494</v>
      </c>
      <c r="AB106" s="216">
        <f t="shared" si="104"/>
        <v>453960</v>
      </c>
      <c r="AC106" s="216">
        <f t="shared" si="105"/>
        <v>518582</v>
      </c>
    </row>
    <row r="107" spans="1:29" ht="101.25" x14ac:dyDescent="0.25">
      <c r="A107" s="264"/>
      <c r="B107" s="217" t="s">
        <v>632</v>
      </c>
      <c r="C107" s="298" t="s">
        <v>740</v>
      </c>
      <c r="D107" s="219">
        <v>60000</v>
      </c>
      <c r="E107" s="219"/>
      <c r="F107" s="219"/>
      <c r="G107" s="219"/>
      <c r="H107" s="219"/>
      <c r="I107" s="219">
        <v>79800</v>
      </c>
      <c r="J107" s="219">
        <v>79800</v>
      </c>
      <c r="K107" s="219"/>
      <c r="L107" s="219"/>
      <c r="M107" s="219"/>
      <c r="N107" s="219"/>
      <c r="O107" s="219">
        <f>SUM(J107:N107)</f>
        <v>79800</v>
      </c>
      <c r="P107" s="219">
        <v>80800</v>
      </c>
      <c r="Q107" s="219"/>
      <c r="R107" s="219"/>
      <c r="S107" s="219"/>
      <c r="T107" s="219"/>
      <c r="U107" s="219">
        <f>SUM(P107:T107)</f>
        <v>80800</v>
      </c>
      <c r="V107" s="218">
        <v>81800</v>
      </c>
      <c r="W107" s="218"/>
      <c r="X107" s="218"/>
      <c r="Y107" s="218"/>
      <c r="Z107" s="218"/>
      <c r="AA107" s="218">
        <f t="shared" si="111"/>
        <v>81800</v>
      </c>
      <c r="AB107" s="216">
        <f t="shared" si="104"/>
        <v>302400</v>
      </c>
      <c r="AC107" s="216">
        <f t="shared" si="105"/>
        <v>322200</v>
      </c>
    </row>
    <row r="108" spans="1:29" ht="45" x14ac:dyDescent="0.25">
      <c r="A108" s="264"/>
      <c r="B108" s="217" t="s">
        <v>633</v>
      </c>
      <c r="C108" s="299"/>
      <c r="D108" s="219">
        <v>200</v>
      </c>
      <c r="E108" s="219">
        <v>10000</v>
      </c>
      <c r="F108" s="219"/>
      <c r="G108" s="219"/>
      <c r="H108" s="219"/>
      <c r="I108" s="219">
        <f t="shared" si="54"/>
        <v>10200</v>
      </c>
      <c r="J108" s="219">
        <v>500</v>
      </c>
      <c r="K108" s="219">
        <v>14000</v>
      </c>
      <c r="L108" s="219"/>
      <c r="M108" s="219"/>
      <c r="N108" s="219"/>
      <c r="O108" s="219">
        <f t="shared" si="55"/>
        <v>14500</v>
      </c>
      <c r="P108" s="219">
        <v>700</v>
      </c>
      <c r="Q108" s="219">
        <v>14000</v>
      </c>
      <c r="R108" s="219"/>
      <c r="S108" s="219"/>
      <c r="T108" s="219"/>
      <c r="U108" s="219">
        <f t="shared" si="109"/>
        <v>14700</v>
      </c>
      <c r="V108" s="218">
        <v>500</v>
      </c>
      <c r="W108" s="218">
        <v>14000</v>
      </c>
      <c r="X108" s="218"/>
      <c r="Y108" s="218"/>
      <c r="Z108" s="218"/>
      <c r="AA108" s="218">
        <f t="shared" si="111"/>
        <v>14500</v>
      </c>
      <c r="AB108" s="216">
        <f t="shared" si="104"/>
        <v>1900</v>
      </c>
      <c r="AC108" s="216">
        <f t="shared" si="105"/>
        <v>53900</v>
      </c>
    </row>
    <row r="109" spans="1:29" ht="51.75" customHeight="1" x14ac:dyDescent="0.25">
      <c r="A109" s="264"/>
      <c r="B109" s="217" t="s">
        <v>634</v>
      </c>
      <c r="C109" s="299"/>
      <c r="D109" s="219">
        <f>11895-1245+900</f>
        <v>11550</v>
      </c>
      <c r="E109" s="219"/>
      <c r="F109" s="219"/>
      <c r="G109" s="219"/>
      <c r="H109" s="219">
        <v>5446</v>
      </c>
      <c r="I109" s="219">
        <f t="shared" si="54"/>
        <v>16996</v>
      </c>
      <c r="J109" s="219">
        <f>11895-1245+1200</f>
        <v>11850</v>
      </c>
      <c r="K109" s="219"/>
      <c r="L109" s="219"/>
      <c r="M109" s="219"/>
      <c r="N109" s="219">
        <v>5480</v>
      </c>
      <c r="O109" s="219">
        <f t="shared" si="55"/>
        <v>17330</v>
      </c>
      <c r="P109" s="219">
        <f>11895-1245+1300</f>
        <v>11950</v>
      </c>
      <c r="Q109" s="219"/>
      <c r="R109" s="219"/>
      <c r="S109" s="219"/>
      <c r="T109" s="219">
        <v>180</v>
      </c>
      <c r="U109" s="219">
        <f t="shared" si="109"/>
        <v>12130</v>
      </c>
      <c r="V109" s="218">
        <f>11895-1245+1300</f>
        <v>11950</v>
      </c>
      <c r="W109" s="218"/>
      <c r="X109" s="218"/>
      <c r="Y109" s="218"/>
      <c r="Z109" s="218">
        <v>180</v>
      </c>
      <c r="AA109" s="218">
        <f t="shared" si="111"/>
        <v>12130</v>
      </c>
      <c r="AB109" s="216">
        <f t="shared" si="104"/>
        <v>47300</v>
      </c>
      <c r="AC109" s="216">
        <f t="shared" si="105"/>
        <v>58586</v>
      </c>
    </row>
    <row r="110" spans="1:29" ht="45" x14ac:dyDescent="0.25">
      <c r="A110" s="264"/>
      <c r="B110" s="217" t="s">
        <v>635</v>
      </c>
      <c r="C110" s="299"/>
      <c r="D110" s="219">
        <v>20100</v>
      </c>
      <c r="E110" s="219"/>
      <c r="F110" s="219"/>
      <c r="G110" s="219"/>
      <c r="H110" s="219"/>
      <c r="I110" s="219">
        <f>SUM(D110:H110)</f>
        <v>20100</v>
      </c>
      <c r="J110" s="219">
        <v>20100</v>
      </c>
      <c r="K110" s="219"/>
      <c r="L110" s="219"/>
      <c r="M110" s="219"/>
      <c r="N110" s="219"/>
      <c r="O110" s="219">
        <f>SUM(J110:N110)</f>
        <v>20100</v>
      </c>
      <c r="P110" s="219">
        <v>20100</v>
      </c>
      <c r="Q110" s="219"/>
      <c r="R110" s="219"/>
      <c r="S110" s="219"/>
      <c r="T110" s="219"/>
      <c r="U110" s="219">
        <f>SUM(P110:T110)</f>
        <v>20100</v>
      </c>
      <c r="V110" s="218">
        <v>20100</v>
      </c>
      <c r="W110" s="218"/>
      <c r="X110" s="218"/>
      <c r="Y110" s="218"/>
      <c r="Z110" s="218"/>
      <c r="AA110" s="218">
        <f>SUM(V110:Z110)</f>
        <v>20100</v>
      </c>
      <c r="AB110" s="216">
        <f t="shared" si="104"/>
        <v>80400</v>
      </c>
      <c r="AC110" s="216">
        <f t="shared" si="105"/>
        <v>80400</v>
      </c>
    </row>
    <row r="111" spans="1:29" ht="59.25" customHeight="1" x14ac:dyDescent="0.25">
      <c r="A111" s="264"/>
      <c r="B111" s="217" t="s">
        <v>636</v>
      </c>
      <c r="C111" s="300"/>
      <c r="D111" s="219">
        <f>730+240+2800+1460</f>
        <v>5230</v>
      </c>
      <c r="E111" s="219"/>
      <c r="F111" s="219"/>
      <c r="G111" s="219"/>
      <c r="H111" s="219">
        <v>394</v>
      </c>
      <c r="I111" s="219">
        <f t="shared" si="54"/>
        <v>5624</v>
      </c>
      <c r="J111" s="219">
        <f>730+240+3000+1460</f>
        <v>5430</v>
      </c>
      <c r="K111" s="219"/>
      <c r="L111" s="219"/>
      <c r="M111" s="219"/>
      <c r="N111" s="219">
        <v>314</v>
      </c>
      <c r="O111" s="219">
        <v>5744</v>
      </c>
      <c r="P111" s="219">
        <v>5650</v>
      </c>
      <c r="Q111" s="219"/>
      <c r="R111" s="219"/>
      <c r="S111" s="219"/>
      <c r="T111" s="219">
        <v>314</v>
      </c>
      <c r="U111" s="219">
        <f t="shared" si="109"/>
        <v>5964</v>
      </c>
      <c r="V111" s="219">
        <v>5650</v>
      </c>
      <c r="W111" s="218"/>
      <c r="X111" s="218"/>
      <c r="Y111" s="218"/>
      <c r="Z111" s="218">
        <v>314</v>
      </c>
      <c r="AA111" s="218">
        <f t="shared" si="111"/>
        <v>5964</v>
      </c>
      <c r="AB111" s="216">
        <f t="shared" si="104"/>
        <v>21960</v>
      </c>
      <c r="AC111" s="216">
        <f t="shared" si="105"/>
        <v>23296</v>
      </c>
    </row>
    <row r="112" spans="1:29" x14ac:dyDescent="0.25">
      <c r="A112" s="264" t="s">
        <v>332</v>
      </c>
      <c r="B112" s="214"/>
      <c r="C112" s="308"/>
      <c r="D112" s="216">
        <f>SUM(D113:D117)</f>
        <v>44200</v>
      </c>
      <c r="E112" s="216">
        <f t="shared" ref="E112:H112" si="121">SUM(E113:E117)</f>
        <v>0</v>
      </c>
      <c r="F112" s="216">
        <f t="shared" si="121"/>
        <v>3288</v>
      </c>
      <c r="G112" s="216">
        <f>SUM(G113:G117)</f>
        <v>0</v>
      </c>
      <c r="H112" s="216">
        <f t="shared" si="121"/>
        <v>31629</v>
      </c>
      <c r="I112" s="216">
        <f t="shared" si="54"/>
        <v>79117</v>
      </c>
      <c r="J112" s="216">
        <f t="shared" ref="J112:K112" si="122">SUM(J113:J117)</f>
        <v>59935</v>
      </c>
      <c r="K112" s="216">
        <f t="shared" si="122"/>
        <v>0</v>
      </c>
      <c r="L112" s="216">
        <f>SUM(L113:L117)</f>
        <v>3288</v>
      </c>
      <c r="M112" s="216"/>
      <c r="N112" s="216">
        <f>SUM(N113:N117)</f>
        <v>25317</v>
      </c>
      <c r="O112" s="216">
        <f t="shared" si="55"/>
        <v>88540</v>
      </c>
      <c r="P112" s="216">
        <f>SUM(P113:P117)</f>
        <v>54555</v>
      </c>
      <c r="Q112" s="216">
        <f t="shared" ref="Q112:T112" si="123">SUM(Q113:Q117)</f>
        <v>0</v>
      </c>
      <c r="R112" s="216">
        <f t="shared" si="123"/>
        <v>3288</v>
      </c>
      <c r="S112" s="216"/>
      <c r="T112" s="216">
        <f t="shared" si="123"/>
        <v>31597</v>
      </c>
      <c r="U112" s="216">
        <f t="shared" si="109"/>
        <v>89440</v>
      </c>
      <c r="V112" s="216">
        <f>SUM(V113:V117)</f>
        <v>55555</v>
      </c>
      <c r="W112" s="216">
        <f t="shared" ref="W112:Z112" si="124">SUM(W113:W117)</f>
        <v>0</v>
      </c>
      <c r="X112" s="216">
        <f t="shared" si="124"/>
        <v>0</v>
      </c>
      <c r="Y112" s="216"/>
      <c r="Z112" s="216">
        <f t="shared" si="124"/>
        <v>31597</v>
      </c>
      <c r="AA112" s="216">
        <f>SUM(V112:Z112)</f>
        <v>87152</v>
      </c>
      <c r="AB112" s="216">
        <f t="shared" si="104"/>
        <v>214245</v>
      </c>
      <c r="AC112" s="216">
        <f t="shared" si="105"/>
        <v>344249</v>
      </c>
    </row>
    <row r="113" spans="1:29" ht="112.5" x14ac:dyDescent="0.25">
      <c r="A113" s="264"/>
      <c r="B113" s="217" t="s">
        <v>637</v>
      </c>
      <c r="C113" s="298" t="s">
        <v>718</v>
      </c>
      <c r="D113" s="219">
        <v>5000</v>
      </c>
      <c r="E113" s="219"/>
      <c r="F113" s="219"/>
      <c r="G113" s="219"/>
      <c r="H113" s="219"/>
      <c r="I113" s="219">
        <f t="shared" si="54"/>
        <v>5000</v>
      </c>
      <c r="J113" s="219">
        <v>16000</v>
      </c>
      <c r="K113" s="219"/>
      <c r="L113" s="219"/>
      <c r="M113" s="219"/>
      <c r="N113" s="219"/>
      <c r="O113" s="219">
        <f t="shared" si="55"/>
        <v>16000</v>
      </c>
      <c r="P113" s="219">
        <v>16000</v>
      </c>
      <c r="Q113" s="219"/>
      <c r="R113" s="219"/>
      <c r="S113" s="219"/>
      <c r="T113" s="219"/>
      <c r="U113" s="219">
        <f t="shared" si="109"/>
        <v>16000</v>
      </c>
      <c r="V113" s="218">
        <v>16000</v>
      </c>
      <c r="W113" s="218"/>
      <c r="X113" s="218"/>
      <c r="Y113" s="218"/>
      <c r="Z113" s="218"/>
      <c r="AA113" s="218">
        <f t="shared" si="111"/>
        <v>16000</v>
      </c>
      <c r="AB113" s="216">
        <f t="shared" si="104"/>
        <v>53000</v>
      </c>
      <c r="AC113" s="216">
        <f t="shared" si="105"/>
        <v>53000</v>
      </c>
    </row>
    <row r="114" spans="1:29" ht="61.5" customHeight="1" x14ac:dyDescent="0.25">
      <c r="A114" s="264"/>
      <c r="B114" s="217" t="s">
        <v>638</v>
      </c>
      <c r="C114" s="299"/>
      <c r="D114" s="219">
        <v>36695</v>
      </c>
      <c r="E114" s="219"/>
      <c r="F114" s="219"/>
      <c r="G114" s="219"/>
      <c r="H114" s="219">
        <v>24312</v>
      </c>
      <c r="I114" s="219">
        <f t="shared" si="54"/>
        <v>61007</v>
      </c>
      <c r="J114" s="219">
        <v>36530</v>
      </c>
      <c r="K114" s="219"/>
      <c r="L114" s="219"/>
      <c r="M114" s="219"/>
      <c r="N114" s="219">
        <v>25317</v>
      </c>
      <c r="O114" s="219">
        <f t="shared" si="55"/>
        <v>61847</v>
      </c>
      <c r="P114" s="219">
        <v>36430</v>
      </c>
      <c r="Q114" s="219"/>
      <c r="R114" s="219"/>
      <c r="S114" s="219"/>
      <c r="T114" s="219">
        <v>26317</v>
      </c>
      <c r="U114" s="219">
        <f t="shared" si="109"/>
        <v>62747</v>
      </c>
      <c r="V114" s="218">
        <v>37430</v>
      </c>
      <c r="W114" s="218"/>
      <c r="X114" s="218"/>
      <c r="Y114" s="218"/>
      <c r="Z114" s="218">
        <v>26317</v>
      </c>
      <c r="AA114" s="218">
        <f t="shared" si="111"/>
        <v>63747</v>
      </c>
      <c r="AB114" s="216">
        <f t="shared" si="104"/>
        <v>147085</v>
      </c>
      <c r="AC114" s="216">
        <f t="shared" si="105"/>
        <v>249348</v>
      </c>
    </row>
    <row r="115" spans="1:29" ht="90" x14ac:dyDescent="0.25">
      <c r="A115" s="264"/>
      <c r="B115" s="217" t="s">
        <v>639</v>
      </c>
      <c r="C115" s="299"/>
      <c r="D115" s="223">
        <v>380</v>
      </c>
      <c r="E115" s="223"/>
      <c r="F115" s="223">
        <v>3288</v>
      </c>
      <c r="G115" s="223"/>
      <c r="H115" s="223">
        <v>7317</v>
      </c>
      <c r="I115" s="223">
        <f t="shared" ref="I115" si="125">SUM(D115:H115)</f>
        <v>10985</v>
      </c>
      <c r="J115" s="223">
        <v>5280</v>
      </c>
      <c r="K115" s="223"/>
      <c r="L115" s="223">
        <v>3288</v>
      </c>
      <c r="M115" s="223"/>
      <c r="N115" s="223"/>
      <c r="O115" s="223">
        <f t="shared" si="55"/>
        <v>8568</v>
      </c>
      <c r="P115" s="223"/>
      <c r="Q115" s="223"/>
      <c r="R115" s="223">
        <v>3288</v>
      </c>
      <c r="S115" s="223"/>
      <c r="T115" s="223">
        <v>5280</v>
      </c>
      <c r="U115" s="223">
        <f t="shared" si="109"/>
        <v>8568</v>
      </c>
      <c r="V115" s="222"/>
      <c r="W115" s="222"/>
      <c r="X115" s="222"/>
      <c r="Y115" s="222"/>
      <c r="Z115" s="222">
        <v>5280</v>
      </c>
      <c r="AA115" s="218">
        <f t="shared" si="111"/>
        <v>5280</v>
      </c>
      <c r="AB115" s="216">
        <f t="shared" si="104"/>
        <v>5660</v>
      </c>
      <c r="AC115" s="216">
        <f t="shared" si="105"/>
        <v>33401</v>
      </c>
    </row>
    <row r="116" spans="1:29" ht="67.5" x14ac:dyDescent="0.25">
      <c r="A116" s="264"/>
      <c r="B116" s="217" t="s">
        <v>640</v>
      </c>
      <c r="C116" s="299"/>
      <c r="D116" s="219">
        <v>125</v>
      </c>
      <c r="E116" s="219"/>
      <c r="F116" s="219"/>
      <c r="G116" s="219"/>
      <c r="H116" s="219"/>
      <c r="I116" s="219">
        <f t="shared" si="54"/>
        <v>125</v>
      </c>
      <c r="J116" s="219">
        <v>125</v>
      </c>
      <c r="K116" s="219"/>
      <c r="L116" s="219"/>
      <c r="M116" s="219"/>
      <c r="N116" s="219"/>
      <c r="O116" s="219">
        <f t="shared" si="55"/>
        <v>125</v>
      </c>
      <c r="P116" s="219">
        <v>125</v>
      </c>
      <c r="Q116" s="219"/>
      <c r="R116" s="219"/>
      <c r="S116" s="219"/>
      <c r="T116" s="219"/>
      <c r="U116" s="219">
        <f t="shared" si="109"/>
        <v>125</v>
      </c>
      <c r="V116" s="218">
        <v>125</v>
      </c>
      <c r="W116" s="218"/>
      <c r="X116" s="218"/>
      <c r="Y116" s="218"/>
      <c r="Z116" s="218"/>
      <c r="AA116" s="218">
        <f t="shared" si="111"/>
        <v>125</v>
      </c>
      <c r="AB116" s="216">
        <f t="shared" si="104"/>
        <v>500</v>
      </c>
      <c r="AC116" s="216">
        <f t="shared" si="105"/>
        <v>500</v>
      </c>
    </row>
    <row r="117" spans="1:29" ht="45" x14ac:dyDescent="0.25">
      <c r="A117" s="264"/>
      <c r="B117" s="217" t="s">
        <v>641</v>
      </c>
      <c r="C117" s="300"/>
      <c r="D117" s="219">
        <v>2000</v>
      </c>
      <c r="E117" s="219"/>
      <c r="F117" s="219"/>
      <c r="G117" s="219"/>
      <c r="H117" s="219"/>
      <c r="I117" s="219">
        <f t="shared" si="54"/>
        <v>2000</v>
      </c>
      <c r="J117" s="219">
        <v>2000</v>
      </c>
      <c r="K117" s="219"/>
      <c r="L117" s="219"/>
      <c r="M117" s="219"/>
      <c r="N117" s="219"/>
      <c r="O117" s="219">
        <f t="shared" si="55"/>
        <v>2000</v>
      </c>
      <c r="P117" s="219">
        <v>2000</v>
      </c>
      <c r="Q117" s="219"/>
      <c r="R117" s="219"/>
      <c r="S117" s="219"/>
      <c r="T117" s="219"/>
      <c r="U117" s="219">
        <f t="shared" si="109"/>
        <v>2000</v>
      </c>
      <c r="V117" s="218">
        <v>2000</v>
      </c>
      <c r="W117" s="218"/>
      <c r="X117" s="218"/>
      <c r="Y117" s="218"/>
      <c r="Z117" s="218"/>
      <c r="AA117" s="218">
        <f t="shared" si="111"/>
        <v>2000</v>
      </c>
      <c r="AB117" s="216">
        <f t="shared" si="104"/>
        <v>8000</v>
      </c>
      <c r="AC117" s="216">
        <f t="shared" si="105"/>
        <v>8000</v>
      </c>
    </row>
    <row r="118" spans="1:29" x14ac:dyDescent="0.25">
      <c r="A118" s="264" t="s">
        <v>333</v>
      </c>
      <c r="B118" s="214"/>
      <c r="C118" s="308"/>
      <c r="D118" s="216">
        <f>SUM(D119:D120)</f>
        <v>125220</v>
      </c>
      <c r="E118" s="216">
        <f>SUM(E119:E120)</f>
        <v>0</v>
      </c>
      <c r="F118" s="216">
        <f>SUM(F119:F120)</f>
        <v>0</v>
      </c>
      <c r="G118" s="216">
        <f>SUM(G119:G120)</f>
        <v>0</v>
      </c>
      <c r="H118" s="216">
        <f>SUM(H119:H120)</f>
        <v>2095</v>
      </c>
      <c r="I118" s="216">
        <f t="shared" si="54"/>
        <v>127315</v>
      </c>
      <c r="J118" s="216">
        <f>SUM(J119:J120)</f>
        <v>131520</v>
      </c>
      <c r="K118" s="216">
        <f>SUM(K119:K120)</f>
        <v>0</v>
      </c>
      <c r="L118" s="216">
        <f>SUM(L119:L120)</f>
        <v>0</v>
      </c>
      <c r="M118" s="216"/>
      <c r="N118" s="216">
        <f>SUM(N119:N120)</f>
        <v>1390</v>
      </c>
      <c r="O118" s="216">
        <f t="shared" si="55"/>
        <v>132910</v>
      </c>
      <c r="P118" s="216">
        <f>SUM(P119:P120)</f>
        <v>128070</v>
      </c>
      <c r="Q118" s="216">
        <f>SUM(Q119:Q120)</f>
        <v>0</v>
      </c>
      <c r="R118" s="216">
        <f>SUM(R119:R120)</f>
        <v>0</v>
      </c>
      <c r="S118" s="216"/>
      <c r="T118" s="216">
        <f>SUM(T119:T120)</f>
        <v>1390</v>
      </c>
      <c r="U118" s="216">
        <f t="shared" si="109"/>
        <v>129460</v>
      </c>
      <c r="V118" s="216">
        <f>SUM(V119:V120)</f>
        <v>126970</v>
      </c>
      <c r="W118" s="216">
        <f>SUM(W119:W120)</f>
        <v>0</v>
      </c>
      <c r="X118" s="216">
        <f>SUM(X119:X120)</f>
        <v>0</v>
      </c>
      <c r="Y118" s="216"/>
      <c r="Z118" s="216">
        <f>SUM(Z119:Z120)</f>
        <v>1390</v>
      </c>
      <c r="AA118" s="216">
        <f>SUM(V118:Z118)</f>
        <v>128360</v>
      </c>
      <c r="AB118" s="216">
        <f t="shared" si="104"/>
        <v>511780</v>
      </c>
      <c r="AC118" s="216">
        <f t="shared" si="105"/>
        <v>518045</v>
      </c>
    </row>
    <row r="119" spans="1:29" ht="72.75" customHeight="1" x14ac:dyDescent="0.25">
      <c r="A119" s="264"/>
      <c r="B119" s="217" t="s">
        <v>642</v>
      </c>
      <c r="C119" s="298" t="s">
        <v>719</v>
      </c>
      <c r="D119" s="223">
        <f>113620+2900+7200</f>
        <v>123720</v>
      </c>
      <c r="E119" s="223"/>
      <c r="F119" s="223"/>
      <c r="G119" s="223"/>
      <c r="H119" s="223">
        <v>2095</v>
      </c>
      <c r="I119" s="223">
        <f t="shared" ref="I119:I166" si="126">SUM(D119:H119)</f>
        <v>125815</v>
      </c>
      <c r="J119" s="223">
        <f>119970+2800+7200</f>
        <v>129970</v>
      </c>
      <c r="K119" s="223"/>
      <c r="L119" s="223"/>
      <c r="M119" s="223"/>
      <c r="N119" s="223">
        <v>1390</v>
      </c>
      <c r="O119" s="223">
        <f>SUM(J119:N119)</f>
        <v>131360</v>
      </c>
      <c r="P119" s="223">
        <f>116520+2800+7200</f>
        <v>126520</v>
      </c>
      <c r="Q119" s="223"/>
      <c r="R119" s="223"/>
      <c r="S119" s="223"/>
      <c r="T119" s="223">
        <v>1390</v>
      </c>
      <c r="U119" s="223">
        <f t="shared" si="109"/>
        <v>127910</v>
      </c>
      <c r="V119" s="222">
        <f>115420+2800+7200</f>
        <v>125420</v>
      </c>
      <c r="W119" s="222"/>
      <c r="X119" s="222"/>
      <c r="Y119" s="222"/>
      <c r="Z119" s="222">
        <v>1390</v>
      </c>
      <c r="AA119" s="218">
        <f>SUM(V119:Z119)</f>
        <v>126810</v>
      </c>
      <c r="AB119" s="216">
        <f t="shared" si="104"/>
        <v>505630</v>
      </c>
      <c r="AC119" s="216">
        <f t="shared" si="105"/>
        <v>511895</v>
      </c>
    </row>
    <row r="120" spans="1:29" ht="42" customHeight="1" x14ac:dyDescent="0.25">
      <c r="A120" s="264"/>
      <c r="B120" s="217" t="s">
        <v>643</v>
      </c>
      <c r="C120" s="300"/>
      <c r="D120" s="223">
        <f>150+1350</f>
        <v>1500</v>
      </c>
      <c r="E120" s="223"/>
      <c r="F120" s="223"/>
      <c r="G120" s="223"/>
      <c r="H120" s="223"/>
      <c r="I120" s="223">
        <f t="shared" si="126"/>
        <v>1500</v>
      </c>
      <c r="J120" s="223">
        <f>200+1350</f>
        <v>1550</v>
      </c>
      <c r="K120" s="223"/>
      <c r="L120" s="223"/>
      <c r="M120" s="223"/>
      <c r="N120" s="223"/>
      <c r="O120" s="223">
        <f t="shared" ref="O120" si="127">SUM(J120:N120)</f>
        <v>1550</v>
      </c>
      <c r="P120" s="223">
        <f>200+1350</f>
        <v>1550</v>
      </c>
      <c r="Q120" s="223"/>
      <c r="R120" s="223"/>
      <c r="S120" s="223"/>
      <c r="T120" s="223"/>
      <c r="U120" s="223">
        <f t="shared" si="109"/>
        <v>1550</v>
      </c>
      <c r="V120" s="222">
        <f>1350+200</f>
        <v>1550</v>
      </c>
      <c r="W120" s="222"/>
      <c r="X120" s="222"/>
      <c r="Y120" s="222"/>
      <c r="Z120" s="222"/>
      <c r="AA120" s="218">
        <f t="shared" si="111"/>
        <v>1550</v>
      </c>
      <c r="AB120" s="216">
        <f t="shared" si="104"/>
        <v>6150</v>
      </c>
      <c r="AC120" s="216">
        <f t="shared" si="105"/>
        <v>6150</v>
      </c>
    </row>
    <row r="121" spans="1:29" x14ac:dyDescent="0.25">
      <c r="A121" s="264" t="s">
        <v>334</v>
      </c>
      <c r="B121" s="214"/>
      <c r="C121" s="308"/>
      <c r="D121" s="216">
        <f>SUM(D122:D126)</f>
        <v>65440</v>
      </c>
      <c r="E121" s="216">
        <f t="shared" ref="E121:H121" si="128">SUM(E122:E126)</f>
        <v>0</v>
      </c>
      <c r="F121" s="216">
        <f t="shared" si="128"/>
        <v>0</v>
      </c>
      <c r="G121" s="216">
        <f>SUM(G122:G126)</f>
        <v>0</v>
      </c>
      <c r="H121" s="216">
        <f t="shared" si="128"/>
        <v>150</v>
      </c>
      <c r="I121" s="216">
        <f t="shared" si="126"/>
        <v>65590</v>
      </c>
      <c r="J121" s="216">
        <f>SUM(J122:J126)</f>
        <v>67290</v>
      </c>
      <c r="K121" s="216">
        <f t="shared" ref="K121:N121" si="129">SUM(K122:K126)</f>
        <v>0</v>
      </c>
      <c r="L121" s="216">
        <f t="shared" si="129"/>
        <v>0</v>
      </c>
      <c r="M121" s="216"/>
      <c r="N121" s="216">
        <f t="shared" si="129"/>
        <v>150</v>
      </c>
      <c r="O121" s="216">
        <f t="shared" si="55"/>
        <v>67440</v>
      </c>
      <c r="P121" s="216">
        <f>SUM(P122:P126)</f>
        <v>66440</v>
      </c>
      <c r="Q121" s="216">
        <f t="shared" ref="Q121:T121" si="130">SUM(Q122:Q126)</f>
        <v>0</v>
      </c>
      <c r="R121" s="216">
        <f t="shared" si="130"/>
        <v>0</v>
      </c>
      <c r="S121" s="216"/>
      <c r="T121" s="216">
        <f t="shared" si="130"/>
        <v>150</v>
      </c>
      <c r="U121" s="216">
        <f t="shared" si="109"/>
        <v>66590</v>
      </c>
      <c r="V121" s="216">
        <f>SUM(V122:V126)</f>
        <v>30170</v>
      </c>
      <c r="W121" s="216">
        <f t="shared" ref="W121:Z121" si="131">SUM(W122:W126)</f>
        <v>0</v>
      </c>
      <c r="X121" s="216">
        <f t="shared" si="131"/>
        <v>0</v>
      </c>
      <c r="Y121" s="216"/>
      <c r="Z121" s="216">
        <f t="shared" si="131"/>
        <v>150</v>
      </c>
      <c r="AA121" s="216">
        <f>SUM(V121:Z121)</f>
        <v>30320</v>
      </c>
      <c r="AB121" s="216">
        <f t="shared" si="104"/>
        <v>229340</v>
      </c>
      <c r="AC121" s="216">
        <f t="shared" si="105"/>
        <v>229940</v>
      </c>
    </row>
    <row r="122" spans="1:29" ht="45" x14ac:dyDescent="0.25">
      <c r="A122" s="264"/>
      <c r="B122" s="227" t="s">
        <v>644</v>
      </c>
      <c r="C122" s="298" t="s">
        <v>720</v>
      </c>
      <c r="D122" s="219">
        <f>32280-1180</f>
        <v>31100</v>
      </c>
      <c r="E122" s="219"/>
      <c r="F122" s="219"/>
      <c r="G122" s="219"/>
      <c r="H122" s="219"/>
      <c r="I122" s="219">
        <f t="shared" si="126"/>
        <v>31100</v>
      </c>
      <c r="J122" s="219">
        <v>31100</v>
      </c>
      <c r="K122" s="219"/>
      <c r="L122" s="219"/>
      <c r="M122" s="219"/>
      <c r="N122" s="219"/>
      <c r="O122" s="219">
        <f t="shared" si="55"/>
        <v>31100</v>
      </c>
      <c r="P122" s="219">
        <v>31100</v>
      </c>
      <c r="Q122" s="219"/>
      <c r="R122" s="219"/>
      <c r="S122" s="219"/>
      <c r="T122" s="219"/>
      <c r="U122" s="219">
        <f t="shared" si="109"/>
        <v>31100</v>
      </c>
      <c r="V122" s="218"/>
      <c r="W122" s="218"/>
      <c r="X122" s="218"/>
      <c r="Y122" s="218"/>
      <c r="Z122" s="218"/>
      <c r="AA122" s="218">
        <f t="shared" si="111"/>
        <v>0</v>
      </c>
      <c r="AB122" s="216">
        <f t="shared" si="104"/>
        <v>93300</v>
      </c>
      <c r="AC122" s="216">
        <f t="shared" si="105"/>
        <v>93300</v>
      </c>
    </row>
    <row r="123" spans="1:29" ht="33.75" x14ac:dyDescent="0.25">
      <c r="A123" s="264"/>
      <c r="B123" s="217" t="s">
        <v>645</v>
      </c>
      <c r="C123" s="299"/>
      <c r="D123" s="219">
        <v>5170</v>
      </c>
      <c r="E123" s="219"/>
      <c r="F123" s="219"/>
      <c r="G123" s="219"/>
      <c r="H123" s="219"/>
      <c r="I123" s="219">
        <f t="shared" si="126"/>
        <v>5170</v>
      </c>
      <c r="J123" s="219">
        <v>5170</v>
      </c>
      <c r="K123" s="219"/>
      <c r="L123" s="219"/>
      <c r="M123" s="219"/>
      <c r="N123" s="219"/>
      <c r="O123" s="219">
        <f t="shared" si="55"/>
        <v>5170</v>
      </c>
      <c r="P123" s="219">
        <v>5170</v>
      </c>
      <c r="Q123" s="219"/>
      <c r="R123" s="219"/>
      <c r="S123" s="219"/>
      <c r="T123" s="219"/>
      <c r="U123" s="219">
        <f t="shared" si="109"/>
        <v>5170</v>
      </c>
      <c r="V123" s="218"/>
      <c r="W123" s="218"/>
      <c r="X123" s="218"/>
      <c r="Y123" s="218"/>
      <c r="Z123" s="218"/>
      <c r="AA123" s="218">
        <f t="shared" si="111"/>
        <v>0</v>
      </c>
      <c r="AB123" s="216">
        <f t="shared" si="104"/>
        <v>15510</v>
      </c>
      <c r="AC123" s="216">
        <f t="shared" si="105"/>
        <v>15510</v>
      </c>
    </row>
    <row r="124" spans="1:29" ht="22.5" x14ac:dyDescent="0.25">
      <c r="A124" s="264"/>
      <c r="B124" s="217" t="s">
        <v>646</v>
      </c>
      <c r="C124" s="299"/>
      <c r="D124" s="219">
        <v>400</v>
      </c>
      <c r="E124" s="219"/>
      <c r="F124" s="219"/>
      <c r="G124" s="219"/>
      <c r="H124" s="219"/>
      <c r="I124" s="219">
        <f t="shared" si="126"/>
        <v>400</v>
      </c>
      <c r="J124" s="219">
        <v>400</v>
      </c>
      <c r="K124" s="219"/>
      <c r="L124" s="219"/>
      <c r="M124" s="219"/>
      <c r="N124" s="219"/>
      <c r="O124" s="219">
        <f t="shared" si="55"/>
        <v>400</v>
      </c>
      <c r="P124" s="219">
        <v>400</v>
      </c>
      <c r="Q124" s="219"/>
      <c r="R124" s="219"/>
      <c r="S124" s="219"/>
      <c r="T124" s="219"/>
      <c r="U124" s="219">
        <f t="shared" si="109"/>
        <v>400</v>
      </c>
      <c r="V124" s="218">
        <v>400</v>
      </c>
      <c r="W124" s="218"/>
      <c r="X124" s="218"/>
      <c r="Y124" s="218"/>
      <c r="Z124" s="218"/>
      <c r="AA124" s="218">
        <f t="shared" si="111"/>
        <v>400</v>
      </c>
      <c r="AB124" s="216">
        <f t="shared" si="104"/>
        <v>1600</v>
      </c>
      <c r="AC124" s="216">
        <f t="shared" si="105"/>
        <v>1600</v>
      </c>
    </row>
    <row r="125" spans="1:29" ht="22.5" x14ac:dyDescent="0.25">
      <c r="A125" s="264"/>
      <c r="B125" s="217" t="s">
        <v>647</v>
      </c>
      <c r="C125" s="299"/>
      <c r="D125" s="219">
        <v>25570</v>
      </c>
      <c r="E125" s="219"/>
      <c r="F125" s="219"/>
      <c r="G125" s="219"/>
      <c r="H125" s="219"/>
      <c r="I125" s="219">
        <f t="shared" si="126"/>
        <v>25570</v>
      </c>
      <c r="J125" s="219">
        <v>25570</v>
      </c>
      <c r="K125" s="219"/>
      <c r="L125" s="219"/>
      <c r="M125" s="219"/>
      <c r="N125" s="219"/>
      <c r="O125" s="219">
        <f t="shared" si="55"/>
        <v>25570</v>
      </c>
      <c r="P125" s="219">
        <v>25570</v>
      </c>
      <c r="Q125" s="219"/>
      <c r="R125" s="219"/>
      <c r="S125" s="219"/>
      <c r="T125" s="219"/>
      <c r="U125" s="219">
        <f t="shared" si="109"/>
        <v>25570</v>
      </c>
      <c r="V125" s="218">
        <v>25570</v>
      </c>
      <c r="W125" s="218"/>
      <c r="X125" s="218"/>
      <c r="Y125" s="218"/>
      <c r="Z125" s="218"/>
      <c r="AA125" s="218"/>
      <c r="AB125" s="216">
        <f t="shared" si="104"/>
        <v>102280</v>
      </c>
      <c r="AC125" s="216">
        <f t="shared" si="105"/>
        <v>76710</v>
      </c>
    </row>
    <row r="126" spans="1:29" ht="36" customHeight="1" x14ac:dyDescent="0.25">
      <c r="A126" s="264"/>
      <c r="B126" s="217" t="s">
        <v>648</v>
      </c>
      <c r="C126" s="300"/>
      <c r="D126" s="219">
        <v>3200</v>
      </c>
      <c r="E126" s="219"/>
      <c r="F126" s="219"/>
      <c r="G126" s="219"/>
      <c r="H126" s="219">
        <v>150</v>
      </c>
      <c r="I126" s="219">
        <f t="shared" si="126"/>
        <v>3350</v>
      </c>
      <c r="J126" s="219">
        <f>1150+3900</f>
        <v>5050</v>
      </c>
      <c r="K126" s="219"/>
      <c r="L126" s="219"/>
      <c r="M126" s="219"/>
      <c r="N126" s="219">
        <v>150</v>
      </c>
      <c r="O126" s="219">
        <f t="shared" si="55"/>
        <v>5200</v>
      </c>
      <c r="P126" s="219">
        <f>1150+3050</f>
        <v>4200</v>
      </c>
      <c r="Q126" s="219"/>
      <c r="R126" s="219"/>
      <c r="S126" s="219"/>
      <c r="T126" s="219">
        <v>150</v>
      </c>
      <c r="U126" s="219">
        <f t="shared" si="109"/>
        <v>4350</v>
      </c>
      <c r="V126" s="218">
        <f>1150+3050</f>
        <v>4200</v>
      </c>
      <c r="W126" s="218"/>
      <c r="X126" s="218"/>
      <c r="Y126" s="218"/>
      <c r="Z126" s="218">
        <v>150</v>
      </c>
      <c r="AA126" s="218">
        <f t="shared" si="111"/>
        <v>4350</v>
      </c>
      <c r="AB126" s="216">
        <f t="shared" si="104"/>
        <v>16650</v>
      </c>
      <c r="AC126" s="216">
        <f t="shared" si="105"/>
        <v>17250</v>
      </c>
    </row>
    <row r="127" spans="1:29" x14ac:dyDescent="0.25">
      <c r="A127" s="264" t="s">
        <v>335</v>
      </c>
      <c r="B127" s="214"/>
      <c r="C127" s="308"/>
      <c r="D127" s="216">
        <f>SUM(D128:D130)</f>
        <v>3165</v>
      </c>
      <c r="E127" s="216">
        <f>SUM(E128:E130)</f>
        <v>0</v>
      </c>
      <c r="F127" s="216">
        <f>SUM(F128:F130)</f>
        <v>0</v>
      </c>
      <c r="G127" s="216">
        <f>SUM(G128:G130)</f>
        <v>0</v>
      </c>
      <c r="H127" s="216">
        <f>SUM(H128:H130)</f>
        <v>0</v>
      </c>
      <c r="I127" s="216">
        <f t="shared" si="126"/>
        <v>3165</v>
      </c>
      <c r="J127" s="216">
        <f>SUM(J128:J130)</f>
        <v>3165</v>
      </c>
      <c r="K127" s="216">
        <f>SUM(K128:K130)</f>
        <v>0</v>
      </c>
      <c r="L127" s="216">
        <f>SUM(L128:L130)</f>
        <v>0</v>
      </c>
      <c r="M127" s="216"/>
      <c r="N127" s="216">
        <f>SUM(N128:N130)</f>
        <v>0</v>
      </c>
      <c r="O127" s="216">
        <f t="shared" si="55"/>
        <v>3165</v>
      </c>
      <c r="P127" s="216">
        <f>SUM(P128:P130)</f>
        <v>3165</v>
      </c>
      <c r="Q127" s="216">
        <f>SUM(Q128:Q130)</f>
        <v>0</v>
      </c>
      <c r="R127" s="216">
        <f>SUM(R128:R130)</f>
        <v>0</v>
      </c>
      <c r="S127" s="216"/>
      <c r="T127" s="216">
        <f>SUM(T128:T130)</f>
        <v>0</v>
      </c>
      <c r="U127" s="216">
        <f t="shared" si="109"/>
        <v>3165</v>
      </c>
      <c r="V127" s="216">
        <f>SUM(V128:V130)</f>
        <v>0</v>
      </c>
      <c r="W127" s="216">
        <f>SUM(W128:W130)</f>
        <v>0</v>
      </c>
      <c r="X127" s="216">
        <f>SUM(X128:X130)</f>
        <v>0</v>
      </c>
      <c r="Y127" s="216"/>
      <c r="Z127" s="216">
        <f>SUM(Z128:Z130)</f>
        <v>0</v>
      </c>
      <c r="AA127" s="216">
        <f t="shared" si="111"/>
        <v>0</v>
      </c>
      <c r="AB127" s="216">
        <f t="shared" si="104"/>
        <v>9495</v>
      </c>
      <c r="AC127" s="216">
        <f t="shared" si="105"/>
        <v>9495</v>
      </c>
    </row>
    <row r="128" spans="1:29" ht="45" x14ac:dyDescent="0.25">
      <c r="A128" s="264"/>
      <c r="B128" s="217" t="s">
        <v>649</v>
      </c>
      <c r="C128" s="298" t="s">
        <v>721</v>
      </c>
      <c r="D128" s="219">
        <v>375</v>
      </c>
      <c r="E128" s="219"/>
      <c r="F128" s="219"/>
      <c r="G128" s="219"/>
      <c r="H128" s="219"/>
      <c r="I128" s="219">
        <f t="shared" si="126"/>
        <v>375</v>
      </c>
      <c r="J128" s="219">
        <v>375</v>
      </c>
      <c r="K128" s="219"/>
      <c r="L128" s="219"/>
      <c r="M128" s="219"/>
      <c r="N128" s="219"/>
      <c r="O128" s="219">
        <f t="shared" si="55"/>
        <v>375</v>
      </c>
      <c r="P128" s="219">
        <v>375</v>
      </c>
      <c r="Q128" s="219"/>
      <c r="R128" s="219"/>
      <c r="S128" s="219"/>
      <c r="T128" s="219"/>
      <c r="U128" s="219">
        <f t="shared" si="109"/>
        <v>375</v>
      </c>
      <c r="V128" s="218"/>
      <c r="W128" s="218"/>
      <c r="X128" s="218"/>
      <c r="Y128" s="218"/>
      <c r="Z128" s="218"/>
      <c r="AA128" s="218">
        <f t="shared" si="111"/>
        <v>0</v>
      </c>
      <c r="AB128" s="216">
        <f t="shared" si="104"/>
        <v>1125</v>
      </c>
      <c r="AC128" s="216">
        <f t="shared" si="105"/>
        <v>1125</v>
      </c>
    </row>
    <row r="129" spans="1:29" ht="33.75" x14ac:dyDescent="0.25">
      <c r="A129" s="264"/>
      <c r="B129" s="217" t="s">
        <v>650</v>
      </c>
      <c r="C129" s="299"/>
      <c r="D129" s="219">
        <v>700</v>
      </c>
      <c r="E129" s="219"/>
      <c r="F129" s="219"/>
      <c r="G129" s="219"/>
      <c r="H129" s="219"/>
      <c r="I129" s="219">
        <f t="shared" si="126"/>
        <v>700</v>
      </c>
      <c r="J129" s="219">
        <v>700</v>
      </c>
      <c r="K129" s="219"/>
      <c r="L129" s="219"/>
      <c r="M129" s="219"/>
      <c r="N129" s="219"/>
      <c r="O129" s="219">
        <f t="shared" si="55"/>
        <v>700</v>
      </c>
      <c r="P129" s="219">
        <v>700</v>
      </c>
      <c r="Q129" s="219"/>
      <c r="R129" s="219"/>
      <c r="S129" s="219"/>
      <c r="T129" s="219"/>
      <c r="U129" s="219">
        <f t="shared" si="109"/>
        <v>700</v>
      </c>
      <c r="V129" s="218"/>
      <c r="W129" s="218"/>
      <c r="X129" s="218"/>
      <c r="Y129" s="218"/>
      <c r="Z129" s="218"/>
      <c r="AA129" s="218">
        <f t="shared" si="111"/>
        <v>0</v>
      </c>
      <c r="AB129" s="216">
        <f t="shared" si="104"/>
        <v>2100</v>
      </c>
      <c r="AC129" s="216">
        <f t="shared" si="105"/>
        <v>2100</v>
      </c>
    </row>
    <row r="130" spans="1:29" ht="45" x14ac:dyDescent="0.25">
      <c r="A130" s="264"/>
      <c r="B130" s="217" t="s">
        <v>651</v>
      </c>
      <c r="C130" s="300"/>
      <c r="D130" s="219">
        <v>2090</v>
      </c>
      <c r="E130" s="219"/>
      <c r="F130" s="219"/>
      <c r="G130" s="219"/>
      <c r="H130" s="219"/>
      <c r="I130" s="219">
        <f t="shared" si="126"/>
        <v>2090</v>
      </c>
      <c r="J130" s="219">
        <v>2090</v>
      </c>
      <c r="K130" s="219"/>
      <c r="L130" s="219"/>
      <c r="M130" s="219"/>
      <c r="N130" s="219"/>
      <c r="O130" s="219">
        <f t="shared" si="55"/>
        <v>2090</v>
      </c>
      <c r="P130" s="219">
        <v>2090</v>
      </c>
      <c r="Q130" s="219"/>
      <c r="R130" s="219"/>
      <c r="S130" s="219"/>
      <c r="T130" s="219"/>
      <c r="U130" s="219">
        <f t="shared" si="109"/>
        <v>2090</v>
      </c>
      <c r="V130" s="218"/>
      <c r="W130" s="218"/>
      <c r="X130" s="218"/>
      <c r="Y130" s="218"/>
      <c r="Z130" s="218"/>
      <c r="AA130" s="218">
        <f t="shared" si="111"/>
        <v>0</v>
      </c>
      <c r="AB130" s="216">
        <f t="shared" si="104"/>
        <v>6270</v>
      </c>
      <c r="AC130" s="216">
        <f t="shared" si="105"/>
        <v>6270</v>
      </c>
    </row>
    <row r="131" spans="1:29" x14ac:dyDescent="0.25">
      <c r="A131" s="264" t="s">
        <v>336</v>
      </c>
      <c r="B131" s="214"/>
      <c r="C131" s="308"/>
      <c r="D131" s="216">
        <f>SUM(D132:D137)</f>
        <v>299175</v>
      </c>
      <c r="E131" s="216">
        <f t="shared" ref="E131:H131" si="132">SUM(E132:E137)</f>
        <v>380</v>
      </c>
      <c r="F131" s="216">
        <f t="shared" si="132"/>
        <v>4761.3599999999997</v>
      </c>
      <c r="G131" s="216">
        <f>SUM(G132:G137)</f>
        <v>0</v>
      </c>
      <c r="H131" s="216">
        <f t="shared" si="132"/>
        <v>512</v>
      </c>
      <c r="I131" s="216">
        <f t="shared" si="126"/>
        <v>304828.36</v>
      </c>
      <c r="J131" s="216">
        <f>SUM(J132:J137)</f>
        <v>315930</v>
      </c>
      <c r="K131" s="216">
        <f t="shared" ref="K131:N131" si="133">SUM(K132:K137)</f>
        <v>0</v>
      </c>
      <c r="L131" s="216">
        <f t="shared" si="133"/>
        <v>2422.63</v>
      </c>
      <c r="M131" s="216"/>
      <c r="N131" s="216">
        <f t="shared" si="133"/>
        <v>450</v>
      </c>
      <c r="O131" s="216">
        <f t="shared" si="55"/>
        <v>318802.63</v>
      </c>
      <c r="P131" s="216">
        <f>SUM(P132:P137)</f>
        <v>320530</v>
      </c>
      <c r="Q131" s="216">
        <f t="shared" ref="Q131:T131" si="134">SUM(Q132:Q137)</f>
        <v>0</v>
      </c>
      <c r="R131" s="216">
        <f t="shared" si="134"/>
        <v>2020</v>
      </c>
      <c r="S131" s="216"/>
      <c r="T131" s="216">
        <f t="shared" si="134"/>
        <v>450</v>
      </c>
      <c r="U131" s="216">
        <f t="shared" si="109"/>
        <v>323000</v>
      </c>
      <c r="V131" s="216">
        <f>SUM(V132:V137)</f>
        <v>320530</v>
      </c>
      <c r="W131" s="216">
        <f t="shared" ref="W131:Z131" si="135">SUM(W132:W137)</f>
        <v>0</v>
      </c>
      <c r="X131" s="216">
        <f t="shared" si="135"/>
        <v>0</v>
      </c>
      <c r="Y131" s="216"/>
      <c r="Z131" s="216">
        <f t="shared" si="135"/>
        <v>450</v>
      </c>
      <c r="AA131" s="216">
        <f t="shared" si="111"/>
        <v>320980</v>
      </c>
      <c r="AB131" s="216">
        <f t="shared" si="104"/>
        <v>1256165</v>
      </c>
      <c r="AC131" s="216">
        <f t="shared" si="105"/>
        <v>1267610.99</v>
      </c>
    </row>
    <row r="132" spans="1:29" ht="69.75" customHeight="1" x14ac:dyDescent="0.25">
      <c r="A132" s="264"/>
      <c r="B132" s="226" t="s">
        <v>652</v>
      </c>
      <c r="C132" s="298" t="s">
        <v>741</v>
      </c>
      <c r="D132" s="223">
        <v>82645</v>
      </c>
      <c r="E132" s="223"/>
      <c r="F132" s="223"/>
      <c r="G132" s="223"/>
      <c r="H132" s="223"/>
      <c r="I132" s="223">
        <f t="shared" si="126"/>
        <v>82645</v>
      </c>
      <c r="J132" s="223">
        <v>93900</v>
      </c>
      <c r="K132" s="223"/>
      <c r="L132" s="223"/>
      <c r="M132" s="223"/>
      <c r="N132" s="223"/>
      <c r="O132" s="223">
        <f t="shared" si="55"/>
        <v>93900</v>
      </c>
      <c r="P132" s="223">
        <v>98400</v>
      </c>
      <c r="Q132" s="223"/>
      <c r="R132" s="223"/>
      <c r="S132" s="223"/>
      <c r="T132" s="223"/>
      <c r="U132" s="223">
        <f t="shared" si="109"/>
        <v>98400</v>
      </c>
      <c r="V132" s="222">
        <v>98400</v>
      </c>
      <c r="W132" s="222"/>
      <c r="X132" s="222"/>
      <c r="Y132" s="222"/>
      <c r="Z132" s="222"/>
      <c r="AA132" s="218">
        <f>SUM(V132:Z132)</f>
        <v>98400</v>
      </c>
      <c r="AB132" s="216">
        <f t="shared" si="104"/>
        <v>373345</v>
      </c>
      <c r="AC132" s="216">
        <f t="shared" si="105"/>
        <v>373345</v>
      </c>
    </row>
    <row r="133" spans="1:29" ht="22.5" x14ac:dyDescent="0.25">
      <c r="A133" s="264"/>
      <c r="B133" s="217" t="s">
        <v>653</v>
      </c>
      <c r="C133" s="299"/>
      <c r="D133" s="223">
        <v>122500</v>
      </c>
      <c r="E133" s="223"/>
      <c r="F133" s="223"/>
      <c r="G133" s="223"/>
      <c r="H133" s="223"/>
      <c r="I133" s="223">
        <f t="shared" si="126"/>
        <v>122500</v>
      </c>
      <c r="J133" s="223">
        <v>127500</v>
      </c>
      <c r="K133" s="223"/>
      <c r="L133" s="223"/>
      <c r="M133" s="223"/>
      <c r="N133" s="223"/>
      <c r="O133" s="223">
        <f t="shared" ref="O133:O137" si="136">SUM(J133:N133)</f>
        <v>127500</v>
      </c>
      <c r="P133" s="223">
        <v>127500</v>
      </c>
      <c r="Q133" s="223"/>
      <c r="R133" s="223"/>
      <c r="S133" s="223"/>
      <c r="T133" s="223"/>
      <c r="U133" s="223">
        <f t="shared" si="109"/>
        <v>127500</v>
      </c>
      <c r="V133" s="222">
        <v>127500</v>
      </c>
      <c r="W133" s="222"/>
      <c r="X133" s="222"/>
      <c r="Y133" s="222"/>
      <c r="Z133" s="222"/>
      <c r="AA133" s="218">
        <f t="shared" ref="AA133:AA137" si="137">SUM(V133:Z133)</f>
        <v>127500</v>
      </c>
      <c r="AB133" s="216">
        <f t="shared" si="104"/>
        <v>505000</v>
      </c>
      <c r="AC133" s="216">
        <f t="shared" si="105"/>
        <v>505000</v>
      </c>
    </row>
    <row r="134" spans="1:29" ht="47.25" customHeight="1" x14ac:dyDescent="0.25">
      <c r="A134" s="264"/>
      <c r="B134" s="217" t="s">
        <v>654</v>
      </c>
      <c r="C134" s="299"/>
      <c r="D134" s="223">
        <v>4200</v>
      </c>
      <c r="E134" s="223">
        <v>380</v>
      </c>
      <c r="F134" s="223">
        <f>828-265+1123.58+567.7</f>
        <v>2254.2799999999997</v>
      </c>
      <c r="G134" s="223"/>
      <c r="H134" s="223"/>
      <c r="I134" s="223">
        <f t="shared" si="126"/>
        <v>6834.28</v>
      </c>
      <c r="J134" s="223">
        <v>4500</v>
      </c>
      <c r="K134" s="223"/>
      <c r="L134" s="223">
        <f>468.1*3*20%</f>
        <v>280.86000000000007</v>
      </c>
      <c r="M134" s="223"/>
      <c r="N134" s="223"/>
      <c r="O134" s="223">
        <f t="shared" si="136"/>
        <v>4780.8599999999997</v>
      </c>
      <c r="P134" s="223">
        <v>4500</v>
      </c>
      <c r="Q134" s="223"/>
      <c r="R134" s="223"/>
      <c r="S134" s="223"/>
      <c r="T134" s="223"/>
      <c r="U134" s="223">
        <f>38+2559+18500+304+196+1949+288+200+1840+94+100+110</f>
        <v>26178</v>
      </c>
      <c r="V134" s="222">
        <v>4500</v>
      </c>
      <c r="W134" s="222"/>
      <c r="X134" s="222"/>
      <c r="Y134" s="222"/>
      <c r="Z134" s="222"/>
      <c r="AA134" s="218">
        <f t="shared" si="137"/>
        <v>4500</v>
      </c>
      <c r="AB134" s="216">
        <f t="shared" si="104"/>
        <v>17700</v>
      </c>
      <c r="AC134" s="216">
        <f t="shared" si="105"/>
        <v>42293.14</v>
      </c>
    </row>
    <row r="135" spans="1:29" ht="33.75" x14ac:dyDescent="0.25">
      <c r="A135" s="264"/>
      <c r="B135" s="217" t="s">
        <v>655</v>
      </c>
      <c r="C135" s="299"/>
      <c r="D135" s="223"/>
      <c r="E135" s="223"/>
      <c r="F135" s="223">
        <v>2020</v>
      </c>
      <c r="G135" s="223"/>
      <c r="H135" s="223"/>
      <c r="I135" s="223">
        <f t="shared" si="126"/>
        <v>2020</v>
      </c>
      <c r="J135" s="223"/>
      <c r="K135" s="223"/>
      <c r="L135" s="223">
        <f>6060/3</f>
        <v>2020</v>
      </c>
      <c r="M135" s="223"/>
      <c r="N135" s="223"/>
      <c r="O135" s="223">
        <f t="shared" si="136"/>
        <v>2020</v>
      </c>
      <c r="P135" s="223"/>
      <c r="Q135" s="223"/>
      <c r="R135" s="223">
        <v>2020</v>
      </c>
      <c r="S135" s="223"/>
      <c r="T135" s="223"/>
      <c r="U135" s="223">
        <f t="shared" si="109"/>
        <v>2020</v>
      </c>
      <c r="V135" s="222"/>
      <c r="W135" s="222"/>
      <c r="X135" s="222"/>
      <c r="Y135" s="222"/>
      <c r="Z135" s="222"/>
      <c r="AA135" s="218">
        <f t="shared" si="137"/>
        <v>0</v>
      </c>
      <c r="AB135" s="216">
        <f t="shared" si="104"/>
        <v>0</v>
      </c>
      <c r="AC135" s="216">
        <f t="shared" si="105"/>
        <v>6060</v>
      </c>
    </row>
    <row r="136" spans="1:29" ht="67.5" x14ac:dyDescent="0.25">
      <c r="A136" s="264"/>
      <c r="B136" s="217" t="s">
        <v>656</v>
      </c>
      <c r="C136" s="299"/>
      <c r="D136" s="223">
        <f>82645+685</f>
        <v>83330</v>
      </c>
      <c r="E136" s="223"/>
      <c r="F136" s="223"/>
      <c r="G136" s="223"/>
      <c r="H136" s="223"/>
      <c r="I136" s="223">
        <f t="shared" si="126"/>
        <v>83330</v>
      </c>
      <c r="J136" s="223">
        <v>83330</v>
      </c>
      <c r="K136" s="223"/>
      <c r="L136" s="223"/>
      <c r="M136" s="223"/>
      <c r="N136" s="223"/>
      <c r="O136" s="223">
        <f t="shared" si="136"/>
        <v>83330</v>
      </c>
      <c r="P136" s="223">
        <v>83330</v>
      </c>
      <c r="Q136" s="223"/>
      <c r="R136" s="223"/>
      <c r="S136" s="223"/>
      <c r="T136" s="223"/>
      <c r="U136" s="223">
        <f t="shared" si="109"/>
        <v>83330</v>
      </c>
      <c r="V136" s="222">
        <v>83330</v>
      </c>
      <c r="W136" s="222"/>
      <c r="X136" s="222"/>
      <c r="Y136" s="222"/>
      <c r="Z136" s="222"/>
      <c r="AA136" s="218">
        <f t="shared" si="137"/>
        <v>83330</v>
      </c>
      <c r="AB136" s="216">
        <f t="shared" si="104"/>
        <v>333320</v>
      </c>
      <c r="AC136" s="216">
        <f t="shared" si="105"/>
        <v>333320</v>
      </c>
    </row>
    <row r="137" spans="1:29" ht="101.25" x14ac:dyDescent="0.25">
      <c r="A137" s="264"/>
      <c r="B137" s="217" t="s">
        <v>657</v>
      </c>
      <c r="C137" s="300"/>
      <c r="D137" s="223">
        <f>2300+4200</f>
        <v>6500</v>
      </c>
      <c r="E137" s="223"/>
      <c r="F137" s="223">
        <f>202.95*3*80%</f>
        <v>487.07999999999993</v>
      </c>
      <c r="G137" s="223"/>
      <c r="H137" s="223">
        <f>132+380</f>
        <v>512</v>
      </c>
      <c r="I137" s="223">
        <f t="shared" si="126"/>
        <v>7499.08</v>
      </c>
      <c r="J137" s="223">
        <f>2500+4200</f>
        <v>6700</v>
      </c>
      <c r="K137" s="223"/>
      <c r="L137" s="223">
        <f>202.95*3*20%</f>
        <v>121.76999999999998</v>
      </c>
      <c r="M137" s="223"/>
      <c r="N137" s="223">
        <f>150+300</f>
        <v>450</v>
      </c>
      <c r="O137" s="223">
        <f t="shared" si="136"/>
        <v>7271.77</v>
      </c>
      <c r="P137" s="223">
        <f>2600+4200</f>
        <v>6800</v>
      </c>
      <c r="Q137" s="223"/>
      <c r="R137" s="223"/>
      <c r="S137" s="223"/>
      <c r="T137" s="223">
        <f>150+300</f>
        <v>450</v>
      </c>
      <c r="U137" s="223">
        <f t="shared" si="109"/>
        <v>7250</v>
      </c>
      <c r="V137" s="222">
        <f>2600+4200</f>
        <v>6800</v>
      </c>
      <c r="W137" s="222"/>
      <c r="X137" s="222"/>
      <c r="Y137" s="222"/>
      <c r="Z137" s="222">
        <f>150+300</f>
        <v>450</v>
      </c>
      <c r="AA137" s="218">
        <f t="shared" si="137"/>
        <v>7250</v>
      </c>
      <c r="AB137" s="216">
        <f t="shared" si="104"/>
        <v>26800</v>
      </c>
      <c r="AC137" s="216">
        <f t="shared" si="105"/>
        <v>29270.85</v>
      </c>
    </row>
    <row r="138" spans="1:29" x14ac:dyDescent="0.25">
      <c r="A138" s="264" t="s">
        <v>337</v>
      </c>
      <c r="B138" s="214"/>
      <c r="C138" s="308"/>
      <c r="D138" s="216">
        <f>SUM(D139:D142)</f>
        <v>713335</v>
      </c>
      <c r="E138" s="216">
        <f>SUM(E139:E142)</f>
        <v>0</v>
      </c>
      <c r="F138" s="216">
        <f>SUM(F139:F142)</f>
        <v>0</v>
      </c>
      <c r="G138" s="216">
        <f>SUM(G139:G142)</f>
        <v>0</v>
      </c>
      <c r="H138" s="216">
        <f>SUM(H139:H142)</f>
        <v>0</v>
      </c>
      <c r="I138" s="216">
        <f t="shared" si="126"/>
        <v>713335</v>
      </c>
      <c r="J138" s="216">
        <f>SUM(J139:J142)</f>
        <v>756200</v>
      </c>
      <c r="K138" s="216">
        <f>SUM(K139:K142)</f>
        <v>0</v>
      </c>
      <c r="L138" s="216">
        <f>SUM(L139:L142)</f>
        <v>0</v>
      </c>
      <c r="M138" s="216"/>
      <c r="N138" s="216">
        <f>SUM(N139:N142)</f>
        <v>0</v>
      </c>
      <c r="O138" s="216">
        <f t="shared" ref="O138:O186" si="138">SUM(J138:N138)</f>
        <v>756200</v>
      </c>
      <c r="P138" s="216">
        <f>SUM(P139:P142)</f>
        <v>766600</v>
      </c>
      <c r="Q138" s="216">
        <f>SUM(Q139:Q142)</f>
        <v>0</v>
      </c>
      <c r="R138" s="216">
        <f>SUM(R139:R142)</f>
        <v>0</v>
      </c>
      <c r="S138" s="216"/>
      <c r="T138" s="216">
        <f>SUM(T139:T142)</f>
        <v>0</v>
      </c>
      <c r="U138" s="216">
        <f t="shared" si="109"/>
        <v>766600</v>
      </c>
      <c r="V138" s="216">
        <f>SUM(V139:V142)</f>
        <v>814400</v>
      </c>
      <c r="W138" s="216">
        <f>SUM(W139:W142)</f>
        <v>0</v>
      </c>
      <c r="X138" s="216">
        <f>SUM(X139:X142)</f>
        <v>0</v>
      </c>
      <c r="Y138" s="216"/>
      <c r="Z138" s="216">
        <f>SUM(Z139:Z142)</f>
        <v>0</v>
      </c>
      <c r="AA138" s="216">
        <f t="shared" si="111"/>
        <v>814400</v>
      </c>
      <c r="AB138" s="216">
        <f t="shared" si="104"/>
        <v>3050535</v>
      </c>
      <c r="AC138" s="216">
        <f t="shared" si="105"/>
        <v>3050535</v>
      </c>
    </row>
    <row r="139" spans="1:29" ht="33.75" x14ac:dyDescent="0.25">
      <c r="A139" s="264"/>
      <c r="B139" s="217" t="s">
        <v>658</v>
      </c>
      <c r="C139" s="298" t="s">
        <v>722</v>
      </c>
      <c r="D139" s="219">
        <v>680000</v>
      </c>
      <c r="E139" s="219"/>
      <c r="F139" s="219"/>
      <c r="G139" s="316"/>
      <c r="H139" s="219"/>
      <c r="I139" s="219">
        <f t="shared" si="126"/>
        <v>680000</v>
      </c>
      <c r="J139" s="219">
        <v>717700</v>
      </c>
      <c r="K139" s="219"/>
      <c r="L139" s="219"/>
      <c r="M139" s="219"/>
      <c r="N139" s="219"/>
      <c r="O139" s="219">
        <f t="shared" si="138"/>
        <v>717700</v>
      </c>
      <c r="P139" s="219">
        <v>726600</v>
      </c>
      <c r="Q139" s="219"/>
      <c r="R139" s="219"/>
      <c r="S139" s="219"/>
      <c r="T139" s="219"/>
      <c r="U139" s="219">
        <f t="shared" si="109"/>
        <v>726600</v>
      </c>
      <c r="V139" s="218">
        <v>771100</v>
      </c>
      <c r="W139" s="218"/>
      <c r="X139" s="218"/>
      <c r="Y139" s="218"/>
      <c r="Z139" s="218"/>
      <c r="AA139" s="218">
        <f t="shared" si="111"/>
        <v>771100</v>
      </c>
      <c r="AB139" s="228">
        <f t="shared" si="104"/>
        <v>2895400</v>
      </c>
      <c r="AC139" s="228">
        <f t="shared" si="105"/>
        <v>2895400</v>
      </c>
    </row>
    <row r="140" spans="1:29" ht="33.75" x14ac:dyDescent="0.25">
      <c r="A140" s="264"/>
      <c r="B140" s="217" t="s">
        <v>659</v>
      </c>
      <c r="C140" s="299"/>
      <c r="D140" s="219">
        <v>28200</v>
      </c>
      <c r="E140" s="219"/>
      <c r="F140" s="219"/>
      <c r="G140" s="219"/>
      <c r="H140" s="219"/>
      <c r="I140" s="219">
        <f t="shared" si="126"/>
        <v>28200</v>
      </c>
      <c r="J140" s="219">
        <v>33300</v>
      </c>
      <c r="K140" s="219"/>
      <c r="L140" s="219"/>
      <c r="M140" s="219"/>
      <c r="N140" s="219"/>
      <c r="O140" s="219">
        <f t="shared" si="138"/>
        <v>33300</v>
      </c>
      <c r="P140" s="219">
        <v>34800</v>
      </c>
      <c r="Q140" s="219"/>
      <c r="R140" s="219"/>
      <c r="S140" s="219"/>
      <c r="T140" s="219"/>
      <c r="U140" s="219">
        <f t="shared" si="109"/>
        <v>34800</v>
      </c>
      <c r="V140" s="218">
        <v>38100</v>
      </c>
      <c r="W140" s="218"/>
      <c r="X140" s="218"/>
      <c r="Y140" s="218"/>
      <c r="Z140" s="218"/>
      <c r="AA140" s="218">
        <f t="shared" si="111"/>
        <v>38100</v>
      </c>
      <c r="AB140" s="228">
        <f t="shared" si="104"/>
        <v>134400</v>
      </c>
      <c r="AC140" s="228">
        <f t="shared" si="105"/>
        <v>134400</v>
      </c>
    </row>
    <row r="141" spans="1:29" ht="67.5" x14ac:dyDescent="0.25">
      <c r="A141" s="264"/>
      <c r="B141" s="217" t="s">
        <v>660</v>
      </c>
      <c r="C141" s="299"/>
      <c r="D141" s="219">
        <v>3049</v>
      </c>
      <c r="E141" s="219"/>
      <c r="F141" s="219"/>
      <c r="G141" s="219"/>
      <c r="H141" s="219"/>
      <c r="I141" s="219">
        <f t="shared" si="126"/>
        <v>3049</v>
      </c>
      <c r="J141" s="219">
        <v>3050</v>
      </c>
      <c r="K141" s="219"/>
      <c r="L141" s="219"/>
      <c r="M141" s="219"/>
      <c r="N141" s="219"/>
      <c r="O141" s="219">
        <f t="shared" si="138"/>
        <v>3050</v>
      </c>
      <c r="P141" s="219">
        <v>3050</v>
      </c>
      <c r="Q141" s="219"/>
      <c r="R141" s="219"/>
      <c r="S141" s="219"/>
      <c r="T141" s="219"/>
      <c r="U141" s="219">
        <f t="shared" si="109"/>
        <v>3050</v>
      </c>
      <c r="V141" s="218">
        <v>3050</v>
      </c>
      <c r="W141" s="218"/>
      <c r="X141" s="218"/>
      <c r="Y141" s="218"/>
      <c r="Z141" s="218"/>
      <c r="AA141" s="218">
        <f t="shared" si="111"/>
        <v>3050</v>
      </c>
      <c r="AB141" s="228">
        <f t="shared" si="104"/>
        <v>12199</v>
      </c>
      <c r="AC141" s="228">
        <f t="shared" si="105"/>
        <v>12199</v>
      </c>
    </row>
    <row r="142" spans="1:29" ht="36" customHeight="1" x14ac:dyDescent="0.25">
      <c r="A142" s="264"/>
      <c r="B142" s="217" t="s">
        <v>661</v>
      </c>
      <c r="C142" s="300"/>
      <c r="D142" s="219">
        <v>2086</v>
      </c>
      <c r="E142" s="219"/>
      <c r="F142" s="219"/>
      <c r="G142" s="219"/>
      <c r="H142" s="219"/>
      <c r="I142" s="219">
        <f t="shared" si="126"/>
        <v>2086</v>
      </c>
      <c r="J142" s="219">
        <v>2150</v>
      </c>
      <c r="K142" s="219"/>
      <c r="L142" s="219"/>
      <c r="M142" s="219"/>
      <c r="N142" s="219"/>
      <c r="O142" s="219">
        <f t="shared" si="138"/>
        <v>2150</v>
      </c>
      <c r="P142" s="219">
        <v>2150</v>
      </c>
      <c r="Q142" s="219"/>
      <c r="R142" s="219"/>
      <c r="S142" s="219"/>
      <c r="T142" s="219"/>
      <c r="U142" s="219">
        <f t="shared" si="109"/>
        <v>2150</v>
      </c>
      <c r="V142" s="218">
        <v>2150</v>
      </c>
      <c r="W142" s="218"/>
      <c r="X142" s="218"/>
      <c r="Y142" s="218"/>
      <c r="Z142" s="218"/>
      <c r="AA142" s="218">
        <f t="shared" si="111"/>
        <v>2150</v>
      </c>
      <c r="AB142" s="228">
        <f t="shared" ref="AB142:AB188" si="139">SUM(D142,J142,P142,V142)</f>
        <v>8536</v>
      </c>
      <c r="AC142" s="228">
        <f t="shared" ref="AC142:AC188" si="140">SUM(I142,O142,U142,AA142)</f>
        <v>8536</v>
      </c>
    </row>
    <row r="143" spans="1:29" ht="120" customHeight="1" x14ac:dyDescent="0.25">
      <c r="A143" s="246" t="s">
        <v>313</v>
      </c>
      <c r="B143" s="237"/>
      <c r="C143" s="309"/>
      <c r="D143" s="245">
        <f>D144+D154+D155+D159+D161+D164</f>
        <v>109836.66</v>
      </c>
      <c r="E143" s="245">
        <f>E144+E154+E155+E159+E161+E164</f>
        <v>38329.619999999995</v>
      </c>
      <c r="F143" s="245">
        <f>F144+F154+F155+F159+F161+F164</f>
        <v>0</v>
      </c>
      <c r="G143" s="245">
        <f>SUM(G144,G154,G155,G159,G161,G164)</f>
        <v>0</v>
      </c>
      <c r="H143" s="245">
        <f>H144+H154+H155+H159+H161+H164</f>
        <v>0</v>
      </c>
      <c r="I143" s="245">
        <f>I144+I154+I155+I159+I161+I164</f>
        <v>148166.28</v>
      </c>
      <c r="J143" s="245">
        <f>J144+J154+J155+J159+J161+J164</f>
        <v>349784.57</v>
      </c>
      <c r="K143" s="245">
        <f>K144+K154+K155+K159+K161+K164</f>
        <v>36165.43</v>
      </c>
      <c r="L143" s="245">
        <f>L144+L154+L155+L159+L161+L164</f>
        <v>0</v>
      </c>
      <c r="M143" s="245"/>
      <c r="N143" s="245">
        <f>N144+N154+N155+N159+N161+N164</f>
        <v>0</v>
      </c>
      <c r="O143" s="245">
        <f>O144+O154+O155+O159+O161+O164</f>
        <v>429400</v>
      </c>
      <c r="P143" s="245">
        <f>P144+P154+P155+P159+P161+P164</f>
        <v>106300.17</v>
      </c>
      <c r="Q143" s="245">
        <f>Q144+Q154+Q155+Q159+Q161+Q164</f>
        <v>26017.83</v>
      </c>
      <c r="R143" s="245">
        <f>R144+R154+R155+R159+R161+R164</f>
        <v>0</v>
      </c>
      <c r="S143" s="245"/>
      <c r="T143" s="245">
        <f>T144+T154+T155+T159+T161+T164</f>
        <v>0</v>
      </c>
      <c r="U143" s="245">
        <f>U144+U154+U155+U159+U161+U164</f>
        <v>163636</v>
      </c>
      <c r="V143" s="245">
        <f>V144+V154+V155+V159+V161+V164</f>
        <v>106438.82</v>
      </c>
      <c r="W143" s="245">
        <f>W144+W154+W155+W159+W161+W164</f>
        <v>26479.18</v>
      </c>
      <c r="X143" s="245">
        <f>X144+X154+X155+X159+X161+X164</f>
        <v>0</v>
      </c>
      <c r="Y143" s="245"/>
      <c r="Z143" s="245">
        <f>Z144+Z154+Z155+Z159+Z161+Z164</f>
        <v>0</v>
      </c>
      <c r="AA143" s="245">
        <f>AA144+AA154+AA155+AA159+AA161+AA164</f>
        <v>132918</v>
      </c>
      <c r="AB143" s="245">
        <f t="shared" si="139"/>
        <v>672360.22</v>
      </c>
      <c r="AC143" s="213">
        <f t="shared" si="140"/>
        <v>874120.28</v>
      </c>
    </row>
    <row r="144" spans="1:29" x14ac:dyDescent="0.25">
      <c r="A144" s="264" t="s">
        <v>306</v>
      </c>
      <c r="B144" s="214"/>
      <c r="C144" s="308"/>
      <c r="D144" s="216">
        <f>SUM(D145:D145)</f>
        <v>7646.66</v>
      </c>
      <c r="E144" s="216">
        <f>SUM(E145:E145)</f>
        <v>38329.619999999995</v>
      </c>
      <c r="F144" s="216">
        <f>SUM(F145:F145)</f>
        <v>0</v>
      </c>
      <c r="G144" s="216">
        <f>SUM(G145:G153)</f>
        <v>0</v>
      </c>
      <c r="H144" s="216">
        <f>SUM(H145:H145)</f>
        <v>0</v>
      </c>
      <c r="I144" s="216">
        <f>SUM(D144:H144)</f>
        <v>45976.28</v>
      </c>
      <c r="J144" s="216">
        <f>SUM(J145:J145)</f>
        <v>7284.57</v>
      </c>
      <c r="K144" s="216">
        <f>SUM(K145:K145)</f>
        <v>36165.43</v>
      </c>
      <c r="L144" s="216">
        <f>SUM(L145:L145)</f>
        <v>0</v>
      </c>
      <c r="M144" s="216"/>
      <c r="N144" s="216">
        <f>SUM(N145:N145)</f>
        <v>0</v>
      </c>
      <c r="O144" s="216">
        <f>SUM(O145:O153)</f>
        <v>86900</v>
      </c>
      <c r="P144" s="216">
        <f>SUM(P145:P145)</f>
        <v>5300.17</v>
      </c>
      <c r="Q144" s="216">
        <f>SUM(Q145:Q145)</f>
        <v>26017.83</v>
      </c>
      <c r="R144" s="216">
        <f>SUM(R145:R145)</f>
        <v>0</v>
      </c>
      <c r="S144" s="216"/>
      <c r="T144" s="216">
        <f>SUM(T145:T145)</f>
        <v>0</v>
      </c>
      <c r="U144" s="216">
        <f>SUM(U145:U153)</f>
        <v>62636</v>
      </c>
      <c r="V144" s="216">
        <f>SUM(V145:V145)</f>
        <v>5438.8200000000006</v>
      </c>
      <c r="W144" s="216">
        <f>SUM(W145:W145)</f>
        <v>26479.18</v>
      </c>
      <c r="X144" s="216">
        <f>SUM(X145:X145)</f>
        <v>0</v>
      </c>
      <c r="Y144" s="216"/>
      <c r="Z144" s="216">
        <f>SUM(Z145:Z145)</f>
        <v>0</v>
      </c>
      <c r="AA144" s="216">
        <f t="shared" si="111"/>
        <v>31918</v>
      </c>
      <c r="AB144" s="216">
        <f t="shared" si="139"/>
        <v>25670.22</v>
      </c>
      <c r="AC144" s="216">
        <f t="shared" si="140"/>
        <v>227430.28</v>
      </c>
    </row>
    <row r="145" spans="1:114" ht="175.5" customHeight="1" x14ac:dyDescent="0.25">
      <c r="A145" s="264"/>
      <c r="B145" s="217" t="s">
        <v>692</v>
      </c>
      <c r="C145" s="298" t="s">
        <v>723</v>
      </c>
      <c r="D145" s="219">
        <f>SUM(D146:D153)</f>
        <v>7646.66</v>
      </c>
      <c r="E145" s="219">
        <f>SUM(E146:E153)</f>
        <v>38329.619999999995</v>
      </c>
      <c r="F145" s="219">
        <f>SUM(F146:F153)</f>
        <v>0</v>
      </c>
      <c r="G145" s="219"/>
      <c r="H145" s="219">
        <f>SUM(H146:H153)</f>
        <v>0</v>
      </c>
      <c r="I145" s="219">
        <f>SUM(D145:H145)</f>
        <v>45976.28</v>
      </c>
      <c r="J145" s="219">
        <f>SUM(J146:J153)</f>
        <v>7284.57</v>
      </c>
      <c r="K145" s="219">
        <f>SUM(K146:K153)</f>
        <v>36165.43</v>
      </c>
      <c r="L145" s="219">
        <f>SUM(L146:L153)</f>
        <v>0</v>
      </c>
      <c r="M145" s="219"/>
      <c r="N145" s="219">
        <f>SUM(N146:N153)</f>
        <v>0</v>
      </c>
      <c r="O145" s="219">
        <f t="shared" si="138"/>
        <v>43450</v>
      </c>
      <c r="P145" s="219">
        <f>SUM(P146:P153)</f>
        <v>5300.17</v>
      </c>
      <c r="Q145" s="219">
        <f>SUM(Q146:Q153)</f>
        <v>26017.83</v>
      </c>
      <c r="R145" s="219">
        <f>SUM(R146:R153)</f>
        <v>0</v>
      </c>
      <c r="S145" s="219"/>
      <c r="T145" s="219">
        <f>SUM(T146:T153)</f>
        <v>0</v>
      </c>
      <c r="U145" s="219">
        <f>SUM(P145:T145)</f>
        <v>31318</v>
      </c>
      <c r="V145" s="219">
        <f>SUM(V146:V153)</f>
        <v>5438.8200000000006</v>
      </c>
      <c r="W145" s="219">
        <f>SUM(W146:W153)</f>
        <v>26479.18</v>
      </c>
      <c r="X145" s="219">
        <f>SUM(X146:X153)</f>
        <v>0</v>
      </c>
      <c r="Y145" s="219"/>
      <c r="Z145" s="219">
        <f>SUM(Z146:Z153)</f>
        <v>0</v>
      </c>
      <c r="AA145" s="218">
        <f>SUM(V145:Z145)</f>
        <v>31918</v>
      </c>
      <c r="AB145" s="216">
        <f t="shared" si="139"/>
        <v>25670.22</v>
      </c>
      <c r="AC145" s="216">
        <f t="shared" si="140"/>
        <v>152662.28</v>
      </c>
    </row>
    <row r="146" spans="1:114" ht="22.5" x14ac:dyDescent="0.25">
      <c r="A146" s="264"/>
      <c r="B146" s="235" t="s">
        <v>687</v>
      </c>
      <c r="C146" s="299"/>
      <c r="D146" s="219"/>
      <c r="E146" s="219"/>
      <c r="F146" s="219"/>
      <c r="G146" s="219"/>
      <c r="H146" s="219"/>
      <c r="I146" s="219">
        <f t="shared" si="126"/>
        <v>0</v>
      </c>
      <c r="J146" s="219"/>
      <c r="K146" s="219"/>
      <c r="L146" s="219"/>
      <c r="M146" s="219"/>
      <c r="N146" s="219"/>
      <c r="O146" s="219">
        <f t="shared" si="138"/>
        <v>0</v>
      </c>
      <c r="P146" s="219"/>
      <c r="Q146" s="219"/>
      <c r="R146" s="219"/>
      <c r="S146" s="219"/>
      <c r="T146" s="219"/>
      <c r="U146" s="219">
        <f t="shared" ref="U146:U188" si="141">SUM(P146:T146)</f>
        <v>0</v>
      </c>
      <c r="V146" s="218"/>
      <c r="W146" s="218"/>
      <c r="X146" s="218"/>
      <c r="Y146" s="218"/>
      <c r="Z146" s="218"/>
      <c r="AA146" s="218">
        <f t="shared" ref="AA146:AA188" si="142">V146+W146+X146+Z146</f>
        <v>0</v>
      </c>
      <c r="AB146" s="216">
        <f t="shared" si="139"/>
        <v>0</v>
      </c>
      <c r="AC146" s="216">
        <f t="shared" si="140"/>
        <v>0</v>
      </c>
    </row>
    <row r="147" spans="1:114" ht="53.25" customHeight="1" x14ac:dyDescent="0.25">
      <c r="A147" s="264"/>
      <c r="B147" s="235" t="s">
        <v>688</v>
      </c>
      <c r="C147" s="299"/>
      <c r="D147" s="219"/>
      <c r="E147" s="219"/>
      <c r="F147" s="219"/>
      <c r="G147" s="219"/>
      <c r="H147" s="219"/>
      <c r="I147" s="219">
        <f t="shared" si="126"/>
        <v>0</v>
      </c>
      <c r="J147" s="219"/>
      <c r="K147" s="219"/>
      <c r="L147" s="219"/>
      <c r="M147" s="219"/>
      <c r="N147" s="219"/>
      <c r="O147" s="219">
        <f t="shared" si="138"/>
        <v>0</v>
      </c>
      <c r="P147" s="219"/>
      <c r="Q147" s="219"/>
      <c r="R147" s="219"/>
      <c r="S147" s="219"/>
      <c r="T147" s="219"/>
      <c r="U147" s="219">
        <f t="shared" si="141"/>
        <v>0</v>
      </c>
      <c r="V147" s="218"/>
      <c r="W147" s="218"/>
      <c r="X147" s="218"/>
      <c r="Y147" s="218"/>
      <c r="Z147" s="218"/>
      <c r="AA147" s="218">
        <f t="shared" si="142"/>
        <v>0</v>
      </c>
      <c r="AB147" s="216">
        <f t="shared" si="139"/>
        <v>0</v>
      </c>
      <c r="AC147" s="216">
        <f t="shared" si="140"/>
        <v>0</v>
      </c>
    </row>
    <row r="148" spans="1:114" ht="33.75" x14ac:dyDescent="0.25">
      <c r="A148" s="264"/>
      <c r="B148" s="235" t="s">
        <v>307</v>
      </c>
      <c r="C148" s="299"/>
      <c r="D148" s="219"/>
      <c r="E148" s="219"/>
      <c r="F148" s="219"/>
      <c r="G148" s="219"/>
      <c r="H148" s="219"/>
      <c r="I148" s="219">
        <f t="shared" si="126"/>
        <v>0</v>
      </c>
      <c r="J148" s="219"/>
      <c r="K148" s="219"/>
      <c r="L148" s="219"/>
      <c r="M148" s="219"/>
      <c r="N148" s="219"/>
      <c r="O148" s="219">
        <f t="shared" si="138"/>
        <v>0</v>
      </c>
      <c r="P148" s="219"/>
      <c r="Q148" s="219"/>
      <c r="R148" s="219"/>
      <c r="S148" s="219"/>
      <c r="T148" s="219"/>
      <c r="U148" s="219">
        <f t="shared" si="141"/>
        <v>0</v>
      </c>
      <c r="V148" s="218"/>
      <c r="W148" s="218"/>
      <c r="X148" s="218"/>
      <c r="Y148" s="218"/>
      <c r="Z148" s="218"/>
      <c r="AA148" s="218">
        <f t="shared" si="142"/>
        <v>0</v>
      </c>
      <c r="AB148" s="216">
        <f t="shared" si="139"/>
        <v>0</v>
      </c>
      <c r="AC148" s="216">
        <f t="shared" si="140"/>
        <v>0</v>
      </c>
    </row>
    <row r="149" spans="1:114" ht="33.75" x14ac:dyDescent="0.25">
      <c r="A149" s="264"/>
      <c r="B149" s="217" t="s">
        <v>308</v>
      </c>
      <c r="C149" s="299"/>
      <c r="D149" s="219">
        <v>752.78</v>
      </c>
      <c r="E149" s="219">
        <v>135.5</v>
      </c>
      <c r="F149" s="219"/>
      <c r="G149" s="219"/>
      <c r="H149" s="219"/>
      <c r="I149" s="219">
        <f>SUM(D149:H149)</f>
        <v>888.28</v>
      </c>
      <c r="J149" s="219"/>
      <c r="K149" s="219"/>
      <c r="L149" s="219"/>
      <c r="M149" s="219"/>
      <c r="N149" s="219"/>
      <c r="O149" s="219">
        <f t="shared" si="138"/>
        <v>0</v>
      </c>
      <c r="P149" s="219"/>
      <c r="Q149" s="219"/>
      <c r="R149" s="219"/>
      <c r="S149" s="219"/>
      <c r="T149" s="219"/>
      <c r="U149" s="219">
        <f t="shared" si="141"/>
        <v>0</v>
      </c>
      <c r="V149" s="218"/>
      <c r="W149" s="218"/>
      <c r="X149" s="218"/>
      <c r="Y149" s="218"/>
      <c r="Z149" s="218"/>
      <c r="AA149" s="218">
        <f t="shared" si="142"/>
        <v>0</v>
      </c>
      <c r="AB149" s="216">
        <f t="shared" si="139"/>
        <v>752.78</v>
      </c>
      <c r="AC149" s="216">
        <f t="shared" si="140"/>
        <v>888.28</v>
      </c>
    </row>
    <row r="150" spans="1:114" x14ac:dyDescent="0.25">
      <c r="A150" s="264"/>
      <c r="B150" s="217" t="s">
        <v>309</v>
      </c>
      <c r="C150" s="299"/>
      <c r="D150" s="219"/>
      <c r="E150" s="219"/>
      <c r="F150" s="219"/>
      <c r="G150" s="219"/>
      <c r="H150" s="219"/>
      <c r="I150" s="219">
        <f t="shared" ref="I150:I153" si="143">SUM(D150:H150)</f>
        <v>0</v>
      </c>
      <c r="J150" s="219"/>
      <c r="K150" s="219"/>
      <c r="L150" s="219"/>
      <c r="M150" s="219"/>
      <c r="N150" s="219"/>
      <c r="O150" s="219">
        <f t="shared" si="138"/>
        <v>0</v>
      </c>
      <c r="P150" s="219"/>
      <c r="Q150" s="219"/>
      <c r="R150" s="219"/>
      <c r="S150" s="219"/>
      <c r="T150" s="219"/>
      <c r="U150" s="219">
        <f t="shared" si="141"/>
        <v>0</v>
      </c>
      <c r="V150" s="218"/>
      <c r="W150" s="218"/>
      <c r="X150" s="218"/>
      <c r="Y150" s="218"/>
      <c r="Z150" s="218"/>
      <c r="AA150" s="218">
        <f t="shared" si="142"/>
        <v>0</v>
      </c>
      <c r="AB150" s="216">
        <f t="shared" si="139"/>
        <v>0</v>
      </c>
      <c r="AC150" s="216">
        <f t="shared" si="140"/>
        <v>0</v>
      </c>
    </row>
    <row r="151" spans="1:114" ht="45" x14ac:dyDescent="0.25">
      <c r="A151" s="264"/>
      <c r="B151" s="217" t="s">
        <v>310</v>
      </c>
      <c r="C151" s="299"/>
      <c r="D151" s="219">
        <v>158.94999999999999</v>
      </c>
      <c r="E151" s="219">
        <v>883.05</v>
      </c>
      <c r="F151" s="219"/>
      <c r="G151" s="219"/>
      <c r="H151" s="219"/>
      <c r="I151" s="219">
        <f t="shared" si="143"/>
        <v>1042</v>
      </c>
      <c r="J151" s="219">
        <v>183.05</v>
      </c>
      <c r="K151" s="219">
        <v>1016.95</v>
      </c>
      <c r="L151" s="219"/>
      <c r="M151" s="219"/>
      <c r="N151" s="219"/>
      <c r="O151" s="219">
        <f t="shared" si="138"/>
        <v>1200</v>
      </c>
      <c r="P151" s="219">
        <v>175.42</v>
      </c>
      <c r="Q151" s="219">
        <v>974.58</v>
      </c>
      <c r="R151" s="219"/>
      <c r="S151" s="219"/>
      <c r="T151" s="219"/>
      <c r="U151" s="219">
        <f t="shared" si="141"/>
        <v>1150</v>
      </c>
      <c r="V151" s="218">
        <v>167.8</v>
      </c>
      <c r="W151" s="218">
        <v>932.2</v>
      </c>
      <c r="X151" s="218"/>
      <c r="Y151" s="218"/>
      <c r="Z151" s="218"/>
      <c r="AA151" s="218">
        <f t="shared" si="142"/>
        <v>1100</v>
      </c>
      <c r="AB151" s="216">
        <f t="shared" si="139"/>
        <v>685.22</v>
      </c>
      <c r="AC151" s="216">
        <f t="shared" si="140"/>
        <v>4492</v>
      </c>
    </row>
    <row r="152" spans="1:114" ht="33.75" x14ac:dyDescent="0.25">
      <c r="A152" s="264"/>
      <c r="B152" s="217" t="s">
        <v>311</v>
      </c>
      <c r="C152" s="299"/>
      <c r="D152" s="219">
        <v>1900</v>
      </c>
      <c r="E152" s="219">
        <v>13600</v>
      </c>
      <c r="F152" s="219"/>
      <c r="G152" s="219"/>
      <c r="H152" s="219"/>
      <c r="I152" s="219">
        <f t="shared" si="143"/>
        <v>15500</v>
      </c>
      <c r="J152" s="219">
        <v>1983.05</v>
      </c>
      <c r="K152" s="219">
        <v>11016.95</v>
      </c>
      <c r="L152" s="219"/>
      <c r="M152" s="219"/>
      <c r="N152" s="219"/>
      <c r="O152" s="219">
        <f t="shared" si="138"/>
        <v>13000</v>
      </c>
      <c r="P152" s="219">
        <v>0</v>
      </c>
      <c r="Q152" s="219"/>
      <c r="R152" s="219"/>
      <c r="S152" s="219"/>
      <c r="T152" s="219"/>
      <c r="U152" s="219">
        <f t="shared" si="141"/>
        <v>0</v>
      </c>
      <c r="V152" s="218">
        <v>0</v>
      </c>
      <c r="W152" s="218"/>
      <c r="X152" s="218"/>
      <c r="Y152" s="218"/>
      <c r="Z152" s="218"/>
      <c r="AA152" s="218">
        <f t="shared" si="142"/>
        <v>0</v>
      </c>
      <c r="AB152" s="216">
        <f t="shared" si="139"/>
        <v>3883.05</v>
      </c>
      <c r="AC152" s="216">
        <f t="shared" si="140"/>
        <v>28500</v>
      </c>
    </row>
    <row r="153" spans="1:114" ht="48.75" customHeight="1" x14ac:dyDescent="0.25">
      <c r="A153" s="264"/>
      <c r="B153" s="217" t="s">
        <v>312</v>
      </c>
      <c r="C153" s="300"/>
      <c r="D153" s="219">
        <v>4834.93</v>
      </c>
      <c r="E153" s="219">
        <v>23711.07</v>
      </c>
      <c r="F153" s="219"/>
      <c r="G153" s="219"/>
      <c r="H153" s="219"/>
      <c r="I153" s="219">
        <f t="shared" si="143"/>
        <v>28546</v>
      </c>
      <c r="J153" s="219">
        <v>5118.47</v>
      </c>
      <c r="K153" s="219">
        <v>24131.53</v>
      </c>
      <c r="L153" s="219"/>
      <c r="M153" s="219"/>
      <c r="N153" s="219"/>
      <c r="O153" s="219">
        <f t="shared" si="138"/>
        <v>29250</v>
      </c>
      <c r="P153" s="219">
        <v>5124.75</v>
      </c>
      <c r="Q153" s="219">
        <v>25043.25</v>
      </c>
      <c r="R153" s="219"/>
      <c r="S153" s="219"/>
      <c r="T153" s="219"/>
      <c r="U153" s="219">
        <f t="shared" si="141"/>
        <v>30168</v>
      </c>
      <c r="V153" s="218">
        <v>5271.02</v>
      </c>
      <c r="W153" s="218">
        <v>25546.98</v>
      </c>
      <c r="X153" s="218"/>
      <c r="Y153" s="218"/>
      <c r="Z153" s="218"/>
      <c r="AA153" s="218">
        <f t="shared" si="142"/>
        <v>30818</v>
      </c>
      <c r="AB153" s="216">
        <f t="shared" si="139"/>
        <v>20349.170000000002</v>
      </c>
      <c r="AC153" s="216">
        <f t="shared" si="140"/>
        <v>118782</v>
      </c>
    </row>
    <row r="154" spans="1:114" ht="70.5" customHeight="1" x14ac:dyDescent="0.25">
      <c r="A154" s="262" t="s">
        <v>750</v>
      </c>
      <c r="B154" s="214"/>
      <c r="C154" s="308"/>
      <c r="D154" s="216"/>
      <c r="E154" s="216"/>
      <c r="F154" s="216"/>
      <c r="G154" s="216"/>
      <c r="H154" s="216"/>
      <c r="I154" s="216"/>
      <c r="J154" s="216"/>
      <c r="K154" s="216"/>
      <c r="L154" s="216"/>
      <c r="M154" s="216"/>
      <c r="N154" s="216"/>
      <c r="O154" s="216"/>
      <c r="P154" s="216"/>
      <c r="Q154" s="216"/>
      <c r="R154" s="216"/>
      <c r="S154" s="216"/>
      <c r="T154" s="216"/>
      <c r="U154" s="216"/>
      <c r="V154" s="216"/>
      <c r="W154" s="216"/>
      <c r="X154" s="216"/>
      <c r="Y154" s="216"/>
      <c r="Z154" s="216"/>
      <c r="AA154" s="216"/>
      <c r="AB154" s="216">
        <f t="shared" si="139"/>
        <v>0</v>
      </c>
      <c r="AC154" s="216">
        <f t="shared" si="140"/>
        <v>0</v>
      </c>
    </row>
    <row r="155" spans="1:114" ht="20.25" customHeight="1" x14ac:dyDescent="0.25">
      <c r="A155" s="264" t="s">
        <v>305</v>
      </c>
      <c r="B155" s="214"/>
      <c r="C155" s="308"/>
      <c r="D155" s="216">
        <f>SUM(D156:D158)</f>
        <v>99690</v>
      </c>
      <c r="E155" s="216">
        <f>SUM(E156:E158)</f>
        <v>0</v>
      </c>
      <c r="F155" s="216">
        <f>SUM(F156:F158)</f>
        <v>0</v>
      </c>
      <c r="G155" s="216">
        <f>SUM(G156:G158)</f>
        <v>0</v>
      </c>
      <c r="H155" s="216">
        <f>SUM(H156:H158)</f>
        <v>0</v>
      </c>
      <c r="I155" s="216">
        <f t="shared" si="126"/>
        <v>99690</v>
      </c>
      <c r="J155" s="216">
        <f>SUM(J156:J158)</f>
        <v>98500</v>
      </c>
      <c r="K155" s="216">
        <f>SUM(K156:K158)</f>
        <v>0</v>
      </c>
      <c r="L155" s="216">
        <f>SUM(L156:L158)</f>
        <v>0</v>
      </c>
      <c r="M155" s="216"/>
      <c r="N155" s="216">
        <f>SUM(N156:N158)</f>
        <v>0</v>
      </c>
      <c r="O155" s="216">
        <f t="shared" si="138"/>
        <v>98500</v>
      </c>
      <c r="P155" s="216">
        <f>SUM(P156:P158)</f>
        <v>98500</v>
      </c>
      <c r="Q155" s="216">
        <f>SUM(Q156:Q158)</f>
        <v>0</v>
      </c>
      <c r="R155" s="216">
        <f>SUM(R156:R158)</f>
        <v>0</v>
      </c>
      <c r="S155" s="216"/>
      <c r="T155" s="216">
        <f>SUM(T156:T158)</f>
        <v>0</v>
      </c>
      <c r="U155" s="216">
        <f t="shared" si="141"/>
        <v>98500</v>
      </c>
      <c r="V155" s="216">
        <f>SUM(V156:V158)</f>
        <v>98500</v>
      </c>
      <c r="W155" s="216">
        <f>SUM(W156:W158)</f>
        <v>0</v>
      </c>
      <c r="X155" s="216">
        <f>SUM(X156:X158)</f>
        <v>0</v>
      </c>
      <c r="Y155" s="216"/>
      <c r="Z155" s="216">
        <f>SUM(Z156:Z158)</f>
        <v>0</v>
      </c>
      <c r="AA155" s="216">
        <f t="shared" si="142"/>
        <v>98500</v>
      </c>
      <c r="AB155" s="216">
        <f t="shared" si="139"/>
        <v>395190</v>
      </c>
      <c r="AC155" s="216">
        <f t="shared" si="140"/>
        <v>395190</v>
      </c>
    </row>
    <row r="156" spans="1:114" ht="48" customHeight="1" x14ac:dyDescent="0.25">
      <c r="A156" s="264"/>
      <c r="B156" s="217" t="s">
        <v>662</v>
      </c>
      <c r="C156" s="298" t="s">
        <v>742</v>
      </c>
      <c r="D156" s="219">
        <v>70000</v>
      </c>
      <c r="E156" s="219"/>
      <c r="F156" s="219"/>
      <c r="G156" s="219"/>
      <c r="H156" s="219"/>
      <c r="I156" s="219">
        <f t="shared" si="126"/>
        <v>70000</v>
      </c>
      <c r="J156" s="219">
        <v>70000</v>
      </c>
      <c r="K156" s="219"/>
      <c r="L156" s="219"/>
      <c r="M156" s="219"/>
      <c r="N156" s="219"/>
      <c r="O156" s="219">
        <f t="shared" si="138"/>
        <v>70000</v>
      </c>
      <c r="P156" s="219">
        <v>70000</v>
      </c>
      <c r="Q156" s="219"/>
      <c r="R156" s="219"/>
      <c r="S156" s="219"/>
      <c r="T156" s="219"/>
      <c r="U156" s="219">
        <f t="shared" si="141"/>
        <v>70000</v>
      </c>
      <c r="V156" s="218">
        <v>70000</v>
      </c>
      <c r="W156" s="218"/>
      <c r="X156" s="218"/>
      <c r="Y156" s="218"/>
      <c r="Z156" s="218"/>
      <c r="AA156" s="218">
        <f t="shared" si="142"/>
        <v>70000</v>
      </c>
      <c r="AB156" s="216">
        <f t="shared" si="139"/>
        <v>280000</v>
      </c>
      <c r="AC156" s="216">
        <f t="shared" si="140"/>
        <v>280000</v>
      </c>
    </row>
    <row r="157" spans="1:114" ht="67.5" x14ac:dyDescent="0.25">
      <c r="A157" s="264"/>
      <c r="B157" s="217" t="s">
        <v>663</v>
      </c>
      <c r="C157" s="299"/>
      <c r="D157" s="219">
        <f>10000+10500+1190</f>
        <v>21690</v>
      </c>
      <c r="E157" s="219"/>
      <c r="F157" s="219"/>
      <c r="G157" s="219"/>
      <c r="H157" s="219"/>
      <c r="I157" s="219">
        <f t="shared" si="126"/>
        <v>21690</v>
      </c>
      <c r="J157" s="219">
        <v>20500</v>
      </c>
      <c r="K157" s="219"/>
      <c r="L157" s="219"/>
      <c r="M157" s="219"/>
      <c r="N157" s="219"/>
      <c r="O157" s="219">
        <f t="shared" si="138"/>
        <v>20500</v>
      </c>
      <c r="P157" s="219">
        <v>20500</v>
      </c>
      <c r="Q157" s="219"/>
      <c r="R157" s="219"/>
      <c r="S157" s="219"/>
      <c r="T157" s="219"/>
      <c r="U157" s="219">
        <f t="shared" si="141"/>
        <v>20500</v>
      </c>
      <c r="V157" s="218">
        <v>20500</v>
      </c>
      <c r="W157" s="218"/>
      <c r="X157" s="218"/>
      <c r="Y157" s="218"/>
      <c r="Z157" s="218"/>
      <c r="AA157" s="218">
        <f t="shared" si="142"/>
        <v>20500</v>
      </c>
      <c r="AB157" s="216">
        <f t="shared" si="139"/>
        <v>83190</v>
      </c>
      <c r="AC157" s="216">
        <f t="shared" si="140"/>
        <v>83190</v>
      </c>
    </row>
    <row r="158" spans="1:114" ht="120" customHeight="1" x14ac:dyDescent="0.25">
      <c r="A158" s="264"/>
      <c r="B158" s="217" t="s">
        <v>664</v>
      </c>
      <c r="C158" s="300"/>
      <c r="D158" s="219">
        <v>8000</v>
      </c>
      <c r="E158" s="219"/>
      <c r="F158" s="219"/>
      <c r="G158" s="219"/>
      <c r="H158" s="219"/>
      <c r="I158" s="219">
        <f t="shared" si="126"/>
        <v>8000</v>
      </c>
      <c r="J158" s="219">
        <v>8000</v>
      </c>
      <c r="K158" s="219"/>
      <c r="L158" s="219"/>
      <c r="M158" s="219"/>
      <c r="N158" s="219"/>
      <c r="O158" s="219">
        <f t="shared" si="138"/>
        <v>8000</v>
      </c>
      <c r="P158" s="219">
        <v>8000</v>
      </c>
      <c r="Q158" s="219"/>
      <c r="R158" s="219"/>
      <c r="S158" s="219"/>
      <c r="T158" s="219"/>
      <c r="U158" s="219">
        <f t="shared" si="141"/>
        <v>8000</v>
      </c>
      <c r="V158" s="218">
        <v>8000</v>
      </c>
      <c r="W158" s="218"/>
      <c r="X158" s="218"/>
      <c r="Y158" s="218"/>
      <c r="Z158" s="218"/>
      <c r="AA158" s="218">
        <f t="shared" si="142"/>
        <v>8000</v>
      </c>
      <c r="AB158" s="216">
        <f t="shared" si="139"/>
        <v>32000</v>
      </c>
      <c r="AC158" s="216">
        <f t="shared" si="140"/>
        <v>32000</v>
      </c>
      <c r="AD158" s="206"/>
      <c r="AE158" s="206"/>
      <c r="AF158" s="206"/>
      <c r="AG158" s="206"/>
      <c r="AH158" s="206"/>
      <c r="AI158" s="206"/>
      <c r="AJ158" s="206"/>
      <c r="AK158" s="206"/>
      <c r="AL158" s="206"/>
      <c r="AM158" s="206"/>
      <c r="AN158" s="206"/>
      <c r="AO158" s="206"/>
      <c r="AP158" s="206"/>
      <c r="AQ158" s="206"/>
      <c r="AR158" s="206"/>
      <c r="AS158" s="206"/>
      <c r="AT158" s="206"/>
      <c r="AU158" s="206"/>
      <c r="AV158" s="206"/>
      <c r="AW158" s="206"/>
      <c r="AX158" s="206"/>
      <c r="AY158" s="206"/>
      <c r="AZ158" s="206"/>
      <c r="BA158" s="206"/>
      <c r="BB158" s="206"/>
      <c r="BC158" s="206"/>
      <c r="BD158" s="206"/>
      <c r="BE158" s="206"/>
      <c r="BF158" s="206"/>
      <c r="BG158" s="206"/>
      <c r="BH158" s="206"/>
      <c r="BI158" s="206"/>
      <c r="BJ158" s="206"/>
      <c r="BK158" s="206"/>
      <c r="BL158" s="206"/>
      <c r="BM158" s="206"/>
      <c r="BN158" s="206"/>
      <c r="BO158" s="206"/>
      <c r="BP158" s="206"/>
      <c r="BQ158" s="206"/>
      <c r="BR158" s="206"/>
      <c r="BS158" s="206"/>
      <c r="BT158" s="206"/>
      <c r="BU158" s="206"/>
      <c r="BV158" s="206"/>
      <c r="BW158" s="206"/>
      <c r="BX158" s="206"/>
      <c r="BY158" s="206"/>
      <c r="BZ158" s="206"/>
      <c r="CA158" s="206"/>
      <c r="CB158" s="206"/>
      <c r="CC158" s="206"/>
      <c r="CD158" s="206"/>
      <c r="CE158" s="206"/>
      <c r="CF158" s="206"/>
      <c r="CG158" s="206"/>
      <c r="CH158" s="206"/>
      <c r="CI158" s="206"/>
      <c r="CJ158" s="206"/>
      <c r="CK158" s="206"/>
      <c r="CL158" s="206"/>
      <c r="CM158" s="206"/>
      <c r="CN158" s="206"/>
      <c r="CO158" s="206"/>
      <c r="CP158" s="206"/>
      <c r="CQ158" s="206"/>
      <c r="CR158" s="206"/>
      <c r="CS158" s="206"/>
      <c r="CT158" s="206"/>
      <c r="CU158" s="206"/>
      <c r="CV158" s="206"/>
      <c r="CW158" s="206"/>
      <c r="CX158" s="206"/>
      <c r="CY158" s="206"/>
      <c r="CZ158" s="206"/>
      <c r="DA158" s="206"/>
      <c r="DB158" s="206"/>
      <c r="DC158" s="206"/>
      <c r="DD158" s="206"/>
      <c r="DE158" s="206"/>
      <c r="DF158" s="206"/>
      <c r="DG158" s="206"/>
      <c r="DH158" s="206"/>
      <c r="DI158" s="206"/>
    </row>
    <row r="159" spans="1:114" s="76" customFormat="1" x14ac:dyDescent="0.25">
      <c r="A159" s="264" t="s">
        <v>304</v>
      </c>
      <c r="B159" s="214"/>
      <c r="C159" s="308"/>
      <c r="D159" s="216">
        <f>SUM(D160)</f>
        <v>2500</v>
      </c>
      <c r="E159" s="216">
        <f t="shared" ref="E159:H159" si="144">SUM(E160)</f>
        <v>0</v>
      </c>
      <c r="F159" s="216">
        <f t="shared" si="144"/>
        <v>0</v>
      </c>
      <c r="G159" s="216">
        <f>SUM(G160)</f>
        <v>0</v>
      </c>
      <c r="H159" s="216">
        <f t="shared" si="144"/>
        <v>0</v>
      </c>
      <c r="I159" s="216">
        <f t="shared" si="126"/>
        <v>2500</v>
      </c>
      <c r="J159" s="216">
        <f>SUM(J160)</f>
        <v>244000</v>
      </c>
      <c r="K159" s="216">
        <f t="shared" ref="K159:N159" si="145">SUM(K160)</f>
        <v>0</v>
      </c>
      <c r="L159" s="216">
        <f t="shared" si="145"/>
        <v>0</v>
      </c>
      <c r="M159" s="216"/>
      <c r="N159" s="216">
        <f t="shared" si="145"/>
        <v>0</v>
      </c>
      <c r="O159" s="216">
        <f t="shared" si="138"/>
        <v>244000</v>
      </c>
      <c r="P159" s="216">
        <f>SUM(P160:P160)</f>
        <v>2500</v>
      </c>
      <c r="Q159" s="216">
        <f>SUM(Q160:Q160)</f>
        <v>0</v>
      </c>
      <c r="R159" s="216">
        <f>SUM(R160:R160)</f>
        <v>0</v>
      </c>
      <c r="S159" s="216"/>
      <c r="T159" s="216">
        <f>SUM(T160:T160)</f>
        <v>0</v>
      </c>
      <c r="U159" s="216">
        <f t="shared" si="141"/>
        <v>2500</v>
      </c>
      <c r="V159" s="216">
        <f>SUM(V160)</f>
        <v>2500</v>
      </c>
      <c r="W159" s="216"/>
      <c r="X159" s="216"/>
      <c r="Y159" s="216"/>
      <c r="Z159" s="216"/>
      <c r="AA159" s="216">
        <f t="shared" si="142"/>
        <v>2500</v>
      </c>
      <c r="AB159" s="216">
        <f t="shared" si="139"/>
        <v>251500</v>
      </c>
      <c r="AC159" s="216">
        <f t="shared" si="140"/>
        <v>251500</v>
      </c>
      <c r="AD159" s="206"/>
      <c r="AE159" s="206"/>
      <c r="AF159" s="206"/>
      <c r="AG159" s="206"/>
      <c r="AH159" s="206"/>
      <c r="AI159" s="206"/>
      <c r="AJ159" s="206"/>
      <c r="AK159" s="206"/>
      <c r="AL159" s="206"/>
      <c r="AM159" s="206"/>
      <c r="AN159" s="206"/>
      <c r="AO159" s="206"/>
      <c r="AP159" s="206"/>
      <c r="AQ159" s="206"/>
      <c r="AR159" s="206"/>
      <c r="AS159" s="206"/>
      <c r="AT159" s="206"/>
      <c r="AU159" s="206"/>
      <c r="AV159" s="206"/>
      <c r="AW159" s="206"/>
      <c r="AX159" s="206"/>
      <c r="AY159" s="206"/>
      <c r="AZ159" s="206"/>
      <c r="BA159" s="206"/>
      <c r="BB159" s="206"/>
      <c r="BC159" s="206"/>
      <c r="BD159" s="206"/>
      <c r="BE159" s="206"/>
      <c r="BF159" s="206"/>
      <c r="BG159" s="206"/>
      <c r="BH159" s="206"/>
      <c r="BI159" s="206"/>
      <c r="BJ159" s="206"/>
      <c r="BK159" s="206"/>
      <c r="BL159" s="206"/>
      <c r="BM159" s="206"/>
      <c r="BN159" s="206"/>
      <c r="BO159" s="206"/>
      <c r="BP159" s="206"/>
      <c r="BQ159" s="206"/>
      <c r="BR159" s="206"/>
      <c r="BS159" s="206"/>
      <c r="BT159" s="206"/>
      <c r="BU159" s="206"/>
      <c r="BV159" s="206"/>
      <c r="BW159" s="206"/>
      <c r="BX159" s="206"/>
      <c r="BY159" s="206"/>
      <c r="BZ159" s="206"/>
      <c r="CA159" s="206"/>
      <c r="CB159" s="206"/>
      <c r="CC159" s="206"/>
      <c r="CD159" s="206"/>
      <c r="CE159" s="206"/>
      <c r="CF159" s="206"/>
      <c r="CG159" s="206"/>
      <c r="CH159" s="206"/>
      <c r="CI159" s="206"/>
      <c r="CJ159" s="206"/>
      <c r="CK159" s="206"/>
      <c r="CL159" s="206"/>
      <c r="CM159" s="206"/>
      <c r="CN159" s="206"/>
      <c r="CO159" s="206"/>
      <c r="CP159" s="206"/>
      <c r="CQ159" s="206"/>
      <c r="CR159" s="206"/>
      <c r="CS159" s="206"/>
      <c r="CT159" s="206"/>
      <c r="CU159" s="206"/>
      <c r="CV159" s="206"/>
      <c r="CW159" s="206"/>
      <c r="CX159" s="206"/>
      <c r="CY159" s="206"/>
      <c r="CZ159" s="206"/>
      <c r="DA159" s="206"/>
      <c r="DB159" s="206"/>
      <c r="DC159" s="206"/>
      <c r="DD159" s="206"/>
      <c r="DE159" s="206"/>
      <c r="DF159" s="206"/>
      <c r="DG159" s="206"/>
      <c r="DH159" s="206"/>
      <c r="DI159" s="206"/>
      <c r="DJ159" s="77"/>
    </row>
    <row r="160" spans="1:114" ht="169.5" customHeight="1" x14ac:dyDescent="0.25">
      <c r="A160" s="264"/>
      <c r="B160" s="217" t="s">
        <v>665</v>
      </c>
      <c r="C160" s="317" t="s">
        <v>724</v>
      </c>
      <c r="D160" s="219">
        <v>2500</v>
      </c>
      <c r="E160" s="219"/>
      <c r="F160" s="219"/>
      <c r="G160" s="219"/>
      <c r="H160" s="219"/>
      <c r="I160" s="219">
        <f t="shared" si="126"/>
        <v>2500</v>
      </c>
      <c r="J160" s="219">
        <v>244000</v>
      </c>
      <c r="K160" s="219"/>
      <c r="L160" s="219"/>
      <c r="M160" s="219"/>
      <c r="N160" s="219"/>
      <c r="O160" s="219">
        <f t="shared" si="138"/>
        <v>244000</v>
      </c>
      <c r="P160" s="219">
        <v>2500</v>
      </c>
      <c r="Q160" s="219"/>
      <c r="R160" s="219"/>
      <c r="S160" s="219"/>
      <c r="T160" s="219"/>
      <c r="U160" s="219">
        <f t="shared" si="141"/>
        <v>2500</v>
      </c>
      <c r="V160" s="218">
        <v>2500</v>
      </c>
      <c r="W160" s="218"/>
      <c r="X160" s="218"/>
      <c r="Y160" s="218"/>
      <c r="Z160" s="218"/>
      <c r="AA160" s="218">
        <f t="shared" si="142"/>
        <v>2500</v>
      </c>
      <c r="AB160" s="216">
        <f t="shared" si="139"/>
        <v>251500</v>
      </c>
      <c r="AC160" s="216">
        <f t="shared" si="140"/>
        <v>251500</v>
      </c>
    </row>
    <row r="161" spans="1:39" x14ac:dyDescent="0.25">
      <c r="A161" s="264" t="s">
        <v>303</v>
      </c>
      <c r="B161" s="214"/>
      <c r="C161" s="311"/>
      <c r="D161" s="216">
        <f>SUM(D162:D163)</f>
        <v>0</v>
      </c>
      <c r="E161" s="216">
        <f>SUM(E162:E163)</f>
        <v>0</v>
      </c>
      <c r="F161" s="216">
        <f>SUM(F162:F163)</f>
        <v>0</v>
      </c>
      <c r="G161" s="216">
        <f>SUM(G162:G163)</f>
        <v>0</v>
      </c>
      <c r="H161" s="216">
        <f>SUM(H162:H163)</f>
        <v>0</v>
      </c>
      <c r="I161" s="216">
        <f t="shared" si="126"/>
        <v>0</v>
      </c>
      <c r="J161" s="216">
        <f>SUM(J162:J163)</f>
        <v>0</v>
      </c>
      <c r="K161" s="216">
        <f>SUM(K162:K163)</f>
        <v>0</v>
      </c>
      <c r="L161" s="216">
        <f>SUM(L162:L163)</f>
        <v>0</v>
      </c>
      <c r="M161" s="216"/>
      <c r="N161" s="216">
        <f>SUM(N162:N163)</f>
        <v>0</v>
      </c>
      <c r="O161" s="216">
        <f t="shared" si="138"/>
        <v>0</v>
      </c>
      <c r="P161" s="216">
        <f>SUM(P162:P163)</f>
        <v>0</v>
      </c>
      <c r="Q161" s="216">
        <f>SUM(Q162:Q163)</f>
        <v>0</v>
      </c>
      <c r="R161" s="216">
        <f>SUM(R162:R163)</f>
        <v>0</v>
      </c>
      <c r="S161" s="216"/>
      <c r="T161" s="216">
        <f>SUM(T162:T163)</f>
        <v>0</v>
      </c>
      <c r="U161" s="216">
        <f>SUM(P161:T161)</f>
        <v>0</v>
      </c>
      <c r="V161" s="216">
        <f>SUM(V162:V163)</f>
        <v>0</v>
      </c>
      <c r="W161" s="216">
        <f>SUM(W162:W163)</f>
        <v>0</v>
      </c>
      <c r="X161" s="216">
        <f>SUM(X162:X163)</f>
        <v>0</v>
      </c>
      <c r="Y161" s="216"/>
      <c r="Z161" s="216">
        <f>SUM(Z162:Z163)</f>
        <v>0</v>
      </c>
      <c r="AA161" s="216">
        <f t="shared" si="142"/>
        <v>0</v>
      </c>
      <c r="AB161" s="216">
        <f t="shared" si="139"/>
        <v>0</v>
      </c>
      <c r="AC161" s="216">
        <f t="shared" si="140"/>
        <v>0</v>
      </c>
    </row>
    <row r="162" spans="1:39" ht="84" customHeight="1" x14ac:dyDescent="0.25">
      <c r="A162" s="264"/>
      <c r="B162" s="217" t="s">
        <v>751</v>
      </c>
      <c r="C162" s="319" t="s">
        <v>743</v>
      </c>
      <c r="D162" s="174"/>
      <c r="E162" s="223"/>
      <c r="F162" s="223"/>
      <c r="G162" s="223"/>
      <c r="H162" s="223"/>
      <c r="I162" s="223"/>
      <c r="J162" s="223"/>
      <c r="K162" s="223"/>
      <c r="L162" s="223"/>
      <c r="M162" s="223"/>
      <c r="N162" s="223"/>
      <c r="O162" s="223"/>
      <c r="P162" s="223"/>
      <c r="Q162" s="223"/>
      <c r="R162" s="223"/>
      <c r="S162" s="223"/>
      <c r="T162" s="223"/>
      <c r="U162" s="223"/>
      <c r="V162" s="222"/>
      <c r="W162" s="222"/>
      <c r="X162" s="222"/>
      <c r="Y162" s="222"/>
      <c r="Z162" s="222"/>
      <c r="AA162" s="222"/>
      <c r="AB162" s="216"/>
      <c r="AC162" s="216">
        <v>9000</v>
      </c>
      <c r="AD162" s="206"/>
      <c r="AE162" s="206"/>
      <c r="AF162" s="206"/>
      <c r="AG162" s="206"/>
      <c r="AH162" s="206"/>
      <c r="AI162" s="206"/>
      <c r="AJ162" s="206"/>
      <c r="AK162" s="207"/>
      <c r="AL162" s="207"/>
      <c r="AM162" s="206"/>
    </row>
    <row r="163" spans="1:39" ht="66" customHeight="1" x14ac:dyDescent="0.25">
      <c r="A163" s="264"/>
      <c r="B163" s="226" t="s">
        <v>693</v>
      </c>
      <c r="C163" s="319"/>
      <c r="D163" s="318"/>
      <c r="E163" s="223"/>
      <c r="F163" s="223"/>
      <c r="G163" s="223"/>
      <c r="H163" s="223"/>
      <c r="I163" s="223"/>
      <c r="J163" s="223"/>
      <c r="K163" s="223"/>
      <c r="L163" s="223"/>
      <c r="M163" s="223"/>
      <c r="N163" s="223"/>
      <c r="O163" s="223"/>
      <c r="P163" s="223"/>
      <c r="Q163" s="223"/>
      <c r="R163" s="223"/>
      <c r="S163" s="223"/>
      <c r="T163" s="223"/>
      <c r="U163" s="223"/>
      <c r="V163" s="222"/>
      <c r="W163" s="222"/>
      <c r="X163" s="222"/>
      <c r="Y163" s="222"/>
      <c r="Z163" s="222"/>
      <c r="AA163" s="222"/>
      <c r="AB163" s="216"/>
      <c r="AC163" s="216">
        <v>7200</v>
      </c>
      <c r="AK163" s="207"/>
      <c r="AL163" s="207"/>
      <c r="AM163" s="206"/>
    </row>
    <row r="164" spans="1:39" x14ac:dyDescent="0.25">
      <c r="A164" s="264" t="s">
        <v>302</v>
      </c>
      <c r="B164" s="215"/>
      <c r="C164" s="308"/>
      <c r="D164" s="216">
        <f>SUM(D165:D166)</f>
        <v>0</v>
      </c>
      <c r="E164" s="216">
        <f t="shared" ref="E164:H164" si="146">SUM(E165:E166)</f>
        <v>0</v>
      </c>
      <c r="F164" s="216">
        <f t="shared" si="146"/>
        <v>0</v>
      </c>
      <c r="G164" s="216">
        <f>SUM(G165:G166)</f>
        <v>0</v>
      </c>
      <c r="H164" s="216">
        <f t="shared" si="146"/>
        <v>0</v>
      </c>
      <c r="I164" s="216">
        <f t="shared" si="126"/>
        <v>0</v>
      </c>
      <c r="J164" s="216">
        <f>SUM(J165:J166)</f>
        <v>0</v>
      </c>
      <c r="K164" s="216">
        <f t="shared" ref="K164:L164" si="147">SUM(K165:K166)</f>
        <v>0</v>
      </c>
      <c r="L164" s="216">
        <f t="shared" si="147"/>
        <v>0</v>
      </c>
      <c r="M164" s="216"/>
      <c r="N164" s="216"/>
      <c r="O164" s="216">
        <f t="shared" si="138"/>
        <v>0</v>
      </c>
      <c r="P164" s="216">
        <f>SUM(P165:P166)</f>
        <v>0</v>
      </c>
      <c r="Q164" s="216">
        <f t="shared" ref="Q164:T164" si="148">SUM(Q165:Q166)</f>
        <v>0</v>
      </c>
      <c r="R164" s="216">
        <f t="shared" si="148"/>
        <v>0</v>
      </c>
      <c r="S164" s="216"/>
      <c r="T164" s="216">
        <f t="shared" si="148"/>
        <v>0</v>
      </c>
      <c r="U164" s="216">
        <f t="shared" si="141"/>
        <v>0</v>
      </c>
      <c r="V164" s="216">
        <f>SUM(V165:V166)</f>
        <v>0</v>
      </c>
      <c r="W164" s="216">
        <f t="shared" ref="W164:Z164" si="149">SUM(W165:W166)</f>
        <v>0</v>
      </c>
      <c r="X164" s="216">
        <f t="shared" si="149"/>
        <v>0</v>
      </c>
      <c r="Y164" s="216"/>
      <c r="Z164" s="216">
        <f t="shared" si="149"/>
        <v>0</v>
      </c>
      <c r="AA164" s="216">
        <f t="shared" si="142"/>
        <v>0</v>
      </c>
      <c r="AB164" s="216">
        <f t="shared" si="139"/>
        <v>0</v>
      </c>
      <c r="AC164" s="216">
        <f t="shared" si="140"/>
        <v>0</v>
      </c>
      <c r="AD164" s="206"/>
      <c r="AE164" s="206"/>
      <c r="AF164" s="206"/>
      <c r="AG164" s="206"/>
      <c r="AH164" s="206"/>
      <c r="AI164" s="206"/>
      <c r="AJ164" s="206"/>
    </row>
    <row r="165" spans="1:39" ht="128.25" customHeight="1" x14ac:dyDescent="0.25">
      <c r="A165" s="264"/>
      <c r="B165" s="217" t="s">
        <v>752</v>
      </c>
      <c r="C165" s="298" t="s">
        <v>725</v>
      </c>
      <c r="D165" s="219"/>
      <c r="E165" s="219"/>
      <c r="F165" s="219"/>
      <c r="G165" s="219"/>
      <c r="H165" s="219"/>
      <c r="I165" s="219">
        <f t="shared" si="126"/>
        <v>0</v>
      </c>
      <c r="J165" s="219"/>
      <c r="K165" s="219"/>
      <c r="L165" s="219"/>
      <c r="M165" s="219"/>
      <c r="N165" s="219"/>
      <c r="O165" s="219">
        <f t="shared" si="138"/>
        <v>0</v>
      </c>
      <c r="P165" s="219"/>
      <c r="Q165" s="219"/>
      <c r="R165" s="219"/>
      <c r="S165" s="219"/>
      <c r="T165" s="219"/>
      <c r="U165" s="219">
        <f t="shared" si="141"/>
        <v>0</v>
      </c>
      <c r="V165" s="218"/>
      <c r="W165" s="218"/>
      <c r="X165" s="218"/>
      <c r="Y165" s="218"/>
      <c r="Z165" s="218"/>
      <c r="AA165" s="218">
        <f t="shared" si="142"/>
        <v>0</v>
      </c>
      <c r="AB165" s="228">
        <f t="shared" si="139"/>
        <v>0</v>
      </c>
      <c r="AC165" s="228">
        <f t="shared" si="140"/>
        <v>0</v>
      </c>
    </row>
    <row r="166" spans="1:39" ht="108" customHeight="1" x14ac:dyDescent="0.25">
      <c r="A166" s="264"/>
      <c r="B166" s="217" t="s">
        <v>753</v>
      </c>
      <c r="C166" s="300"/>
      <c r="D166" s="219"/>
      <c r="E166" s="219"/>
      <c r="F166" s="219"/>
      <c r="G166" s="219"/>
      <c r="H166" s="219"/>
      <c r="I166" s="219">
        <f t="shared" si="126"/>
        <v>0</v>
      </c>
      <c r="J166" s="219"/>
      <c r="K166" s="219"/>
      <c r="L166" s="219"/>
      <c r="M166" s="219"/>
      <c r="N166" s="219"/>
      <c r="O166" s="219">
        <f t="shared" si="138"/>
        <v>0</v>
      </c>
      <c r="P166" s="219"/>
      <c r="Q166" s="219"/>
      <c r="R166" s="219"/>
      <c r="S166" s="219"/>
      <c r="T166" s="219"/>
      <c r="U166" s="219">
        <f t="shared" si="141"/>
        <v>0</v>
      </c>
      <c r="V166" s="218"/>
      <c r="W166" s="218"/>
      <c r="X166" s="218"/>
      <c r="Y166" s="218"/>
      <c r="Z166" s="218"/>
      <c r="AA166" s="218">
        <f t="shared" si="142"/>
        <v>0</v>
      </c>
      <c r="AB166" s="228">
        <f t="shared" si="139"/>
        <v>0</v>
      </c>
      <c r="AC166" s="228">
        <f t="shared" si="140"/>
        <v>0</v>
      </c>
      <c r="AD166" s="206"/>
      <c r="AE166" s="206"/>
      <c r="AF166" s="206"/>
      <c r="AG166" s="206"/>
      <c r="AH166" s="206"/>
      <c r="AI166" s="206"/>
      <c r="AJ166" s="206"/>
    </row>
    <row r="167" spans="1:39" ht="123.75" x14ac:dyDescent="0.25">
      <c r="A167" s="246" t="s">
        <v>297</v>
      </c>
      <c r="B167" s="237"/>
      <c r="C167" s="312"/>
      <c r="D167" s="245"/>
      <c r="E167" s="245"/>
      <c r="F167" s="245"/>
      <c r="G167" s="245"/>
      <c r="H167" s="245"/>
      <c r="I167" s="245"/>
      <c r="J167" s="245"/>
      <c r="K167" s="245"/>
      <c r="L167" s="245"/>
      <c r="M167" s="245"/>
      <c r="N167" s="245"/>
      <c r="O167" s="245"/>
      <c r="P167" s="245"/>
      <c r="Q167" s="245"/>
      <c r="R167" s="245"/>
      <c r="S167" s="245"/>
      <c r="T167" s="245"/>
      <c r="U167" s="245"/>
      <c r="V167" s="245"/>
      <c r="W167" s="245"/>
      <c r="X167" s="245"/>
      <c r="Y167" s="245"/>
      <c r="Z167" s="245"/>
      <c r="AA167" s="245"/>
      <c r="AB167" s="245">
        <f t="shared" si="139"/>
        <v>0</v>
      </c>
      <c r="AC167" s="213">
        <f t="shared" si="140"/>
        <v>0</v>
      </c>
      <c r="AD167" s="206"/>
      <c r="AE167" s="206"/>
      <c r="AF167" s="206"/>
      <c r="AG167" s="206"/>
      <c r="AH167" s="206"/>
      <c r="AI167" s="206"/>
      <c r="AJ167" s="206"/>
    </row>
    <row r="168" spans="1:39" x14ac:dyDescent="0.25">
      <c r="A168" s="264" t="s">
        <v>298</v>
      </c>
      <c r="B168" s="214"/>
      <c r="C168" s="302"/>
      <c r="D168" s="216"/>
      <c r="E168" s="216"/>
      <c r="F168" s="216"/>
      <c r="G168" s="216"/>
      <c r="H168" s="216"/>
      <c r="I168" s="216"/>
      <c r="J168" s="216"/>
      <c r="K168" s="216"/>
      <c r="L168" s="216"/>
      <c r="M168" s="216"/>
      <c r="N168" s="216"/>
      <c r="O168" s="216"/>
      <c r="P168" s="216"/>
      <c r="Q168" s="216"/>
      <c r="R168" s="216"/>
      <c r="S168" s="216"/>
      <c r="T168" s="216"/>
      <c r="U168" s="216"/>
      <c r="V168" s="216"/>
      <c r="W168" s="216"/>
      <c r="X168" s="216"/>
      <c r="Y168" s="216"/>
      <c r="Z168" s="216"/>
      <c r="AA168" s="216"/>
      <c r="AB168" s="216">
        <f t="shared" si="139"/>
        <v>0</v>
      </c>
      <c r="AC168" s="216">
        <f t="shared" si="140"/>
        <v>0</v>
      </c>
    </row>
    <row r="169" spans="1:39" ht="120.75" customHeight="1" x14ac:dyDescent="0.25">
      <c r="A169" s="264"/>
      <c r="B169" s="237" t="s">
        <v>694</v>
      </c>
      <c r="C169" s="298" t="s">
        <v>744</v>
      </c>
      <c r="D169" s="219"/>
      <c r="E169" s="219"/>
      <c r="F169" s="219"/>
      <c r="G169" s="219"/>
      <c r="H169" s="219"/>
      <c r="I169" s="219"/>
      <c r="J169" s="219"/>
      <c r="K169" s="219"/>
      <c r="L169" s="219"/>
      <c r="M169" s="219"/>
      <c r="N169" s="219"/>
      <c r="O169" s="219"/>
      <c r="P169" s="219"/>
      <c r="Q169" s="219"/>
      <c r="R169" s="219"/>
      <c r="S169" s="219"/>
      <c r="T169" s="219"/>
      <c r="U169" s="219"/>
      <c r="V169" s="218"/>
      <c r="W169" s="218"/>
      <c r="X169" s="218"/>
      <c r="Y169" s="218"/>
      <c r="Z169" s="218"/>
      <c r="AA169" s="218"/>
      <c r="AB169" s="216">
        <f t="shared" si="139"/>
        <v>0</v>
      </c>
      <c r="AC169" s="216">
        <f t="shared" si="140"/>
        <v>0</v>
      </c>
      <c r="AD169" s="206"/>
      <c r="AE169" s="206"/>
      <c r="AF169" s="206"/>
      <c r="AG169" s="206"/>
      <c r="AH169" s="206"/>
      <c r="AI169" s="206"/>
      <c r="AJ169" s="206"/>
    </row>
    <row r="170" spans="1:39" ht="126.75" customHeight="1" x14ac:dyDescent="0.25">
      <c r="A170" s="264"/>
      <c r="B170" s="217" t="s">
        <v>695</v>
      </c>
      <c r="C170" s="299"/>
      <c r="D170" s="219"/>
      <c r="E170" s="219"/>
      <c r="F170" s="219"/>
      <c r="G170" s="219"/>
      <c r="H170" s="219"/>
      <c r="I170" s="219"/>
      <c r="J170" s="219"/>
      <c r="K170" s="219"/>
      <c r="L170" s="219"/>
      <c r="M170" s="219"/>
      <c r="N170" s="219"/>
      <c r="O170" s="219"/>
      <c r="P170" s="219"/>
      <c r="Q170" s="219"/>
      <c r="R170" s="219"/>
      <c r="S170" s="219"/>
      <c r="T170" s="219"/>
      <c r="U170" s="219"/>
      <c r="V170" s="218"/>
      <c r="W170" s="218"/>
      <c r="X170" s="218"/>
      <c r="Y170" s="218"/>
      <c r="Z170" s="218"/>
      <c r="AA170" s="218"/>
      <c r="AB170" s="216">
        <f t="shared" si="139"/>
        <v>0</v>
      </c>
      <c r="AC170" s="216">
        <f t="shared" si="140"/>
        <v>0</v>
      </c>
      <c r="AD170" s="206"/>
      <c r="AE170" s="206"/>
      <c r="AF170" s="206"/>
      <c r="AG170" s="206"/>
      <c r="AH170" s="206"/>
      <c r="AI170" s="206"/>
      <c r="AJ170" s="206"/>
    </row>
    <row r="171" spans="1:39" ht="168.75" x14ac:dyDescent="0.25">
      <c r="A171" s="264"/>
      <c r="B171" s="217" t="s">
        <v>696</v>
      </c>
      <c r="C171" s="300"/>
      <c r="D171" s="219"/>
      <c r="E171" s="219"/>
      <c r="F171" s="219"/>
      <c r="G171" s="219"/>
      <c r="H171" s="219"/>
      <c r="I171" s="219"/>
      <c r="J171" s="219"/>
      <c r="K171" s="219"/>
      <c r="L171" s="219"/>
      <c r="M171" s="219"/>
      <c r="N171" s="219"/>
      <c r="O171" s="219"/>
      <c r="P171" s="219"/>
      <c r="Q171" s="219"/>
      <c r="R171" s="219"/>
      <c r="S171" s="219"/>
      <c r="T171" s="219"/>
      <c r="U171" s="219"/>
      <c r="V171" s="218"/>
      <c r="W171" s="218"/>
      <c r="X171" s="218"/>
      <c r="Y171" s="218"/>
      <c r="Z171" s="218"/>
      <c r="AA171" s="218"/>
      <c r="AB171" s="216">
        <f t="shared" si="139"/>
        <v>0</v>
      </c>
      <c r="AC171" s="216">
        <f t="shared" si="140"/>
        <v>0</v>
      </c>
    </row>
    <row r="172" spans="1:39" ht="208.5" customHeight="1" x14ac:dyDescent="0.25">
      <c r="A172" s="264"/>
      <c r="B172" s="217" t="s">
        <v>697</v>
      </c>
      <c r="C172" s="313"/>
      <c r="D172" s="219"/>
      <c r="E172" s="219"/>
      <c r="F172" s="219"/>
      <c r="G172" s="219"/>
      <c r="H172" s="219"/>
      <c r="I172" s="219"/>
      <c r="J172" s="219"/>
      <c r="K172" s="219"/>
      <c r="L172" s="219"/>
      <c r="M172" s="219"/>
      <c r="N172" s="219"/>
      <c r="O172" s="219"/>
      <c r="P172" s="219"/>
      <c r="Q172" s="219"/>
      <c r="R172" s="219"/>
      <c r="S172" s="219"/>
      <c r="T172" s="219"/>
      <c r="U172" s="219"/>
      <c r="V172" s="218"/>
      <c r="W172" s="218"/>
      <c r="X172" s="218"/>
      <c r="Y172" s="218"/>
      <c r="Z172" s="218"/>
      <c r="AA172" s="218"/>
      <c r="AB172" s="216">
        <f t="shared" si="139"/>
        <v>0</v>
      </c>
      <c r="AC172" s="216">
        <f t="shared" si="140"/>
        <v>0</v>
      </c>
      <c r="AD172" s="206"/>
      <c r="AE172" s="206"/>
      <c r="AF172" s="206"/>
      <c r="AG172" s="206"/>
      <c r="AH172" s="206"/>
      <c r="AI172" s="206"/>
      <c r="AJ172" s="206"/>
    </row>
    <row r="173" spans="1:39" x14ac:dyDescent="0.25">
      <c r="A173" s="264" t="s">
        <v>299</v>
      </c>
      <c r="B173" s="214"/>
      <c r="C173" s="302"/>
      <c r="D173" s="216"/>
      <c r="E173" s="216"/>
      <c r="F173" s="216"/>
      <c r="G173" s="216"/>
      <c r="H173" s="216"/>
      <c r="I173" s="216"/>
      <c r="J173" s="216"/>
      <c r="K173" s="216"/>
      <c r="L173" s="216"/>
      <c r="M173" s="216"/>
      <c r="N173" s="216"/>
      <c r="O173" s="216"/>
      <c r="P173" s="216"/>
      <c r="Q173" s="216"/>
      <c r="R173" s="216"/>
      <c r="S173" s="216"/>
      <c r="T173" s="216"/>
      <c r="U173" s="216"/>
      <c r="V173" s="216"/>
      <c r="W173" s="216"/>
      <c r="X173" s="216"/>
      <c r="Y173" s="216"/>
      <c r="Z173" s="216"/>
      <c r="AA173" s="216"/>
      <c r="AB173" s="216">
        <f t="shared" si="139"/>
        <v>0</v>
      </c>
      <c r="AC173" s="216">
        <f t="shared" si="140"/>
        <v>0</v>
      </c>
    </row>
    <row r="174" spans="1:39" ht="169.5" customHeight="1" x14ac:dyDescent="0.25">
      <c r="A174" s="264"/>
      <c r="B174" s="217" t="s">
        <v>698</v>
      </c>
      <c r="C174" s="298" t="s">
        <v>755</v>
      </c>
      <c r="D174" s="219"/>
      <c r="E174" s="219"/>
      <c r="F174" s="219"/>
      <c r="G174" s="219"/>
      <c r="H174" s="219"/>
      <c r="I174" s="219"/>
      <c r="J174" s="219"/>
      <c r="K174" s="219"/>
      <c r="L174" s="219"/>
      <c r="M174" s="219"/>
      <c r="N174" s="219"/>
      <c r="O174" s="219"/>
      <c r="P174" s="219"/>
      <c r="Q174" s="219"/>
      <c r="R174" s="219"/>
      <c r="S174" s="219"/>
      <c r="T174" s="219"/>
      <c r="U174" s="219"/>
      <c r="V174" s="218"/>
      <c r="W174" s="218"/>
      <c r="X174" s="218"/>
      <c r="Y174" s="218"/>
      <c r="Z174" s="218"/>
      <c r="AA174" s="218"/>
      <c r="AB174" s="216">
        <f t="shared" si="139"/>
        <v>0</v>
      </c>
      <c r="AC174" s="216">
        <f t="shared" si="140"/>
        <v>0</v>
      </c>
      <c r="AD174" s="206"/>
      <c r="AE174" s="206"/>
      <c r="AF174" s="206"/>
      <c r="AG174" s="206"/>
      <c r="AH174" s="206"/>
      <c r="AI174" s="206"/>
      <c r="AJ174" s="206"/>
    </row>
    <row r="175" spans="1:39" ht="243.75" customHeight="1" x14ac:dyDescent="0.25">
      <c r="A175" s="264"/>
      <c r="B175" s="217" t="s">
        <v>754</v>
      </c>
      <c r="C175" s="299"/>
      <c r="D175" s="219"/>
      <c r="E175" s="219"/>
      <c r="F175" s="223"/>
      <c r="G175" s="223"/>
      <c r="H175" s="223"/>
      <c r="I175" s="223"/>
      <c r="J175" s="223"/>
      <c r="K175" s="223"/>
      <c r="L175" s="223"/>
      <c r="M175" s="223"/>
      <c r="N175" s="223"/>
      <c r="O175" s="223"/>
      <c r="P175" s="223"/>
      <c r="Q175" s="223"/>
      <c r="R175" s="223"/>
      <c r="S175" s="223"/>
      <c r="T175" s="223"/>
      <c r="U175" s="223"/>
      <c r="V175" s="222"/>
      <c r="W175" s="222"/>
      <c r="X175" s="222"/>
      <c r="Y175" s="222"/>
      <c r="Z175" s="222"/>
      <c r="AA175" s="222"/>
      <c r="AB175" s="216">
        <f t="shared" si="139"/>
        <v>0</v>
      </c>
      <c r="AC175" s="216">
        <f t="shared" si="140"/>
        <v>0</v>
      </c>
    </row>
    <row r="176" spans="1:39" ht="157.5" x14ac:dyDescent="0.25">
      <c r="A176" s="264"/>
      <c r="B176" s="217" t="s">
        <v>699</v>
      </c>
      <c r="C176" s="300"/>
      <c r="D176" s="219"/>
      <c r="E176" s="219"/>
      <c r="F176" s="219"/>
      <c r="G176" s="219"/>
      <c r="H176" s="219"/>
      <c r="I176" s="219"/>
      <c r="J176" s="219"/>
      <c r="K176" s="219"/>
      <c r="L176" s="219"/>
      <c r="M176" s="219"/>
      <c r="N176" s="219"/>
      <c r="O176" s="219"/>
      <c r="P176" s="219"/>
      <c r="Q176" s="219"/>
      <c r="R176" s="219"/>
      <c r="S176" s="219"/>
      <c r="T176" s="219"/>
      <c r="U176" s="219"/>
      <c r="V176" s="218"/>
      <c r="W176" s="218"/>
      <c r="X176" s="218"/>
      <c r="Y176" s="218"/>
      <c r="Z176" s="218"/>
      <c r="AA176" s="218"/>
      <c r="AB176" s="216">
        <f t="shared" si="139"/>
        <v>0</v>
      </c>
      <c r="AC176" s="216">
        <f t="shared" si="140"/>
        <v>0</v>
      </c>
    </row>
    <row r="177" spans="1:113" x14ac:dyDescent="0.25">
      <c r="A177" s="264" t="s">
        <v>300</v>
      </c>
      <c r="B177" s="214"/>
      <c r="C177" s="314"/>
      <c r="D177" s="216"/>
      <c r="E177" s="216"/>
      <c r="F177" s="216"/>
      <c r="G177" s="216"/>
      <c r="H177" s="216"/>
      <c r="I177" s="216"/>
      <c r="J177" s="216"/>
      <c r="K177" s="216"/>
      <c r="L177" s="216"/>
      <c r="M177" s="216"/>
      <c r="N177" s="216"/>
      <c r="O177" s="216"/>
      <c r="P177" s="216"/>
      <c r="Q177" s="216"/>
      <c r="R177" s="216"/>
      <c r="S177" s="216"/>
      <c r="T177" s="216"/>
      <c r="U177" s="216"/>
      <c r="V177" s="216"/>
      <c r="W177" s="216"/>
      <c r="X177" s="216"/>
      <c r="Y177" s="216"/>
      <c r="Z177" s="216"/>
      <c r="AA177" s="216"/>
      <c r="AB177" s="216">
        <f t="shared" si="139"/>
        <v>0</v>
      </c>
      <c r="AC177" s="216">
        <f t="shared" si="140"/>
        <v>0</v>
      </c>
    </row>
    <row r="178" spans="1:113" ht="72" customHeight="1" x14ac:dyDescent="0.25">
      <c r="A178" s="264"/>
      <c r="B178" s="226" t="s">
        <v>700</v>
      </c>
      <c r="C178" s="298" t="s">
        <v>745</v>
      </c>
      <c r="D178" s="219"/>
      <c r="E178" s="219"/>
      <c r="F178" s="219"/>
      <c r="G178" s="219"/>
      <c r="H178" s="219"/>
      <c r="I178" s="219"/>
      <c r="J178" s="219"/>
      <c r="K178" s="219"/>
      <c r="L178" s="219"/>
      <c r="M178" s="219"/>
      <c r="N178" s="219"/>
      <c r="O178" s="219"/>
      <c r="P178" s="219"/>
      <c r="Q178" s="219"/>
      <c r="R178" s="219"/>
      <c r="S178" s="219"/>
      <c r="T178" s="219"/>
      <c r="U178" s="219"/>
      <c r="V178" s="218"/>
      <c r="W178" s="218"/>
      <c r="X178" s="218"/>
      <c r="Y178" s="218"/>
      <c r="Z178" s="218"/>
      <c r="AA178" s="218"/>
      <c r="AB178" s="216">
        <f t="shared" si="139"/>
        <v>0</v>
      </c>
      <c r="AC178" s="216">
        <f t="shared" si="140"/>
        <v>0</v>
      </c>
    </row>
    <row r="179" spans="1:113" ht="102.75" customHeight="1" x14ac:dyDescent="0.25">
      <c r="A179" s="264"/>
      <c r="B179" s="226" t="s">
        <v>701</v>
      </c>
      <c r="C179" s="299"/>
      <c r="D179" s="219"/>
      <c r="E179" s="219"/>
      <c r="F179" s="219"/>
      <c r="G179" s="219"/>
      <c r="H179" s="219"/>
      <c r="I179" s="219"/>
      <c r="J179" s="219"/>
      <c r="K179" s="219"/>
      <c r="L179" s="219"/>
      <c r="M179" s="219"/>
      <c r="N179" s="219"/>
      <c r="O179" s="219"/>
      <c r="P179" s="219"/>
      <c r="Q179" s="219"/>
      <c r="R179" s="219"/>
      <c r="S179" s="219"/>
      <c r="T179" s="219"/>
      <c r="U179" s="219"/>
      <c r="V179" s="218"/>
      <c r="W179" s="218"/>
      <c r="X179" s="218"/>
      <c r="Y179" s="218"/>
      <c r="Z179" s="218"/>
      <c r="AA179" s="218"/>
      <c r="AB179" s="216">
        <f t="shared" si="139"/>
        <v>0</v>
      </c>
      <c r="AC179" s="216">
        <f t="shared" si="140"/>
        <v>0</v>
      </c>
    </row>
    <row r="180" spans="1:113" ht="187.5" customHeight="1" x14ac:dyDescent="0.25">
      <c r="A180" s="264"/>
      <c r="B180" s="226" t="s">
        <v>702</v>
      </c>
      <c r="C180" s="300"/>
      <c r="D180" s="219"/>
      <c r="E180" s="219"/>
      <c r="F180" s="219"/>
      <c r="G180" s="219"/>
      <c r="H180" s="219"/>
      <c r="I180" s="219"/>
      <c r="J180" s="219"/>
      <c r="K180" s="219"/>
      <c r="L180" s="219"/>
      <c r="M180" s="219"/>
      <c r="N180" s="219"/>
      <c r="O180" s="219"/>
      <c r="P180" s="219"/>
      <c r="Q180" s="219"/>
      <c r="R180" s="219"/>
      <c r="S180" s="219"/>
      <c r="T180" s="219"/>
      <c r="U180" s="219"/>
      <c r="V180" s="218"/>
      <c r="W180" s="218"/>
      <c r="X180" s="218"/>
      <c r="Y180" s="218"/>
      <c r="Z180" s="218"/>
      <c r="AA180" s="218"/>
      <c r="AB180" s="216">
        <f t="shared" si="139"/>
        <v>0</v>
      </c>
      <c r="AC180" s="216">
        <f t="shared" si="140"/>
        <v>0</v>
      </c>
    </row>
    <row r="181" spans="1:113" x14ac:dyDescent="0.25">
      <c r="A181" s="264" t="s">
        <v>301</v>
      </c>
      <c r="B181" s="214"/>
      <c r="C181" s="302"/>
      <c r="D181" s="216"/>
      <c r="E181" s="216"/>
      <c r="F181" s="216"/>
      <c r="G181" s="216"/>
      <c r="H181" s="216"/>
      <c r="I181" s="216"/>
      <c r="J181" s="216"/>
      <c r="K181" s="216"/>
      <c r="L181" s="216"/>
      <c r="M181" s="216"/>
      <c r="N181" s="216"/>
      <c r="O181" s="216"/>
      <c r="P181" s="216"/>
      <c r="Q181" s="216"/>
      <c r="R181" s="216"/>
      <c r="S181" s="216"/>
      <c r="T181" s="216"/>
      <c r="U181" s="216"/>
      <c r="V181" s="216"/>
      <c r="W181" s="216"/>
      <c r="X181" s="216"/>
      <c r="Y181" s="216"/>
      <c r="Z181" s="216"/>
      <c r="AA181" s="216"/>
      <c r="AB181" s="216">
        <f t="shared" si="139"/>
        <v>0</v>
      </c>
      <c r="AC181" s="216">
        <f t="shared" si="140"/>
        <v>0</v>
      </c>
    </row>
    <row r="182" spans="1:113" ht="138" customHeight="1" x14ac:dyDescent="0.25">
      <c r="A182" s="264"/>
      <c r="B182" s="217" t="s">
        <v>703</v>
      </c>
      <c r="C182" s="298" t="s">
        <v>746</v>
      </c>
      <c r="D182" s="219"/>
      <c r="E182" s="219"/>
      <c r="F182" s="219"/>
      <c r="G182" s="219"/>
      <c r="H182" s="219"/>
      <c r="I182" s="219">
        <f t="shared" ref="I182:I188" si="150">SUM(D182:H182)</f>
        <v>0</v>
      </c>
      <c r="J182" s="219"/>
      <c r="K182" s="219"/>
      <c r="L182" s="219"/>
      <c r="M182" s="219"/>
      <c r="N182" s="219"/>
      <c r="O182" s="219">
        <f t="shared" si="138"/>
        <v>0</v>
      </c>
      <c r="P182" s="219"/>
      <c r="Q182" s="219"/>
      <c r="R182" s="219"/>
      <c r="S182" s="219"/>
      <c r="T182" s="219"/>
      <c r="U182" s="219">
        <f t="shared" si="141"/>
        <v>0</v>
      </c>
      <c r="V182" s="218"/>
      <c r="W182" s="218"/>
      <c r="X182" s="218"/>
      <c r="Y182" s="218"/>
      <c r="Z182" s="218"/>
      <c r="AA182" s="218">
        <f t="shared" si="142"/>
        <v>0</v>
      </c>
      <c r="AB182" s="216">
        <f t="shared" si="139"/>
        <v>0</v>
      </c>
      <c r="AC182" s="216">
        <f t="shared" si="140"/>
        <v>0</v>
      </c>
    </row>
    <row r="183" spans="1:113" ht="64.5" customHeight="1" x14ac:dyDescent="0.25">
      <c r="A183" s="264"/>
      <c r="B183" s="217" t="s">
        <v>296</v>
      </c>
      <c r="C183" s="299"/>
      <c r="D183" s="219"/>
      <c r="E183" s="219"/>
      <c r="F183" s="219"/>
      <c r="G183" s="219"/>
      <c r="H183" s="219"/>
      <c r="I183" s="219">
        <f t="shared" si="150"/>
        <v>0</v>
      </c>
      <c r="J183" s="219"/>
      <c r="K183" s="219"/>
      <c r="L183" s="219"/>
      <c r="M183" s="219"/>
      <c r="N183" s="219"/>
      <c r="O183" s="219">
        <f t="shared" si="138"/>
        <v>0</v>
      </c>
      <c r="P183" s="219"/>
      <c r="Q183" s="219"/>
      <c r="R183" s="219"/>
      <c r="S183" s="219"/>
      <c r="T183" s="219"/>
      <c r="U183" s="219">
        <f t="shared" si="141"/>
        <v>0</v>
      </c>
      <c r="V183" s="218"/>
      <c r="W183" s="218"/>
      <c r="X183" s="218"/>
      <c r="Y183" s="218"/>
      <c r="Z183" s="218"/>
      <c r="AA183" s="218">
        <f t="shared" si="142"/>
        <v>0</v>
      </c>
      <c r="AB183" s="216">
        <f t="shared" si="139"/>
        <v>0</v>
      </c>
      <c r="AC183" s="216">
        <f t="shared" si="140"/>
        <v>0</v>
      </c>
    </row>
    <row r="184" spans="1:113" ht="90" x14ac:dyDescent="0.25">
      <c r="A184" s="264"/>
      <c r="B184" s="217" t="s">
        <v>704</v>
      </c>
      <c r="C184" s="299"/>
      <c r="D184" s="219"/>
      <c r="E184" s="219"/>
      <c r="F184" s="219"/>
      <c r="G184" s="219"/>
      <c r="H184" s="219"/>
      <c r="I184" s="219">
        <f t="shared" si="150"/>
        <v>0</v>
      </c>
      <c r="J184" s="219"/>
      <c r="K184" s="219"/>
      <c r="L184" s="219"/>
      <c r="M184" s="219"/>
      <c r="N184" s="219"/>
      <c r="O184" s="219">
        <f t="shared" si="138"/>
        <v>0</v>
      </c>
      <c r="P184" s="219"/>
      <c r="Q184" s="219"/>
      <c r="R184" s="219"/>
      <c r="S184" s="219"/>
      <c r="T184" s="219"/>
      <c r="U184" s="219">
        <f t="shared" si="141"/>
        <v>0</v>
      </c>
      <c r="V184" s="218"/>
      <c r="W184" s="218"/>
      <c r="X184" s="218"/>
      <c r="Y184" s="218"/>
      <c r="Z184" s="218"/>
      <c r="AA184" s="218">
        <f t="shared" si="142"/>
        <v>0</v>
      </c>
      <c r="AB184" s="216">
        <f t="shared" si="139"/>
        <v>0</v>
      </c>
      <c r="AC184" s="216">
        <f t="shared" si="140"/>
        <v>0</v>
      </c>
    </row>
    <row r="185" spans="1:113" ht="52.5" customHeight="1" x14ac:dyDescent="0.25">
      <c r="A185" s="264"/>
      <c r="B185" s="217" t="s">
        <v>710</v>
      </c>
      <c r="C185" s="299"/>
      <c r="D185" s="219"/>
      <c r="E185" s="219"/>
      <c r="F185" s="219"/>
      <c r="G185" s="219"/>
      <c r="H185" s="219"/>
      <c r="I185" s="219">
        <f t="shared" si="150"/>
        <v>0</v>
      </c>
      <c r="J185" s="219"/>
      <c r="K185" s="219"/>
      <c r="L185" s="219"/>
      <c r="M185" s="219"/>
      <c r="N185" s="219"/>
      <c r="O185" s="219">
        <f t="shared" si="138"/>
        <v>0</v>
      </c>
      <c r="P185" s="219"/>
      <c r="Q185" s="219"/>
      <c r="R185" s="219"/>
      <c r="S185" s="219"/>
      <c r="T185" s="219"/>
      <c r="U185" s="219">
        <f t="shared" si="141"/>
        <v>0</v>
      </c>
      <c r="V185" s="218"/>
      <c r="W185" s="218"/>
      <c r="X185" s="218"/>
      <c r="Y185" s="218"/>
      <c r="Z185" s="218"/>
      <c r="AA185" s="218">
        <f t="shared" si="142"/>
        <v>0</v>
      </c>
      <c r="AB185" s="216">
        <f t="shared" si="139"/>
        <v>0</v>
      </c>
      <c r="AC185" s="216">
        <f t="shared" si="140"/>
        <v>0</v>
      </c>
    </row>
    <row r="186" spans="1:113" ht="81.75" customHeight="1" x14ac:dyDescent="0.25">
      <c r="A186" s="264"/>
      <c r="B186" s="217" t="s">
        <v>666</v>
      </c>
      <c r="C186" s="299"/>
      <c r="D186" s="219"/>
      <c r="E186" s="219"/>
      <c r="F186" s="219"/>
      <c r="G186" s="219"/>
      <c r="H186" s="219"/>
      <c r="I186" s="219">
        <f t="shared" si="150"/>
        <v>0</v>
      </c>
      <c r="J186" s="219"/>
      <c r="K186" s="219"/>
      <c r="L186" s="219"/>
      <c r="M186" s="219"/>
      <c r="N186" s="219"/>
      <c r="O186" s="219">
        <f t="shared" si="138"/>
        <v>0</v>
      </c>
      <c r="P186" s="219"/>
      <c r="Q186" s="219"/>
      <c r="R186" s="219"/>
      <c r="S186" s="219"/>
      <c r="T186" s="219"/>
      <c r="U186" s="219">
        <f t="shared" si="141"/>
        <v>0</v>
      </c>
      <c r="V186" s="218"/>
      <c r="W186" s="218"/>
      <c r="X186" s="218"/>
      <c r="Y186" s="218"/>
      <c r="Z186" s="218"/>
      <c r="AA186" s="218">
        <f t="shared" si="142"/>
        <v>0</v>
      </c>
      <c r="AB186" s="216">
        <f t="shared" si="139"/>
        <v>0</v>
      </c>
      <c r="AC186" s="216">
        <f t="shared" si="140"/>
        <v>0</v>
      </c>
    </row>
    <row r="187" spans="1:113" ht="67.5" x14ac:dyDescent="0.25">
      <c r="A187" s="264"/>
      <c r="B187" s="217" t="s">
        <v>705</v>
      </c>
      <c r="C187" s="299"/>
      <c r="D187" s="219"/>
      <c r="E187" s="219"/>
      <c r="F187" s="219"/>
      <c r="G187" s="219"/>
      <c r="H187" s="219"/>
      <c r="I187" s="219">
        <f t="shared" si="150"/>
        <v>0</v>
      </c>
      <c r="J187" s="219"/>
      <c r="K187" s="219"/>
      <c r="L187" s="219"/>
      <c r="M187" s="219"/>
      <c r="N187" s="219"/>
      <c r="O187" s="219">
        <f t="shared" ref="O187:O188" si="151">SUM(J187:N187)</f>
        <v>0</v>
      </c>
      <c r="P187" s="219"/>
      <c r="Q187" s="219"/>
      <c r="R187" s="219"/>
      <c r="S187" s="219"/>
      <c r="T187" s="219"/>
      <c r="U187" s="219">
        <f t="shared" si="141"/>
        <v>0</v>
      </c>
      <c r="V187" s="218"/>
      <c r="W187" s="218"/>
      <c r="X187" s="218"/>
      <c r="Y187" s="218"/>
      <c r="Z187" s="218"/>
      <c r="AA187" s="218">
        <f t="shared" si="142"/>
        <v>0</v>
      </c>
      <c r="AB187" s="216">
        <f t="shared" si="139"/>
        <v>0</v>
      </c>
      <c r="AC187" s="216">
        <f t="shared" si="140"/>
        <v>0</v>
      </c>
    </row>
    <row r="188" spans="1:113" ht="90" x14ac:dyDescent="0.25">
      <c r="A188" s="264"/>
      <c r="B188" s="217" t="s">
        <v>709</v>
      </c>
      <c r="C188" s="300"/>
      <c r="D188" s="219"/>
      <c r="E188" s="219"/>
      <c r="F188" s="219"/>
      <c r="G188" s="219"/>
      <c r="H188" s="219"/>
      <c r="I188" s="219">
        <f t="shared" si="150"/>
        <v>0</v>
      </c>
      <c r="J188" s="219"/>
      <c r="K188" s="219"/>
      <c r="L188" s="219"/>
      <c r="M188" s="219"/>
      <c r="N188" s="219"/>
      <c r="O188" s="219">
        <f t="shared" si="151"/>
        <v>0</v>
      </c>
      <c r="P188" s="219"/>
      <c r="Q188" s="219"/>
      <c r="R188" s="219"/>
      <c r="S188" s="219"/>
      <c r="T188" s="219"/>
      <c r="U188" s="219">
        <f t="shared" si="141"/>
        <v>0</v>
      </c>
      <c r="V188" s="218"/>
      <c r="W188" s="218"/>
      <c r="X188" s="218"/>
      <c r="Y188" s="218"/>
      <c r="Z188" s="218"/>
      <c r="AA188" s="218">
        <f t="shared" si="142"/>
        <v>0</v>
      </c>
      <c r="AB188" s="216">
        <f t="shared" si="139"/>
        <v>0</v>
      </c>
      <c r="AC188" s="216">
        <f t="shared" si="140"/>
        <v>0</v>
      </c>
    </row>
    <row r="189" spans="1:113" s="260" customFormat="1" ht="15.75" thickBot="1" x14ac:dyDescent="0.3">
      <c r="A189" s="256"/>
      <c r="B189" s="257"/>
      <c r="C189" s="258"/>
      <c r="D189" s="259">
        <f>SUM(D4,D61,D143,D105,D167)</f>
        <v>2719858.66</v>
      </c>
      <c r="E189" s="259">
        <f>SUM(E4,E61,E143,E105,E167)</f>
        <v>1488463.62</v>
      </c>
      <c r="F189" s="259">
        <f>SUM(F4,F61,F143,F105,F167)</f>
        <v>54657.26</v>
      </c>
      <c r="G189" s="259">
        <f>SUM(G4,G61,G143,G105,G167)</f>
        <v>0</v>
      </c>
      <c r="H189" s="259">
        <f>SUM(H4,H61,H143,H105,H167)</f>
        <v>121165.65875</v>
      </c>
      <c r="I189" s="259">
        <f>SUM(I4,I61,I143,I105,I167)</f>
        <v>4528211.1987499995</v>
      </c>
      <c r="J189" s="259">
        <f>SUM(J4,J61,J143,J105,J167)</f>
        <v>3191545.5700000003</v>
      </c>
      <c r="K189" s="259">
        <f>SUM(K4,K61,K143,K105,K167)</f>
        <v>2089328.43</v>
      </c>
      <c r="L189" s="259">
        <f>SUM(L4,L61,L143,L105,L167)</f>
        <v>12103.630000000001</v>
      </c>
      <c r="M189" s="259">
        <f>SUM(M4,M61,M143,M105,M167)</f>
        <v>0</v>
      </c>
      <c r="N189" s="259">
        <f>SUM(N4,N61,N143,N105,N167)</f>
        <v>108268</v>
      </c>
      <c r="O189" s="259">
        <f>SUM(O4,O61,O143,O105,O167)</f>
        <v>5438302.6299999999</v>
      </c>
      <c r="P189" s="259">
        <f>SUM(P4,P61,P143,P105,P167)</f>
        <v>3113068.17</v>
      </c>
      <c r="Q189" s="259">
        <f>SUM(Q4,Q61,Q143,Q105,Q167)</f>
        <v>2050600.83</v>
      </c>
      <c r="R189" s="259">
        <f>SUM(R4,R61,R143,R105,R167)</f>
        <v>5308</v>
      </c>
      <c r="S189" s="259">
        <f>SUM(S4,S61,S143,S105,S167)</f>
        <v>0</v>
      </c>
      <c r="T189" s="259">
        <f>SUM(T4,T61,T143,T105,T167)</f>
        <v>103848</v>
      </c>
      <c r="U189" s="259">
        <f>SUM(U4,U61,U143,U105,U167)</f>
        <v>5304143</v>
      </c>
      <c r="V189" s="259">
        <f>SUM(V4,V61,V143,V105,V167)</f>
        <v>2585148.8200000003</v>
      </c>
      <c r="W189" s="259">
        <f>SUM(W4,W61,W143,W105,W167)</f>
        <v>627580.18000000005</v>
      </c>
      <c r="X189" s="259">
        <f>SUM(X4,X61,X143,X105,X167)</f>
        <v>0</v>
      </c>
      <c r="Y189" s="259">
        <f>SUM(Y4,Y61,Y143,Y105,Y167)</f>
        <v>0</v>
      </c>
      <c r="Z189" s="259">
        <f>SUM(Z4,Z61,Z143,Z105,Z167)</f>
        <v>104048</v>
      </c>
      <c r="AA189" s="259">
        <f>SUM(AA4,AA61,AA143,AA105,AA167)</f>
        <v>3316777</v>
      </c>
      <c r="AB189" s="259">
        <f>SUM(AB4,AB61,AB143,AB105,AB167)</f>
        <v>11609621.219999999</v>
      </c>
      <c r="AC189" s="259">
        <f>SUM(AC4,AC61,AC143,AC105,AC167)</f>
        <v>18587433.828749999</v>
      </c>
      <c r="DI189" s="260" t="s">
        <v>214</v>
      </c>
    </row>
  </sheetData>
  <mergeCells count="71">
    <mergeCell ref="A1:N1"/>
    <mergeCell ref="AB2:AB3"/>
    <mergeCell ref="AC2:AC3"/>
    <mergeCell ref="P2:U2"/>
    <mergeCell ref="V2:AA2"/>
    <mergeCell ref="J2:O2"/>
    <mergeCell ref="D2:I2"/>
    <mergeCell ref="A55:A60"/>
    <mergeCell ref="A106:A111"/>
    <mergeCell ref="A78:A84"/>
    <mergeCell ref="A85:A89"/>
    <mergeCell ref="A69:A77"/>
    <mergeCell ref="A62:A68"/>
    <mergeCell ref="A25:A34"/>
    <mergeCell ref="A35:A40"/>
    <mergeCell ref="A41:A43"/>
    <mergeCell ref="A49:A54"/>
    <mergeCell ref="A44:A48"/>
    <mergeCell ref="A9:A15"/>
    <mergeCell ref="A2:A3"/>
    <mergeCell ref="C70:C77"/>
    <mergeCell ref="B2:B3"/>
    <mergeCell ref="A16:A18"/>
    <mergeCell ref="C26:C34"/>
    <mergeCell ref="A5:A8"/>
    <mergeCell ref="C2:C3"/>
    <mergeCell ref="A155:A158"/>
    <mergeCell ref="A131:A137"/>
    <mergeCell ref="A118:A120"/>
    <mergeCell ref="A121:A126"/>
    <mergeCell ref="A127:A130"/>
    <mergeCell ref="A100:A104"/>
    <mergeCell ref="A112:A117"/>
    <mergeCell ref="A90:A99"/>
    <mergeCell ref="C6:C8"/>
    <mergeCell ref="C10:C15"/>
    <mergeCell ref="C17:C24"/>
    <mergeCell ref="C36:C40"/>
    <mergeCell ref="A159:A160"/>
    <mergeCell ref="A161:A163"/>
    <mergeCell ref="A181:A188"/>
    <mergeCell ref="A138:A142"/>
    <mergeCell ref="A144:A153"/>
    <mergeCell ref="A164:A166"/>
    <mergeCell ref="A168:A172"/>
    <mergeCell ref="A173:A176"/>
    <mergeCell ref="A177:A180"/>
    <mergeCell ref="C42:C43"/>
    <mergeCell ref="C45:C48"/>
    <mergeCell ref="C50:C54"/>
    <mergeCell ref="C56:C60"/>
    <mergeCell ref="C63:C68"/>
    <mergeCell ref="C79:C84"/>
    <mergeCell ref="C86:C89"/>
    <mergeCell ref="C91:C99"/>
    <mergeCell ref="C101:C104"/>
    <mergeCell ref="C107:C111"/>
    <mergeCell ref="C113:C117"/>
    <mergeCell ref="C119:C120"/>
    <mergeCell ref="C122:C126"/>
    <mergeCell ref="C128:C130"/>
    <mergeCell ref="C132:C137"/>
    <mergeCell ref="C169:C171"/>
    <mergeCell ref="C174:C176"/>
    <mergeCell ref="C178:C180"/>
    <mergeCell ref="C182:C188"/>
    <mergeCell ref="C139:C142"/>
    <mergeCell ref="C145:C153"/>
    <mergeCell ref="C156:C158"/>
    <mergeCell ref="C162:C163"/>
    <mergeCell ref="C165:C166"/>
  </mergeCells>
  <pageMargins left="0.16" right="0.11" top="0.2" bottom="0.28999999999999998" header="0.3" footer="0.3"/>
  <pageSetup orientation="portrait" r:id="rId1"/>
  <colBreaks count="1" manualBreakCount="1">
    <brk id="9" max="1048575" man="1"/>
  </colBreaks>
  <legacy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L197"/>
  <sheetViews>
    <sheetView zoomScale="80" zoomScaleNormal="80" zoomScaleSheetLayoutView="106" zoomScalePageLayoutView="80" workbookViewId="0">
      <pane xSplit="3" ySplit="2" topLeftCell="T134" activePane="bottomRight" state="frozen"/>
      <selection pane="topRight" activeCell="D1" sqref="D1"/>
      <selection pane="bottomLeft" activeCell="A3" sqref="A3"/>
      <selection pane="bottomRight" activeCell="B142" sqref="B142"/>
    </sheetView>
  </sheetViews>
  <sheetFormatPr defaultColWidth="9" defaultRowHeight="15" x14ac:dyDescent="0.25"/>
  <cols>
    <col min="1" max="1" width="32.140625" style="47" customWidth="1"/>
    <col min="2" max="2" width="52.42578125" style="54" customWidth="1"/>
    <col min="3" max="3" width="14.140625" style="66" customWidth="1"/>
    <col min="4" max="5" width="14.140625" style="32" customWidth="1"/>
    <col min="6" max="6" width="14.42578125" style="1" bestFit="1" customWidth="1"/>
    <col min="7" max="7" width="21.42578125" style="1" bestFit="1" customWidth="1"/>
    <col min="8" max="8" width="10.85546875" style="1" customWidth="1"/>
    <col min="9" max="9" width="14" style="1" bestFit="1" customWidth="1"/>
    <col min="10" max="10" width="13.42578125" style="1" bestFit="1" customWidth="1"/>
    <col min="11" max="11" width="14" style="1" customWidth="1"/>
    <col min="12" max="12" width="14.42578125" style="1" bestFit="1" customWidth="1"/>
    <col min="13" max="14" width="10.85546875" style="1" customWidth="1"/>
    <col min="15" max="15" width="14.42578125" style="1" bestFit="1" customWidth="1"/>
    <col min="16" max="16" width="14.140625" style="1" bestFit="1" customWidth="1"/>
    <col min="17" max="17" width="13.42578125" style="1" bestFit="1" customWidth="1"/>
    <col min="18" max="18" width="10.85546875" style="1" customWidth="1"/>
    <col min="19" max="19" width="14.140625" style="1" bestFit="1" customWidth="1"/>
    <col min="20" max="20" width="15.42578125" style="1" bestFit="1" customWidth="1"/>
    <col min="21" max="21" width="14.140625" style="1" bestFit="1" customWidth="1"/>
    <col min="22" max="22" width="12.42578125" style="1" bestFit="1" customWidth="1"/>
    <col min="23" max="23" width="10.85546875" style="1" customWidth="1"/>
    <col min="24" max="24" width="12.42578125" style="1" bestFit="1" customWidth="1"/>
    <col min="25" max="25" width="14.85546875" style="1" bestFit="1" customWidth="1"/>
    <col min="26" max="26" width="21.42578125" style="1" customWidth="1"/>
    <col min="27" max="27" width="18.140625" style="1" customWidth="1"/>
    <col min="28" max="28" width="11.42578125" style="1" bestFit="1" customWidth="1"/>
    <col min="29" max="30" width="9" style="1"/>
    <col min="31" max="31" width="63.42578125" style="1" customWidth="1"/>
    <col min="32" max="16384" width="9" style="1"/>
  </cols>
  <sheetData>
    <row r="1" spans="1:27" ht="21.75" customHeight="1" x14ac:dyDescent="0.25">
      <c r="A1" s="281" t="s">
        <v>227</v>
      </c>
      <c r="B1" s="286" t="s">
        <v>228</v>
      </c>
      <c r="C1" s="277" t="s">
        <v>15</v>
      </c>
      <c r="D1" s="279" t="s">
        <v>16</v>
      </c>
      <c r="E1" s="279" t="s">
        <v>289</v>
      </c>
      <c r="F1" s="283">
        <v>2018</v>
      </c>
      <c r="G1" s="283"/>
      <c r="H1" s="283"/>
      <c r="I1" s="283"/>
      <c r="J1" s="283"/>
      <c r="K1" s="283">
        <v>2019</v>
      </c>
      <c r="L1" s="283"/>
      <c r="M1" s="283"/>
      <c r="N1" s="283"/>
      <c r="O1" s="283"/>
      <c r="P1" s="283">
        <v>2020</v>
      </c>
      <c r="Q1" s="283"/>
      <c r="R1" s="283"/>
      <c r="S1" s="283"/>
      <c r="T1" s="283"/>
      <c r="U1" s="283">
        <v>2021</v>
      </c>
      <c r="V1" s="283"/>
      <c r="W1" s="283"/>
      <c r="X1" s="283"/>
      <c r="Y1" s="283"/>
      <c r="Z1" s="69"/>
      <c r="AA1" s="70"/>
    </row>
    <row r="2" spans="1:27" ht="40.5" customHeight="1" x14ac:dyDescent="0.25">
      <c r="A2" s="282"/>
      <c r="B2" s="287"/>
      <c r="C2" s="278"/>
      <c r="D2" s="280"/>
      <c r="E2" s="280"/>
      <c r="F2" s="67" t="s">
        <v>31</v>
      </c>
      <c r="G2" s="68" t="s">
        <v>205</v>
      </c>
      <c r="H2" s="68" t="s">
        <v>206</v>
      </c>
      <c r="I2" s="68" t="s">
        <v>207</v>
      </c>
      <c r="J2" s="68" t="s">
        <v>18</v>
      </c>
      <c r="K2" s="68" t="s">
        <v>17</v>
      </c>
      <c r="L2" s="68" t="s">
        <v>205</v>
      </c>
      <c r="M2" s="68" t="s">
        <v>206</v>
      </c>
      <c r="N2" s="68" t="s">
        <v>207</v>
      </c>
      <c r="O2" s="68" t="s">
        <v>18</v>
      </c>
      <c r="P2" s="68" t="s">
        <v>17</v>
      </c>
      <c r="Q2" s="68" t="s">
        <v>205</v>
      </c>
      <c r="R2" s="68" t="s">
        <v>206</v>
      </c>
      <c r="S2" s="68" t="s">
        <v>207</v>
      </c>
      <c r="T2" s="68" t="s">
        <v>18</v>
      </c>
      <c r="U2" s="68" t="s">
        <v>17</v>
      </c>
      <c r="V2" s="68" t="s">
        <v>205</v>
      </c>
      <c r="W2" s="68" t="s">
        <v>206</v>
      </c>
      <c r="X2" s="68" t="s">
        <v>207</v>
      </c>
      <c r="Y2" s="68" t="s">
        <v>18</v>
      </c>
      <c r="Z2" s="68" t="s">
        <v>14</v>
      </c>
      <c r="AA2" s="71" t="s">
        <v>33</v>
      </c>
    </row>
    <row r="3" spans="1:27" ht="75" x14ac:dyDescent="0.25">
      <c r="A3" s="72" t="s">
        <v>191</v>
      </c>
      <c r="B3" s="27"/>
      <c r="C3" s="63"/>
      <c r="D3" s="28"/>
      <c r="E3" s="28"/>
      <c r="F3" s="29">
        <f t="shared" ref="F3:AA3" si="0">F4+F8+F14+F18+F29+F38+F41+F47+F52</f>
        <v>1067247</v>
      </c>
      <c r="G3" s="29">
        <f t="shared" si="0"/>
        <v>1252417</v>
      </c>
      <c r="H3" s="29">
        <f t="shared" si="0"/>
        <v>0</v>
      </c>
      <c r="I3" s="29">
        <f t="shared" si="0"/>
        <v>79641</v>
      </c>
      <c r="J3" s="29">
        <f t="shared" si="0"/>
        <v>2399305</v>
      </c>
      <c r="K3" s="29">
        <f t="shared" si="0"/>
        <v>1177801</v>
      </c>
      <c r="L3" s="29">
        <f t="shared" si="0"/>
        <v>2013220</v>
      </c>
      <c r="M3" s="29">
        <f t="shared" si="0"/>
        <v>0</v>
      </c>
      <c r="N3" s="29">
        <f t="shared" si="0"/>
        <v>73667</v>
      </c>
      <c r="O3" s="29">
        <f t="shared" si="0"/>
        <v>3264688</v>
      </c>
      <c r="P3" s="29">
        <f t="shared" si="0"/>
        <v>1363924</v>
      </c>
      <c r="Q3" s="29">
        <f t="shared" si="0"/>
        <v>1985283</v>
      </c>
      <c r="R3" s="29">
        <f t="shared" si="0"/>
        <v>0</v>
      </c>
      <c r="S3" s="29">
        <f t="shared" si="0"/>
        <v>69767</v>
      </c>
      <c r="T3" s="29">
        <f t="shared" si="0"/>
        <v>3418974</v>
      </c>
      <c r="U3" s="29">
        <f t="shared" si="0"/>
        <v>828026</v>
      </c>
      <c r="V3" s="29">
        <f t="shared" si="0"/>
        <v>561801</v>
      </c>
      <c r="W3" s="29">
        <f t="shared" si="0"/>
        <v>0</v>
      </c>
      <c r="X3" s="29">
        <f t="shared" si="0"/>
        <v>69967</v>
      </c>
      <c r="Y3" s="29">
        <f t="shared" si="0"/>
        <v>1459794</v>
      </c>
      <c r="Z3" s="29">
        <f t="shared" si="0"/>
        <v>10542761</v>
      </c>
      <c r="AA3" s="30">
        <f t="shared" si="0"/>
        <v>4436998</v>
      </c>
    </row>
    <row r="4" spans="1:27" ht="25.5" customHeight="1" x14ac:dyDescent="0.25">
      <c r="A4" s="275" t="s">
        <v>192</v>
      </c>
      <c r="B4" s="21"/>
      <c r="C4" s="56"/>
      <c r="D4" s="2"/>
      <c r="E4" s="2"/>
      <c r="F4" s="3">
        <f>SUM(F5:F7)</f>
        <v>527900</v>
      </c>
      <c r="G4" s="3">
        <f t="shared" ref="G4:I4" si="1">SUM(G5:G7)</f>
        <v>810600</v>
      </c>
      <c r="H4" s="3">
        <f t="shared" si="1"/>
        <v>0</v>
      </c>
      <c r="I4" s="3">
        <f t="shared" si="1"/>
        <v>0</v>
      </c>
      <c r="J4" s="3">
        <f>SUM(F4:I4)</f>
        <v>1338500</v>
      </c>
      <c r="K4" s="3">
        <f>SUM(K5:K7)</f>
        <v>766445</v>
      </c>
      <c r="L4" s="3">
        <f t="shared" ref="L4:N4" si="2">SUM(L5:L7)</f>
        <v>1515850</v>
      </c>
      <c r="M4" s="3">
        <f t="shared" si="2"/>
        <v>0</v>
      </c>
      <c r="N4" s="3">
        <f t="shared" si="2"/>
        <v>0</v>
      </c>
      <c r="O4" s="3">
        <f>SUM(K4:N4)</f>
        <v>2282295</v>
      </c>
      <c r="P4" s="3">
        <f>SUM(P5:P7)</f>
        <v>924000</v>
      </c>
      <c r="Q4" s="3">
        <f>SUM(Q5:Q7)</f>
        <v>1813000</v>
      </c>
      <c r="R4" s="3">
        <f t="shared" ref="R4:S4" si="3">SUM(R5:R7)</f>
        <v>0</v>
      </c>
      <c r="S4" s="3">
        <f t="shared" si="3"/>
        <v>0</v>
      </c>
      <c r="T4" s="3">
        <f>SUM(P4:S4)</f>
        <v>2737000</v>
      </c>
      <c r="U4" s="3">
        <f>SUM(U5:U7)</f>
        <v>592000</v>
      </c>
      <c r="V4" s="3">
        <f t="shared" ref="V4:X4" si="4">SUM(V5:V7)</f>
        <v>375000</v>
      </c>
      <c r="W4" s="3">
        <f t="shared" si="4"/>
        <v>0</v>
      </c>
      <c r="X4" s="3">
        <f t="shared" si="4"/>
        <v>0</v>
      </c>
      <c r="Y4" s="3">
        <f>SUM(U4:X4)</f>
        <v>967000</v>
      </c>
      <c r="Z4" s="3">
        <f>Y4+T4+O4+J4</f>
        <v>7324795</v>
      </c>
      <c r="AA4" s="4">
        <f>F4+K4+P4+U4</f>
        <v>2810345</v>
      </c>
    </row>
    <row r="5" spans="1:27" ht="45" x14ac:dyDescent="0.25">
      <c r="A5" s="275"/>
      <c r="B5" s="50" t="s">
        <v>67</v>
      </c>
      <c r="C5" s="57" t="s">
        <v>4</v>
      </c>
      <c r="D5" s="5"/>
      <c r="E5" s="5"/>
      <c r="F5" s="6">
        <v>164100</v>
      </c>
      <c r="G5" s="6">
        <v>635900</v>
      </c>
      <c r="H5" s="6"/>
      <c r="I5" s="6"/>
      <c r="J5" s="7">
        <f t="shared" ref="J5:J59" si="5">SUM(F5:I5)</f>
        <v>800000</v>
      </c>
      <c r="K5" s="6">
        <v>388875</v>
      </c>
      <c r="L5" s="6">
        <v>1369125</v>
      </c>
      <c r="M5" s="6"/>
      <c r="N5" s="8"/>
      <c r="O5" s="6">
        <f>K5+L5</f>
        <v>1758000</v>
      </c>
      <c r="P5" s="6">
        <v>412000</v>
      </c>
      <c r="Q5" s="6">
        <v>1755000</v>
      </c>
      <c r="R5" s="6"/>
      <c r="S5" s="6"/>
      <c r="T5" s="6">
        <f>P5+Q5</f>
        <v>2167000</v>
      </c>
      <c r="U5" s="6">
        <v>152000</v>
      </c>
      <c r="V5" s="6">
        <v>375000</v>
      </c>
      <c r="W5" s="6"/>
      <c r="X5" s="6"/>
      <c r="Y5" s="6">
        <f>U5+V5</f>
        <v>527000</v>
      </c>
      <c r="Z5" s="6">
        <f>J5+O5+T5+Y5</f>
        <v>5252000</v>
      </c>
      <c r="AA5" s="9">
        <f t="shared" ref="AA5:AA59" si="6">F5+K5+P5+U5</f>
        <v>1116975</v>
      </c>
    </row>
    <row r="6" spans="1:27" ht="45" x14ac:dyDescent="0.25">
      <c r="A6" s="275"/>
      <c r="B6" s="50" t="s">
        <v>186</v>
      </c>
      <c r="C6" s="57" t="s">
        <v>57</v>
      </c>
      <c r="D6" s="10"/>
      <c r="E6" s="10"/>
      <c r="F6" s="6">
        <f>363000</f>
        <v>363000</v>
      </c>
      <c r="G6" s="6">
        <f>127000+1000+12500+30000</f>
        <v>170500</v>
      </c>
      <c r="H6" s="6"/>
      <c r="I6" s="6"/>
      <c r="J6" s="7">
        <f t="shared" si="5"/>
        <v>533500</v>
      </c>
      <c r="K6" s="6">
        <v>376000</v>
      </c>
      <c r="L6" s="6">
        <v>138000</v>
      </c>
      <c r="M6" s="6"/>
      <c r="N6" s="6"/>
      <c r="O6" s="6">
        <f t="shared" ref="O6" si="7">K6+L6</f>
        <v>514000</v>
      </c>
      <c r="P6" s="6">
        <v>512000</v>
      </c>
      <c r="Q6" s="6">
        <v>58000</v>
      </c>
      <c r="R6" s="6"/>
      <c r="S6" s="6"/>
      <c r="T6" s="6">
        <f t="shared" ref="T6:T7" si="8">P6+Q6</f>
        <v>570000</v>
      </c>
      <c r="U6" s="6">
        <v>440000</v>
      </c>
      <c r="V6" s="6"/>
      <c r="W6" s="6"/>
      <c r="X6" s="6"/>
      <c r="Y6" s="6">
        <f t="shared" ref="Y6:Y7" si="9">U6+V6</f>
        <v>440000</v>
      </c>
      <c r="Z6" s="6">
        <f t="shared" ref="Z6:Z9" si="10">J6+O6+T6+Y6</f>
        <v>2057500</v>
      </c>
      <c r="AA6" s="9">
        <f t="shared" si="6"/>
        <v>1691000</v>
      </c>
    </row>
    <row r="7" spans="1:27" ht="16.5" x14ac:dyDescent="0.35">
      <c r="A7" s="275"/>
      <c r="B7" s="50" t="s">
        <v>68</v>
      </c>
      <c r="C7" s="57" t="s">
        <v>3</v>
      </c>
      <c r="D7" s="10"/>
      <c r="E7" s="10"/>
      <c r="F7" s="6">
        <v>800</v>
      </c>
      <c r="G7" s="6">
        <v>4200</v>
      </c>
      <c r="H7" s="6"/>
      <c r="I7" s="6"/>
      <c r="J7" s="7">
        <f>SUM(F7:I7)</f>
        <v>5000</v>
      </c>
      <c r="K7" s="6">
        <v>1570</v>
      </c>
      <c r="L7" s="6">
        <v>8725</v>
      </c>
      <c r="M7" s="6"/>
      <c r="N7" s="6"/>
      <c r="O7" s="6">
        <f>SUM(K7:N7)</f>
        <v>10295</v>
      </c>
      <c r="P7" s="6"/>
      <c r="Q7" s="6"/>
      <c r="R7" s="6"/>
      <c r="S7" s="6"/>
      <c r="T7" s="6">
        <f t="shared" si="8"/>
        <v>0</v>
      </c>
      <c r="U7" s="6"/>
      <c r="V7" s="6">
        <v>0</v>
      </c>
      <c r="W7" s="6"/>
      <c r="X7" s="6"/>
      <c r="Y7" s="11">
        <f t="shared" si="9"/>
        <v>0</v>
      </c>
      <c r="Z7" s="6">
        <f t="shared" si="10"/>
        <v>15295</v>
      </c>
      <c r="AA7" s="9">
        <f t="shared" si="6"/>
        <v>2370</v>
      </c>
    </row>
    <row r="8" spans="1:27" x14ac:dyDescent="0.25">
      <c r="A8" s="276" t="s">
        <v>69</v>
      </c>
      <c r="B8" s="21"/>
      <c r="C8" s="56"/>
      <c r="D8" s="2"/>
      <c r="E8" s="2"/>
      <c r="F8" s="3">
        <f>SUM(F9:F13)</f>
        <v>21000</v>
      </c>
      <c r="G8" s="3">
        <f t="shared" ref="G8:I8" si="11">SUM(G9:G13)</f>
        <v>0</v>
      </c>
      <c r="H8" s="3">
        <f t="shared" si="11"/>
        <v>0</v>
      </c>
      <c r="I8" s="3">
        <f t="shared" si="11"/>
        <v>64379</v>
      </c>
      <c r="J8" s="3">
        <f t="shared" si="5"/>
        <v>85379</v>
      </c>
      <c r="K8" s="3">
        <f>SUM(K9:K13)</f>
        <v>150000</v>
      </c>
      <c r="L8" s="3">
        <f t="shared" ref="L8:N8" si="12">SUM(L9:L13)</f>
        <v>0</v>
      </c>
      <c r="M8" s="3">
        <f t="shared" si="12"/>
        <v>0</v>
      </c>
      <c r="N8" s="3">
        <f t="shared" si="12"/>
        <v>64167</v>
      </c>
      <c r="O8" s="3">
        <f>SUM(K8:N8)</f>
        <v>214167</v>
      </c>
      <c r="P8" s="3">
        <f>SUM(P9:P13)</f>
        <v>220000</v>
      </c>
      <c r="Q8" s="3">
        <f t="shared" ref="Q8:S8" si="13">SUM(Q9:Q13)</f>
        <v>0</v>
      </c>
      <c r="R8" s="3">
        <f t="shared" si="13"/>
        <v>0</v>
      </c>
      <c r="S8" s="3">
        <f t="shared" si="13"/>
        <v>59967</v>
      </c>
      <c r="T8" s="3">
        <f>SUM(P8:S8)</f>
        <v>279967</v>
      </c>
      <c r="U8" s="3">
        <f>SUM(U9:U13)</f>
        <v>0</v>
      </c>
      <c r="V8" s="3">
        <f>SUM(V9:V13)</f>
        <v>0</v>
      </c>
      <c r="W8" s="3">
        <f>SUM(W9:W13)</f>
        <v>0</v>
      </c>
      <c r="X8" s="3">
        <f>SUM(X9:X13)</f>
        <v>59967</v>
      </c>
      <c r="Y8" s="3">
        <f>SUM(U8:X8)</f>
        <v>59967</v>
      </c>
      <c r="Z8" s="3">
        <f t="shared" si="10"/>
        <v>639480</v>
      </c>
      <c r="AA8" s="4">
        <f t="shared" si="6"/>
        <v>391000</v>
      </c>
    </row>
    <row r="9" spans="1:27" ht="60" x14ac:dyDescent="0.25">
      <c r="A9" s="276"/>
      <c r="B9" s="50" t="s">
        <v>70</v>
      </c>
      <c r="C9" s="58"/>
      <c r="D9" s="5"/>
      <c r="E9" s="5"/>
      <c r="F9" s="6"/>
      <c r="G9" s="6"/>
      <c r="H9" s="6"/>
      <c r="I9" s="6">
        <v>56167</v>
      </c>
      <c r="J9" s="7">
        <f t="shared" si="5"/>
        <v>56167</v>
      </c>
      <c r="K9" s="6"/>
      <c r="L9" s="6"/>
      <c r="M9" s="6"/>
      <c r="N9" s="6">
        <v>56167</v>
      </c>
      <c r="O9" s="6">
        <f t="shared" ref="O9:O13" si="14">SUM(K9:N9)</f>
        <v>56167</v>
      </c>
      <c r="P9" s="6"/>
      <c r="Q9" s="6"/>
      <c r="R9" s="6"/>
      <c r="S9" s="6">
        <v>56167</v>
      </c>
      <c r="T9" s="6">
        <f t="shared" ref="T9:T13" si="15">SUM(P9:S9)</f>
        <v>56167</v>
      </c>
      <c r="U9" s="6"/>
      <c r="V9" s="6"/>
      <c r="W9" s="6"/>
      <c r="X9" s="6">
        <v>56167</v>
      </c>
      <c r="Y9" s="6">
        <f t="shared" ref="Y9:Y13" si="16">SUM(U9:X9)</f>
        <v>56167</v>
      </c>
      <c r="Z9" s="6">
        <f t="shared" si="10"/>
        <v>224668</v>
      </c>
      <c r="AA9" s="9">
        <f t="shared" si="6"/>
        <v>0</v>
      </c>
    </row>
    <row r="10" spans="1:27" ht="30" x14ac:dyDescent="0.25">
      <c r="A10" s="276"/>
      <c r="B10" s="50" t="s">
        <v>71</v>
      </c>
      <c r="C10" s="57" t="s">
        <v>2</v>
      </c>
      <c r="D10" s="5"/>
      <c r="E10" s="5"/>
      <c r="F10" s="12">
        <v>11000</v>
      </c>
      <c r="G10" s="12"/>
      <c r="H10" s="12"/>
      <c r="I10" s="13">
        <v>0</v>
      </c>
      <c r="J10" s="7">
        <f t="shared" si="5"/>
        <v>11000</v>
      </c>
      <c r="K10" s="6">
        <v>150000</v>
      </c>
      <c r="L10" s="6"/>
      <c r="M10" s="6"/>
      <c r="N10" s="6"/>
      <c r="O10" s="6">
        <f t="shared" si="14"/>
        <v>150000</v>
      </c>
      <c r="P10" s="6">
        <v>220000</v>
      </c>
      <c r="Q10" s="6"/>
      <c r="R10" s="6"/>
      <c r="S10" s="6"/>
      <c r="T10" s="6">
        <f t="shared" si="15"/>
        <v>220000</v>
      </c>
      <c r="U10" s="6">
        <v>0</v>
      </c>
      <c r="V10" s="6"/>
      <c r="W10" s="6"/>
      <c r="X10" s="6"/>
      <c r="Y10" s="6">
        <f t="shared" si="16"/>
        <v>0</v>
      </c>
      <c r="Z10" s="6">
        <f>J10+O10+T10+Y10</f>
        <v>381000</v>
      </c>
      <c r="AA10" s="9">
        <f t="shared" si="6"/>
        <v>381000</v>
      </c>
    </row>
    <row r="11" spans="1:27" ht="30" x14ac:dyDescent="0.25">
      <c r="A11" s="276"/>
      <c r="B11" s="50" t="s">
        <v>72</v>
      </c>
      <c r="C11" s="58" t="s">
        <v>26</v>
      </c>
      <c r="D11" s="5"/>
      <c r="E11" s="5"/>
      <c r="F11" s="6"/>
      <c r="G11" s="6"/>
      <c r="H11" s="6"/>
      <c r="I11" s="6"/>
      <c r="J11" s="7">
        <f t="shared" si="5"/>
        <v>0</v>
      </c>
      <c r="K11" s="6"/>
      <c r="L11" s="6"/>
      <c r="M11" s="6"/>
      <c r="N11" s="6"/>
      <c r="O11" s="6">
        <f t="shared" si="14"/>
        <v>0</v>
      </c>
      <c r="P11" s="6"/>
      <c r="Q11" s="6"/>
      <c r="R11" s="6"/>
      <c r="S11" s="6"/>
      <c r="T11" s="6">
        <f t="shared" si="15"/>
        <v>0</v>
      </c>
      <c r="U11" s="6"/>
      <c r="V11" s="6"/>
      <c r="W11" s="6"/>
      <c r="X11" s="6"/>
      <c r="Y11" s="6">
        <f t="shared" si="16"/>
        <v>0</v>
      </c>
      <c r="Z11" s="6">
        <f t="shared" ref="Z11:Z66" si="17">J11+O11+T11+Y11</f>
        <v>0</v>
      </c>
      <c r="AA11" s="9">
        <f t="shared" si="6"/>
        <v>0</v>
      </c>
    </row>
    <row r="12" spans="1:27" ht="30" x14ac:dyDescent="0.25">
      <c r="A12" s="276"/>
      <c r="B12" s="50" t="s">
        <v>73</v>
      </c>
      <c r="C12" s="58" t="s">
        <v>5</v>
      </c>
      <c r="D12" s="5"/>
      <c r="E12" s="5"/>
      <c r="F12" s="6">
        <v>10000</v>
      </c>
      <c r="G12" s="6"/>
      <c r="H12" s="6"/>
      <c r="I12" s="6">
        <v>4500</v>
      </c>
      <c r="J12" s="7">
        <f t="shared" si="5"/>
        <v>14500</v>
      </c>
      <c r="K12" s="6"/>
      <c r="L12" s="6"/>
      <c r="M12" s="6"/>
      <c r="N12" s="6">
        <v>4500</v>
      </c>
      <c r="O12" s="6">
        <f t="shared" si="14"/>
        <v>4500</v>
      </c>
      <c r="P12" s="6"/>
      <c r="Q12" s="6"/>
      <c r="R12" s="6"/>
      <c r="S12" s="6"/>
      <c r="T12" s="6">
        <f t="shared" si="15"/>
        <v>0</v>
      </c>
      <c r="U12" s="6"/>
      <c r="V12" s="6"/>
      <c r="W12" s="6"/>
      <c r="X12" s="6"/>
      <c r="Y12" s="6">
        <f t="shared" si="16"/>
        <v>0</v>
      </c>
      <c r="Z12" s="6">
        <f t="shared" si="17"/>
        <v>19000</v>
      </c>
      <c r="AA12" s="9">
        <f t="shared" si="6"/>
        <v>10000</v>
      </c>
    </row>
    <row r="13" spans="1:27" ht="28.5" customHeight="1" x14ac:dyDescent="0.25">
      <c r="A13" s="276"/>
      <c r="B13" s="50" t="s">
        <v>213</v>
      </c>
      <c r="C13" s="58" t="s">
        <v>6</v>
      </c>
      <c r="D13" s="5"/>
      <c r="E13" s="5"/>
      <c r="F13" s="6"/>
      <c r="G13" s="6"/>
      <c r="H13" s="6"/>
      <c r="I13" s="6">
        <v>3712</v>
      </c>
      <c r="J13" s="7">
        <f t="shared" si="5"/>
        <v>3712</v>
      </c>
      <c r="K13" s="6"/>
      <c r="L13" s="6"/>
      <c r="M13" s="6"/>
      <c r="N13" s="6">
        <v>3500</v>
      </c>
      <c r="O13" s="6">
        <f t="shared" si="14"/>
        <v>3500</v>
      </c>
      <c r="P13" s="6"/>
      <c r="Q13" s="6"/>
      <c r="R13" s="6"/>
      <c r="S13" s="6">
        <v>3800</v>
      </c>
      <c r="T13" s="6">
        <f t="shared" si="15"/>
        <v>3800</v>
      </c>
      <c r="U13" s="6"/>
      <c r="V13" s="6"/>
      <c r="W13" s="6"/>
      <c r="X13" s="6">
        <v>3800</v>
      </c>
      <c r="Y13" s="6">
        <f t="shared" si="16"/>
        <v>3800</v>
      </c>
      <c r="Z13" s="6">
        <f t="shared" si="17"/>
        <v>14812</v>
      </c>
      <c r="AA13" s="9">
        <f t="shared" si="6"/>
        <v>0</v>
      </c>
    </row>
    <row r="14" spans="1:27" ht="27" customHeight="1" x14ac:dyDescent="0.25">
      <c r="A14" s="275" t="s">
        <v>193</v>
      </c>
      <c r="B14" s="21"/>
      <c r="C14" s="56"/>
      <c r="D14" s="2"/>
      <c r="E14" s="2"/>
      <c r="F14" s="3">
        <f>SUM(F15:F17)</f>
        <v>0</v>
      </c>
      <c r="G14" s="3">
        <f t="shared" ref="G14:I14" si="18">SUM(G15:G17)</f>
        <v>4500</v>
      </c>
      <c r="H14" s="3">
        <f t="shared" si="18"/>
        <v>0</v>
      </c>
      <c r="I14" s="3">
        <f t="shared" si="18"/>
        <v>0</v>
      </c>
      <c r="J14" s="3">
        <f t="shared" si="5"/>
        <v>4500</v>
      </c>
      <c r="K14" s="3">
        <f>SUM(K15:K17)</f>
        <v>0</v>
      </c>
      <c r="L14" s="3">
        <f t="shared" ref="L14:N14" si="19">SUM(L15:L17)</f>
        <v>4000</v>
      </c>
      <c r="M14" s="3">
        <f t="shared" si="19"/>
        <v>0</v>
      </c>
      <c r="N14" s="3">
        <f t="shared" si="19"/>
        <v>0</v>
      </c>
      <c r="O14" s="3">
        <f>SUM(K14:N14)</f>
        <v>4000</v>
      </c>
      <c r="P14" s="3">
        <f>SUM(P15:P17)</f>
        <v>0</v>
      </c>
      <c r="Q14" s="3">
        <f t="shared" ref="Q14:S14" si="20">SUM(Q15:Q17)</f>
        <v>4500</v>
      </c>
      <c r="R14" s="3">
        <f t="shared" si="20"/>
        <v>0</v>
      </c>
      <c r="S14" s="3">
        <f t="shared" si="20"/>
        <v>0</v>
      </c>
      <c r="T14" s="3">
        <f>SUM(P14:S14)</f>
        <v>4500</v>
      </c>
      <c r="U14" s="3">
        <f>SUM(U15:U17)</f>
        <v>0</v>
      </c>
      <c r="V14" s="3">
        <f>SUM(V15:V17)</f>
        <v>4500</v>
      </c>
      <c r="W14" s="3">
        <f>SUM(W15:W17)</f>
        <v>0</v>
      </c>
      <c r="X14" s="3">
        <f>SUM(X15:X17)</f>
        <v>0</v>
      </c>
      <c r="Y14" s="3">
        <f>U14+V14+W14+X14</f>
        <v>4500</v>
      </c>
      <c r="Z14" s="3">
        <f t="shared" si="17"/>
        <v>17500</v>
      </c>
      <c r="AA14" s="4">
        <f t="shared" si="6"/>
        <v>0</v>
      </c>
    </row>
    <row r="15" spans="1:27" ht="15" customHeight="1" x14ac:dyDescent="0.25">
      <c r="A15" s="275"/>
      <c r="B15" s="50" t="s">
        <v>243</v>
      </c>
      <c r="C15" s="284" t="s">
        <v>27</v>
      </c>
      <c r="D15" s="15"/>
      <c r="E15" s="15"/>
      <c r="F15" s="6"/>
      <c r="G15" s="6">
        <v>4500</v>
      </c>
      <c r="H15" s="6"/>
      <c r="I15" s="6"/>
      <c r="J15" s="7">
        <f t="shared" si="5"/>
        <v>4500</v>
      </c>
      <c r="K15" s="7"/>
      <c r="L15" s="7">
        <v>4000</v>
      </c>
      <c r="M15" s="7"/>
      <c r="N15" s="7"/>
      <c r="O15" s="7">
        <f t="shared" ref="O15:O60" si="21">SUM(K15:N15)</f>
        <v>4000</v>
      </c>
      <c r="P15" s="6"/>
      <c r="Q15" s="6">
        <v>4500</v>
      </c>
      <c r="R15" s="6"/>
      <c r="S15" s="6"/>
      <c r="T15" s="7">
        <f t="shared" ref="T15:T69" si="22">SUM(P15:S15)</f>
        <v>4500</v>
      </c>
      <c r="U15" s="6"/>
      <c r="V15" s="6">
        <v>4500</v>
      </c>
      <c r="W15" s="6"/>
      <c r="X15" s="6"/>
      <c r="Y15" s="6">
        <f t="shared" ref="Y15:Y69" si="23">U15+V15+W15+X15</f>
        <v>4500</v>
      </c>
      <c r="Z15" s="6">
        <f t="shared" si="17"/>
        <v>17500</v>
      </c>
      <c r="AA15" s="9">
        <f t="shared" si="6"/>
        <v>0</v>
      </c>
    </row>
    <row r="16" spans="1:27" ht="30" x14ac:dyDescent="0.25">
      <c r="A16" s="275"/>
      <c r="B16" s="50" t="s">
        <v>74</v>
      </c>
      <c r="C16" s="284"/>
      <c r="D16" s="15"/>
      <c r="E16" s="15"/>
      <c r="F16" s="6"/>
      <c r="G16" s="6"/>
      <c r="H16" s="6"/>
      <c r="I16" s="6"/>
      <c r="J16" s="7">
        <f t="shared" si="5"/>
        <v>0</v>
      </c>
      <c r="K16" s="7"/>
      <c r="L16" s="7"/>
      <c r="M16" s="7"/>
      <c r="N16" s="7"/>
      <c r="O16" s="7">
        <f t="shared" si="21"/>
        <v>0</v>
      </c>
      <c r="P16" s="6"/>
      <c r="Q16" s="6"/>
      <c r="R16" s="6"/>
      <c r="S16" s="6"/>
      <c r="T16" s="7">
        <f t="shared" si="22"/>
        <v>0</v>
      </c>
      <c r="U16" s="6"/>
      <c r="V16" s="6"/>
      <c r="W16" s="6"/>
      <c r="X16" s="6"/>
      <c r="Y16" s="6">
        <f t="shared" si="23"/>
        <v>0</v>
      </c>
      <c r="Z16" s="6">
        <f t="shared" si="17"/>
        <v>0</v>
      </c>
      <c r="AA16" s="9">
        <f t="shared" si="6"/>
        <v>0</v>
      </c>
    </row>
    <row r="17" spans="1:28" ht="60" x14ac:dyDescent="0.25">
      <c r="A17" s="275"/>
      <c r="B17" s="50" t="s">
        <v>75</v>
      </c>
      <c r="C17" s="284"/>
      <c r="D17" s="15"/>
      <c r="E17" s="15"/>
      <c r="F17" s="6"/>
      <c r="G17" s="6"/>
      <c r="H17" s="6"/>
      <c r="I17" s="6"/>
      <c r="J17" s="7">
        <f t="shared" si="5"/>
        <v>0</v>
      </c>
      <c r="K17" s="7"/>
      <c r="L17" s="7"/>
      <c r="M17" s="7"/>
      <c r="N17" s="7"/>
      <c r="O17" s="7">
        <f t="shared" si="21"/>
        <v>0</v>
      </c>
      <c r="P17" s="6"/>
      <c r="Q17" s="6"/>
      <c r="R17" s="6"/>
      <c r="S17" s="6"/>
      <c r="T17" s="7">
        <f t="shared" si="22"/>
        <v>0</v>
      </c>
      <c r="U17" s="6"/>
      <c r="V17" s="6"/>
      <c r="W17" s="6"/>
      <c r="X17" s="6"/>
      <c r="Y17" s="6">
        <f t="shared" si="23"/>
        <v>0</v>
      </c>
      <c r="Z17" s="6">
        <f t="shared" si="17"/>
        <v>0</v>
      </c>
      <c r="AA17" s="9">
        <f t="shared" si="6"/>
        <v>0</v>
      </c>
    </row>
    <row r="18" spans="1:28" x14ac:dyDescent="0.25">
      <c r="A18" s="276" t="s">
        <v>76</v>
      </c>
      <c r="B18" s="21"/>
      <c r="C18" s="56"/>
      <c r="D18" s="2"/>
      <c r="E18" s="2"/>
      <c r="F18" s="3">
        <f>SUM(F19:F28)</f>
        <v>20100</v>
      </c>
      <c r="G18" s="3">
        <f t="shared" ref="G18:I18" si="24">SUM(G19:G28)</f>
        <v>97250</v>
      </c>
      <c r="H18" s="3">
        <f t="shared" si="24"/>
        <v>0</v>
      </c>
      <c r="I18" s="3">
        <f t="shared" si="24"/>
        <v>0</v>
      </c>
      <c r="J18" s="3">
        <f t="shared" si="5"/>
        <v>117350</v>
      </c>
      <c r="K18" s="3">
        <f>SUM(K19:K28)</f>
        <v>39000</v>
      </c>
      <c r="L18" s="3">
        <f t="shared" ref="L18:N18" si="25">SUM(L19:L28)</f>
        <v>151130</v>
      </c>
      <c r="M18" s="3">
        <f t="shared" si="25"/>
        <v>0</v>
      </c>
      <c r="N18" s="3">
        <f t="shared" si="25"/>
        <v>0</v>
      </c>
      <c r="O18" s="3">
        <f t="shared" si="21"/>
        <v>190130</v>
      </c>
      <c r="P18" s="3">
        <f>SUM(P19:P28)</f>
        <v>39000</v>
      </c>
      <c r="Q18" s="3">
        <f>SUM(Q19:Q28)</f>
        <v>122040</v>
      </c>
      <c r="R18" s="3">
        <f t="shared" ref="R18:S18" si="26">SUM(R19:R24)</f>
        <v>0</v>
      </c>
      <c r="S18" s="3">
        <f t="shared" si="26"/>
        <v>0</v>
      </c>
      <c r="T18" s="3">
        <f t="shared" si="22"/>
        <v>161040</v>
      </c>
      <c r="U18" s="3">
        <f>SUM(U19:U28)</f>
        <v>39000</v>
      </c>
      <c r="V18" s="3">
        <f>SUM(V19:V28)</f>
        <v>108300</v>
      </c>
      <c r="W18" s="3">
        <f t="shared" ref="W18:X18" si="27">SUM(W19:W28)</f>
        <v>0</v>
      </c>
      <c r="X18" s="3">
        <f t="shared" si="27"/>
        <v>0</v>
      </c>
      <c r="Y18" s="3">
        <f t="shared" si="23"/>
        <v>147300</v>
      </c>
      <c r="Z18" s="3">
        <f t="shared" si="17"/>
        <v>615820</v>
      </c>
      <c r="AA18" s="4">
        <f t="shared" si="6"/>
        <v>137100</v>
      </c>
    </row>
    <row r="19" spans="1:28" ht="26.25" customHeight="1" x14ac:dyDescent="0.25">
      <c r="A19" s="276"/>
      <c r="B19" s="50" t="s">
        <v>78</v>
      </c>
      <c r="C19" s="57" t="s">
        <v>9</v>
      </c>
      <c r="D19" s="5"/>
      <c r="E19" s="5"/>
      <c r="F19" s="6"/>
      <c r="G19" s="6">
        <v>25000</v>
      </c>
      <c r="H19" s="6"/>
      <c r="I19" s="6"/>
      <c r="J19" s="7">
        <f>SUM(F19:I19)</f>
        <v>25000</v>
      </c>
      <c r="K19" s="7"/>
      <c r="L19" s="7">
        <v>35000</v>
      </c>
      <c r="M19" s="7"/>
      <c r="N19" s="7"/>
      <c r="O19" s="7">
        <f>SUM(K19:N19)</f>
        <v>35000</v>
      </c>
      <c r="P19" s="6"/>
      <c r="Q19" s="6">
        <v>35000</v>
      </c>
      <c r="R19" s="6"/>
      <c r="S19" s="6"/>
      <c r="T19" s="7">
        <f>SUM(P19:S19)</f>
        <v>35000</v>
      </c>
      <c r="U19" s="6"/>
      <c r="V19" s="6">
        <v>35000</v>
      </c>
      <c r="W19" s="6"/>
      <c r="X19" s="6"/>
      <c r="Y19" s="6">
        <f>SUM(U19:X19)</f>
        <v>35000</v>
      </c>
      <c r="Z19" s="6">
        <f t="shared" si="17"/>
        <v>130000</v>
      </c>
      <c r="AA19" s="9">
        <f t="shared" si="6"/>
        <v>0</v>
      </c>
    </row>
    <row r="20" spans="1:28" x14ac:dyDescent="0.25">
      <c r="A20" s="276"/>
      <c r="B20" s="51" t="s">
        <v>83</v>
      </c>
      <c r="C20" s="57" t="s">
        <v>8</v>
      </c>
      <c r="D20" s="5"/>
      <c r="E20" s="5"/>
      <c r="F20" s="6">
        <v>10050</v>
      </c>
      <c r="G20" s="6"/>
      <c r="H20" s="6"/>
      <c r="I20" s="6"/>
      <c r="J20" s="7">
        <f t="shared" si="5"/>
        <v>10050</v>
      </c>
      <c r="K20" s="7">
        <v>30000</v>
      </c>
      <c r="L20" s="7"/>
      <c r="M20" s="7"/>
      <c r="N20" s="7"/>
      <c r="O20" s="7">
        <f t="shared" si="21"/>
        <v>30000</v>
      </c>
      <c r="P20" s="6">
        <v>30000</v>
      </c>
      <c r="Q20" s="6"/>
      <c r="R20" s="6"/>
      <c r="S20" s="6"/>
      <c r="T20" s="7">
        <f t="shared" si="22"/>
        <v>30000</v>
      </c>
      <c r="U20" s="6">
        <v>30000</v>
      </c>
      <c r="V20" s="6"/>
      <c r="W20" s="6"/>
      <c r="X20" s="6"/>
      <c r="Y20" s="6">
        <f t="shared" si="23"/>
        <v>30000</v>
      </c>
      <c r="Z20" s="6">
        <f t="shared" si="17"/>
        <v>100050</v>
      </c>
      <c r="AA20" s="9">
        <f t="shared" si="6"/>
        <v>100050</v>
      </c>
    </row>
    <row r="21" spans="1:28" ht="22.5" customHeight="1" x14ac:dyDescent="0.25">
      <c r="A21" s="276"/>
      <c r="B21" s="51" t="s">
        <v>77</v>
      </c>
      <c r="C21" s="57" t="s">
        <v>20</v>
      </c>
      <c r="D21" s="5"/>
      <c r="E21" s="5"/>
      <c r="F21" s="6">
        <v>1050</v>
      </c>
      <c r="G21" s="6">
        <v>18650</v>
      </c>
      <c r="H21" s="6"/>
      <c r="I21" s="6"/>
      <c r="J21" s="7">
        <f t="shared" si="5"/>
        <v>19700</v>
      </c>
      <c r="K21" s="7"/>
      <c r="L21" s="7">
        <v>23860</v>
      </c>
      <c r="M21" s="7"/>
      <c r="N21" s="7"/>
      <c r="O21" s="7">
        <f t="shared" si="21"/>
        <v>23860</v>
      </c>
      <c r="P21" s="6"/>
      <c r="Q21" s="6"/>
      <c r="R21" s="6"/>
      <c r="S21" s="6"/>
      <c r="T21" s="7">
        <f t="shared" si="22"/>
        <v>0</v>
      </c>
      <c r="U21" s="6"/>
      <c r="V21" s="6"/>
      <c r="W21" s="6"/>
      <c r="X21" s="6"/>
      <c r="Y21" s="6">
        <f t="shared" si="23"/>
        <v>0</v>
      </c>
      <c r="Z21" s="6">
        <f t="shared" si="17"/>
        <v>43560</v>
      </c>
      <c r="AA21" s="9">
        <f t="shared" si="6"/>
        <v>1050</v>
      </c>
    </row>
    <row r="22" spans="1:28" ht="30" x14ac:dyDescent="0.25">
      <c r="A22" s="276"/>
      <c r="B22" s="50" t="s">
        <v>79</v>
      </c>
      <c r="C22" s="57" t="s">
        <v>19</v>
      </c>
      <c r="D22" s="5"/>
      <c r="E22" s="5"/>
      <c r="F22" s="6"/>
      <c r="G22" s="6">
        <v>25000</v>
      </c>
      <c r="H22" s="6"/>
      <c r="I22" s="6"/>
      <c r="J22" s="7">
        <f t="shared" si="5"/>
        <v>25000</v>
      </c>
      <c r="K22" s="7"/>
      <c r="L22" s="7"/>
      <c r="M22" s="7"/>
      <c r="N22" s="7"/>
      <c r="O22" s="7">
        <f t="shared" si="21"/>
        <v>0</v>
      </c>
      <c r="P22" s="6"/>
      <c r="Q22" s="6"/>
      <c r="R22" s="6"/>
      <c r="S22" s="6"/>
      <c r="T22" s="7">
        <f t="shared" si="22"/>
        <v>0</v>
      </c>
      <c r="U22" s="6"/>
      <c r="V22" s="6"/>
      <c r="W22" s="6"/>
      <c r="X22" s="6"/>
      <c r="Y22" s="6">
        <f t="shared" si="23"/>
        <v>0</v>
      </c>
      <c r="Z22" s="6">
        <f t="shared" si="17"/>
        <v>25000</v>
      </c>
      <c r="AA22" s="9">
        <f t="shared" si="6"/>
        <v>0</v>
      </c>
    </row>
    <row r="23" spans="1:28" ht="30" x14ac:dyDescent="0.25">
      <c r="A23" s="276"/>
      <c r="B23" s="51" t="s">
        <v>244</v>
      </c>
      <c r="C23" s="57" t="s">
        <v>10</v>
      </c>
      <c r="D23" s="5"/>
      <c r="E23" s="5"/>
      <c r="F23" s="6">
        <v>1000</v>
      </c>
      <c r="G23" s="6">
        <v>7000</v>
      </c>
      <c r="H23" s="6"/>
      <c r="I23" s="6"/>
      <c r="J23" s="7">
        <f t="shared" si="5"/>
        <v>8000</v>
      </c>
      <c r="K23" s="7">
        <v>1000</v>
      </c>
      <c r="L23" s="7">
        <v>9000</v>
      </c>
      <c r="M23" s="7"/>
      <c r="N23" s="7"/>
      <c r="O23" s="7">
        <f t="shared" si="21"/>
        <v>10000</v>
      </c>
      <c r="P23" s="6">
        <v>1000</v>
      </c>
      <c r="Q23" s="6">
        <v>9000</v>
      </c>
      <c r="R23" s="6"/>
      <c r="S23" s="6"/>
      <c r="T23" s="7">
        <f t="shared" si="22"/>
        <v>10000</v>
      </c>
      <c r="U23" s="6">
        <v>1000</v>
      </c>
      <c r="V23" s="6">
        <v>9000</v>
      </c>
      <c r="W23" s="6"/>
      <c r="X23" s="6"/>
      <c r="Y23" s="6">
        <f t="shared" si="23"/>
        <v>10000</v>
      </c>
      <c r="Z23" s="6">
        <f t="shared" si="17"/>
        <v>38000</v>
      </c>
      <c r="AA23" s="9">
        <f t="shared" si="6"/>
        <v>4000</v>
      </c>
    </row>
    <row r="24" spans="1:28" ht="23.25" customHeight="1" x14ac:dyDescent="0.25">
      <c r="A24" s="276"/>
      <c r="B24" s="51" t="s">
        <v>84</v>
      </c>
      <c r="C24" s="57" t="s">
        <v>8</v>
      </c>
      <c r="D24" s="5"/>
      <c r="E24" s="5"/>
      <c r="F24" s="6"/>
      <c r="G24" s="6"/>
      <c r="H24" s="6"/>
      <c r="I24" s="6"/>
      <c r="J24" s="7">
        <f t="shared" si="5"/>
        <v>0</v>
      </c>
      <c r="K24" s="7"/>
      <c r="L24" s="7"/>
      <c r="M24" s="7"/>
      <c r="N24" s="7"/>
      <c r="O24" s="7">
        <f t="shared" si="21"/>
        <v>0</v>
      </c>
      <c r="P24" s="6"/>
      <c r="Q24" s="6"/>
      <c r="R24" s="6"/>
      <c r="S24" s="6"/>
      <c r="T24" s="7">
        <f t="shared" si="22"/>
        <v>0</v>
      </c>
      <c r="U24" s="6"/>
      <c r="V24" s="6"/>
      <c r="W24" s="6"/>
      <c r="X24" s="6"/>
      <c r="Y24" s="6">
        <f t="shared" si="23"/>
        <v>0</v>
      </c>
      <c r="Z24" s="6">
        <f t="shared" si="17"/>
        <v>0</v>
      </c>
      <c r="AA24" s="9">
        <f t="shared" si="6"/>
        <v>0</v>
      </c>
    </row>
    <row r="25" spans="1:28" ht="30" x14ac:dyDescent="0.25">
      <c r="A25" s="276"/>
      <c r="B25" s="51" t="s">
        <v>80</v>
      </c>
      <c r="C25" s="57" t="s">
        <v>11</v>
      </c>
      <c r="D25" s="5"/>
      <c r="E25" s="5"/>
      <c r="F25" s="6">
        <v>8000</v>
      </c>
      <c r="G25" s="6"/>
      <c r="H25" s="6"/>
      <c r="I25" s="6"/>
      <c r="J25" s="7">
        <f t="shared" si="5"/>
        <v>8000</v>
      </c>
      <c r="K25" s="7">
        <v>8000</v>
      </c>
      <c r="L25" s="7"/>
      <c r="M25" s="7"/>
      <c r="N25" s="7"/>
      <c r="O25" s="7">
        <f t="shared" si="21"/>
        <v>8000</v>
      </c>
      <c r="P25" s="6">
        <v>8000</v>
      </c>
      <c r="Q25" s="6"/>
      <c r="R25" s="6"/>
      <c r="S25" s="6"/>
      <c r="T25" s="7">
        <f t="shared" si="22"/>
        <v>8000</v>
      </c>
      <c r="U25" s="6">
        <v>8000</v>
      </c>
      <c r="V25" s="6"/>
      <c r="W25" s="6"/>
      <c r="X25" s="6"/>
      <c r="Y25" s="6">
        <f t="shared" si="23"/>
        <v>8000</v>
      </c>
      <c r="Z25" s="6">
        <f t="shared" si="17"/>
        <v>32000</v>
      </c>
      <c r="AA25" s="9">
        <f t="shared" si="6"/>
        <v>32000</v>
      </c>
    </row>
    <row r="26" spans="1:28" ht="33" customHeight="1" x14ac:dyDescent="0.25">
      <c r="A26" s="276"/>
      <c r="B26" s="50" t="s">
        <v>111</v>
      </c>
      <c r="C26" s="57" t="s">
        <v>12</v>
      </c>
      <c r="D26" s="5"/>
      <c r="E26" s="5"/>
      <c r="F26" s="16"/>
      <c r="G26" s="6">
        <v>21600</v>
      </c>
      <c r="H26" s="6"/>
      <c r="I26" s="6"/>
      <c r="J26" s="7">
        <f>SUM(G26:I26)</f>
        <v>21600</v>
      </c>
      <c r="K26" s="16"/>
      <c r="L26" s="7">
        <v>37530</v>
      </c>
      <c r="M26" s="7"/>
      <c r="N26" s="7"/>
      <c r="O26" s="7">
        <f>SUM(L26:N26)</f>
        <v>37530</v>
      </c>
      <c r="P26" s="16"/>
      <c r="Q26" s="6">
        <v>16740</v>
      </c>
      <c r="R26" s="17"/>
      <c r="S26" s="17"/>
      <c r="T26" s="7">
        <f>SUM(Q26:S26)</f>
        <v>16740</v>
      </c>
      <c r="U26" s="16">
        <v>0</v>
      </c>
      <c r="V26" s="18">
        <v>18600</v>
      </c>
      <c r="W26" s="17"/>
      <c r="X26" s="17"/>
      <c r="Y26" s="6">
        <f>U26+V26+W26+X26</f>
        <v>18600</v>
      </c>
      <c r="Z26" s="6">
        <f t="shared" si="17"/>
        <v>94470</v>
      </c>
      <c r="AA26" s="9">
        <f>G26+L26+Q26+V26</f>
        <v>94470</v>
      </c>
    </row>
    <row r="27" spans="1:28" ht="33" customHeight="1" x14ac:dyDescent="0.25">
      <c r="A27" s="276"/>
      <c r="B27" s="51" t="s">
        <v>81</v>
      </c>
      <c r="C27" s="57"/>
      <c r="D27" s="5"/>
      <c r="E27" s="5"/>
      <c r="F27" s="18"/>
      <c r="G27" s="18"/>
      <c r="H27" s="18"/>
      <c r="I27" s="18"/>
      <c r="J27" s="19"/>
      <c r="K27" s="19"/>
      <c r="L27" s="19">
        <v>45740</v>
      </c>
      <c r="M27" s="19"/>
      <c r="N27" s="19"/>
      <c r="O27" s="19">
        <f t="shared" ref="O27" si="28">SUM(K27:N27)</f>
        <v>45740</v>
      </c>
      <c r="P27" s="18"/>
      <c r="Q27" s="18">
        <v>61300</v>
      </c>
      <c r="R27" s="20"/>
      <c r="S27" s="20"/>
      <c r="T27" s="19">
        <f t="shared" si="22"/>
        <v>61300</v>
      </c>
      <c r="U27" s="19"/>
      <c r="V27" s="18">
        <v>45700</v>
      </c>
      <c r="W27" s="18"/>
      <c r="X27" s="20"/>
      <c r="Y27" s="18">
        <f t="shared" ref="Y27" si="29">SUM(U27:X27)</f>
        <v>45700</v>
      </c>
      <c r="Z27" s="18">
        <f t="shared" si="17"/>
        <v>152740</v>
      </c>
      <c r="AA27" s="9"/>
    </row>
    <row r="28" spans="1:28" ht="18" customHeight="1" x14ac:dyDescent="0.25">
      <c r="A28" s="276"/>
      <c r="B28" s="51" t="s">
        <v>82</v>
      </c>
      <c r="C28" s="58" t="s">
        <v>58</v>
      </c>
      <c r="D28" s="5"/>
      <c r="E28" s="5"/>
      <c r="F28" s="6"/>
      <c r="G28" s="6"/>
      <c r="H28" s="6"/>
      <c r="I28" s="6"/>
      <c r="J28" s="7">
        <f t="shared" si="5"/>
        <v>0</v>
      </c>
      <c r="K28" s="7"/>
      <c r="L28" s="7"/>
      <c r="M28" s="7"/>
      <c r="N28" s="7"/>
      <c r="O28" s="7">
        <f t="shared" si="21"/>
        <v>0</v>
      </c>
      <c r="P28" s="6"/>
      <c r="Q28" s="6"/>
      <c r="R28" s="6"/>
      <c r="S28" s="6"/>
      <c r="T28" s="7">
        <f t="shared" si="22"/>
        <v>0</v>
      </c>
      <c r="U28" s="6"/>
      <c r="V28" s="6"/>
      <c r="W28" s="6"/>
      <c r="X28" s="6"/>
      <c r="Y28" s="6">
        <f t="shared" si="23"/>
        <v>0</v>
      </c>
      <c r="Z28" s="6">
        <f t="shared" si="17"/>
        <v>0</v>
      </c>
      <c r="AA28" s="9">
        <f t="shared" si="6"/>
        <v>0</v>
      </c>
    </row>
    <row r="29" spans="1:28" x14ac:dyDescent="0.25">
      <c r="A29" s="276" t="s">
        <v>230</v>
      </c>
      <c r="B29" s="21"/>
      <c r="C29" s="60"/>
      <c r="D29" s="22"/>
      <c r="E29" s="22"/>
      <c r="F29" s="3">
        <f t="shared" ref="F29:X29" si="30">SUM(F30:F37)</f>
        <v>260880</v>
      </c>
      <c r="G29" s="3">
        <f t="shared" si="30"/>
        <v>10984</v>
      </c>
      <c r="H29" s="3">
        <f t="shared" si="30"/>
        <v>0</v>
      </c>
      <c r="I29" s="3">
        <f t="shared" si="30"/>
        <v>9433</v>
      </c>
      <c r="J29" s="3">
        <f t="shared" si="5"/>
        <v>281297</v>
      </c>
      <c r="K29" s="3">
        <f t="shared" si="30"/>
        <v>111900</v>
      </c>
      <c r="L29" s="3">
        <f t="shared" si="30"/>
        <v>0</v>
      </c>
      <c r="M29" s="3">
        <f t="shared" si="30"/>
        <v>0</v>
      </c>
      <c r="N29" s="3">
        <f t="shared" si="30"/>
        <v>9500</v>
      </c>
      <c r="O29" s="3">
        <f t="shared" si="21"/>
        <v>121400</v>
      </c>
      <c r="P29" s="3">
        <f t="shared" si="30"/>
        <v>121400</v>
      </c>
      <c r="Q29" s="3">
        <f t="shared" si="30"/>
        <v>0</v>
      </c>
      <c r="R29" s="3">
        <f t="shared" si="30"/>
        <v>0</v>
      </c>
      <c r="S29" s="3">
        <f t="shared" si="30"/>
        <v>9800</v>
      </c>
      <c r="T29" s="3">
        <f t="shared" si="22"/>
        <v>131200</v>
      </c>
      <c r="U29" s="3">
        <f t="shared" si="30"/>
        <v>126400</v>
      </c>
      <c r="V29" s="3">
        <f t="shared" si="30"/>
        <v>0</v>
      </c>
      <c r="W29" s="3">
        <f t="shared" si="30"/>
        <v>0</v>
      </c>
      <c r="X29" s="3">
        <f t="shared" si="30"/>
        <v>10000</v>
      </c>
      <c r="Y29" s="3">
        <f t="shared" si="23"/>
        <v>136400</v>
      </c>
      <c r="Z29" s="3">
        <f t="shared" si="17"/>
        <v>670297</v>
      </c>
      <c r="AA29" s="4">
        <f t="shared" si="6"/>
        <v>620580</v>
      </c>
    </row>
    <row r="30" spans="1:28" s="16" customFormat="1" ht="51" customHeight="1" x14ac:dyDescent="0.25">
      <c r="A30" s="276"/>
      <c r="B30" s="51" t="s">
        <v>85</v>
      </c>
      <c r="C30" s="61" t="s">
        <v>59</v>
      </c>
      <c r="D30" s="23"/>
      <c r="E30" s="23"/>
      <c r="F30" s="12">
        <f>19000+12974-10984</f>
        <v>20990</v>
      </c>
      <c r="G30" s="6">
        <v>10984</v>
      </c>
      <c r="H30" s="6"/>
      <c r="I30" s="6"/>
      <c r="J30" s="7">
        <f t="shared" si="5"/>
        <v>31974</v>
      </c>
      <c r="K30" s="7">
        <v>10000</v>
      </c>
      <c r="L30" s="7"/>
      <c r="M30" s="7"/>
      <c r="N30" s="7"/>
      <c r="O30" s="7">
        <f t="shared" si="21"/>
        <v>10000</v>
      </c>
      <c r="P30" s="6">
        <v>15000</v>
      </c>
      <c r="Q30" s="6"/>
      <c r="R30" s="6"/>
      <c r="S30" s="6"/>
      <c r="T30" s="7">
        <f t="shared" si="22"/>
        <v>15000</v>
      </c>
      <c r="U30" s="6">
        <v>20000</v>
      </c>
      <c r="V30" s="6"/>
      <c r="W30" s="6"/>
      <c r="X30" s="6"/>
      <c r="Y30" s="6">
        <f t="shared" si="23"/>
        <v>20000</v>
      </c>
      <c r="Z30" s="6">
        <f t="shared" si="17"/>
        <v>76974</v>
      </c>
      <c r="AA30" s="9">
        <f t="shared" si="6"/>
        <v>65990</v>
      </c>
      <c r="AB30" s="24"/>
    </row>
    <row r="31" spans="1:28" ht="18" customHeight="1" x14ac:dyDescent="0.25">
      <c r="A31" s="276"/>
      <c r="B31" s="51" t="s">
        <v>245</v>
      </c>
      <c r="C31" s="61" t="s">
        <v>1</v>
      </c>
      <c r="D31" s="23"/>
      <c r="E31" s="23"/>
      <c r="F31" s="6">
        <v>8000</v>
      </c>
      <c r="G31" s="6"/>
      <c r="H31" s="6"/>
      <c r="I31" s="6"/>
      <c r="J31" s="7">
        <f t="shared" si="5"/>
        <v>8000</v>
      </c>
      <c r="K31" s="7">
        <v>8000</v>
      </c>
      <c r="L31" s="7"/>
      <c r="M31" s="7"/>
      <c r="N31" s="7"/>
      <c r="O31" s="7">
        <f t="shared" si="21"/>
        <v>8000</v>
      </c>
      <c r="P31" s="6">
        <v>8000</v>
      </c>
      <c r="Q31" s="6"/>
      <c r="R31" s="6"/>
      <c r="S31" s="6"/>
      <c r="T31" s="7">
        <f t="shared" si="22"/>
        <v>8000</v>
      </c>
      <c r="U31" s="6">
        <v>8000</v>
      </c>
      <c r="V31" s="6"/>
      <c r="W31" s="6"/>
      <c r="X31" s="6"/>
      <c r="Y31" s="6">
        <f t="shared" si="23"/>
        <v>8000</v>
      </c>
      <c r="Z31" s="6">
        <f t="shared" si="17"/>
        <v>32000</v>
      </c>
      <c r="AA31" s="9">
        <f t="shared" si="6"/>
        <v>32000</v>
      </c>
    </row>
    <row r="32" spans="1:28" ht="45" x14ac:dyDescent="0.25">
      <c r="A32" s="276"/>
      <c r="B32" s="51" t="s">
        <v>86</v>
      </c>
      <c r="C32" s="58" t="s">
        <v>13</v>
      </c>
      <c r="D32" s="10"/>
      <c r="E32" s="10"/>
      <c r="F32" s="6"/>
      <c r="G32" s="6"/>
      <c r="H32" s="6"/>
      <c r="I32" s="6">
        <v>9433</v>
      </c>
      <c r="J32" s="7">
        <f t="shared" si="5"/>
        <v>9433</v>
      </c>
      <c r="K32" s="7"/>
      <c r="L32" s="7"/>
      <c r="M32" s="7"/>
      <c r="N32" s="7">
        <v>9500</v>
      </c>
      <c r="O32" s="7">
        <f t="shared" si="21"/>
        <v>9500</v>
      </c>
      <c r="P32" s="6"/>
      <c r="Q32" s="6"/>
      <c r="R32" s="6"/>
      <c r="S32" s="6">
        <v>9800</v>
      </c>
      <c r="T32" s="7">
        <f t="shared" si="22"/>
        <v>9800</v>
      </c>
      <c r="U32" s="6"/>
      <c r="V32" s="6"/>
      <c r="W32" s="6"/>
      <c r="X32" s="6">
        <v>10000</v>
      </c>
      <c r="Y32" s="6">
        <f t="shared" si="23"/>
        <v>10000</v>
      </c>
      <c r="Z32" s="6">
        <f t="shared" si="17"/>
        <v>38733</v>
      </c>
      <c r="AA32" s="9">
        <f t="shared" si="6"/>
        <v>0</v>
      </c>
    </row>
    <row r="33" spans="1:27" ht="15.75" customHeight="1" x14ac:dyDescent="0.25">
      <c r="A33" s="276"/>
      <c r="B33" s="51" t="s">
        <v>87</v>
      </c>
      <c r="C33" s="58" t="s">
        <v>13</v>
      </c>
      <c r="D33" s="5"/>
      <c r="E33" s="5"/>
      <c r="F33" s="6"/>
      <c r="G33" s="6"/>
      <c r="H33" s="6"/>
      <c r="I33" s="6"/>
      <c r="J33" s="7">
        <f t="shared" si="5"/>
        <v>0</v>
      </c>
      <c r="K33" s="7"/>
      <c r="L33" s="7"/>
      <c r="M33" s="7"/>
      <c r="N33" s="7"/>
      <c r="O33" s="7">
        <f t="shared" si="21"/>
        <v>0</v>
      </c>
      <c r="P33" s="6"/>
      <c r="Q33" s="6"/>
      <c r="R33" s="6"/>
      <c r="S33" s="6"/>
      <c r="T33" s="7">
        <f t="shared" si="22"/>
        <v>0</v>
      </c>
      <c r="U33" s="6"/>
      <c r="V33" s="6"/>
      <c r="W33" s="6"/>
      <c r="X33" s="6"/>
      <c r="Y33" s="6">
        <f t="shared" si="23"/>
        <v>0</v>
      </c>
      <c r="Z33" s="6">
        <f t="shared" si="17"/>
        <v>0</v>
      </c>
      <c r="AA33" s="9">
        <f t="shared" si="6"/>
        <v>0</v>
      </c>
    </row>
    <row r="34" spans="1:27" ht="45" x14ac:dyDescent="0.25">
      <c r="A34" s="276"/>
      <c r="B34" s="33" t="s">
        <v>246</v>
      </c>
      <c r="C34" s="58" t="s">
        <v>13</v>
      </c>
      <c r="D34" s="5"/>
      <c r="E34" s="5"/>
      <c r="F34" s="6"/>
      <c r="G34" s="6"/>
      <c r="H34" s="6"/>
      <c r="I34" s="6"/>
      <c r="J34" s="7">
        <f t="shared" si="5"/>
        <v>0</v>
      </c>
      <c r="K34" s="7"/>
      <c r="L34" s="7"/>
      <c r="M34" s="7"/>
      <c r="N34" s="7"/>
      <c r="O34" s="7">
        <f t="shared" si="21"/>
        <v>0</v>
      </c>
      <c r="P34" s="6"/>
      <c r="Q34" s="6"/>
      <c r="R34" s="6"/>
      <c r="S34" s="6"/>
      <c r="T34" s="7">
        <f t="shared" si="22"/>
        <v>0</v>
      </c>
      <c r="U34" s="6"/>
      <c r="V34" s="6"/>
      <c r="W34" s="6"/>
      <c r="X34" s="6"/>
      <c r="Y34" s="6">
        <f t="shared" si="23"/>
        <v>0</v>
      </c>
      <c r="Z34" s="6">
        <f t="shared" si="17"/>
        <v>0</v>
      </c>
      <c r="AA34" s="9">
        <f t="shared" si="6"/>
        <v>0</v>
      </c>
    </row>
    <row r="35" spans="1:27" ht="30" x14ac:dyDescent="0.25">
      <c r="A35" s="276"/>
      <c r="B35" s="33" t="s">
        <v>247</v>
      </c>
      <c r="C35" s="58" t="s">
        <v>13</v>
      </c>
      <c r="D35" s="5"/>
      <c r="E35" s="5"/>
      <c r="F35" s="6"/>
      <c r="G35" s="6"/>
      <c r="H35" s="6"/>
      <c r="I35" s="6"/>
      <c r="J35" s="7">
        <f t="shared" si="5"/>
        <v>0</v>
      </c>
      <c r="K35" s="7"/>
      <c r="L35" s="7"/>
      <c r="M35" s="7"/>
      <c r="N35" s="7"/>
      <c r="O35" s="7">
        <f t="shared" si="21"/>
        <v>0</v>
      </c>
      <c r="P35" s="6"/>
      <c r="Q35" s="6"/>
      <c r="R35" s="6"/>
      <c r="S35" s="6"/>
      <c r="T35" s="7">
        <f t="shared" si="22"/>
        <v>0</v>
      </c>
      <c r="U35" s="6"/>
      <c r="V35" s="6"/>
      <c r="W35" s="6"/>
      <c r="X35" s="6"/>
      <c r="Y35" s="6">
        <f t="shared" si="23"/>
        <v>0</v>
      </c>
      <c r="Z35" s="6">
        <f t="shared" si="17"/>
        <v>0</v>
      </c>
      <c r="AA35" s="9">
        <f t="shared" si="6"/>
        <v>0</v>
      </c>
    </row>
    <row r="36" spans="1:27" ht="35.25" customHeight="1" x14ac:dyDescent="0.25">
      <c r="A36" s="276"/>
      <c r="B36" s="51" t="s">
        <v>88</v>
      </c>
      <c r="C36" s="58" t="s">
        <v>13</v>
      </c>
      <c r="D36" s="5"/>
      <c r="E36" s="5"/>
      <c r="F36" s="7">
        <f>134600+14750</f>
        <v>149350</v>
      </c>
      <c r="G36" s="6"/>
      <c r="H36" s="6"/>
      <c r="I36" s="6"/>
      <c r="J36" s="7">
        <f t="shared" si="5"/>
        <v>149350</v>
      </c>
      <c r="K36" s="7"/>
      <c r="L36" s="7"/>
      <c r="M36" s="7"/>
      <c r="N36" s="7"/>
      <c r="O36" s="7">
        <f t="shared" si="21"/>
        <v>0</v>
      </c>
      <c r="P36" s="6"/>
      <c r="Q36" s="6"/>
      <c r="R36" s="6"/>
      <c r="S36" s="6"/>
      <c r="T36" s="7">
        <f t="shared" si="22"/>
        <v>0</v>
      </c>
      <c r="U36" s="6"/>
      <c r="V36" s="6"/>
      <c r="W36" s="6"/>
      <c r="X36" s="6"/>
      <c r="Y36" s="6">
        <f t="shared" si="23"/>
        <v>0</v>
      </c>
      <c r="Z36" s="6">
        <f t="shared" si="17"/>
        <v>149350</v>
      </c>
      <c r="AA36" s="9">
        <f t="shared" si="6"/>
        <v>149350</v>
      </c>
    </row>
    <row r="37" spans="1:27" x14ac:dyDescent="0.25">
      <c r="A37" s="276"/>
      <c r="B37" s="51" t="s">
        <v>89</v>
      </c>
      <c r="C37" s="58" t="s">
        <v>21</v>
      </c>
      <c r="D37" s="5"/>
      <c r="E37" s="5"/>
      <c r="F37" s="6">
        <v>82540</v>
      </c>
      <c r="G37" s="6"/>
      <c r="H37" s="6"/>
      <c r="I37" s="6"/>
      <c r="J37" s="7">
        <f t="shared" si="5"/>
        <v>82540</v>
      </c>
      <c r="K37" s="7">
        <v>93900</v>
      </c>
      <c r="L37" s="7"/>
      <c r="M37" s="7"/>
      <c r="N37" s="7"/>
      <c r="O37" s="7">
        <f t="shared" si="21"/>
        <v>93900</v>
      </c>
      <c r="P37" s="6">
        <v>98400</v>
      </c>
      <c r="Q37" s="6"/>
      <c r="R37" s="6"/>
      <c r="S37" s="6"/>
      <c r="T37" s="7">
        <f t="shared" si="22"/>
        <v>98400</v>
      </c>
      <c r="U37" s="6">
        <v>98400</v>
      </c>
      <c r="V37" s="6"/>
      <c r="W37" s="6"/>
      <c r="X37" s="6"/>
      <c r="Y37" s="6">
        <f t="shared" si="23"/>
        <v>98400</v>
      </c>
      <c r="Z37" s="6">
        <f t="shared" si="17"/>
        <v>373240</v>
      </c>
      <c r="AA37" s="9">
        <f t="shared" si="6"/>
        <v>373240</v>
      </c>
    </row>
    <row r="38" spans="1:27" x14ac:dyDescent="0.25">
      <c r="A38" s="276" t="s">
        <v>231</v>
      </c>
      <c r="B38" s="21"/>
      <c r="C38" s="60"/>
      <c r="D38" s="22"/>
      <c r="E38" s="22"/>
      <c r="F38" s="3">
        <f>SUM(F39:F40)</f>
        <v>80840</v>
      </c>
      <c r="G38" s="3">
        <f>SUM(G39:G40)</f>
        <v>311230</v>
      </c>
      <c r="H38" s="3"/>
      <c r="I38" s="3"/>
      <c r="J38" s="3">
        <f t="shared" si="5"/>
        <v>392070</v>
      </c>
      <c r="K38" s="3">
        <f>SUM(K39:K40)</f>
        <v>79574</v>
      </c>
      <c r="L38" s="3">
        <f t="shared" ref="L38:N38" si="31">SUM(L39:L40)</f>
        <v>334893</v>
      </c>
      <c r="M38" s="3">
        <f t="shared" si="31"/>
        <v>0</v>
      </c>
      <c r="N38" s="3">
        <f t="shared" si="31"/>
        <v>0</v>
      </c>
      <c r="O38" s="3">
        <f t="shared" si="21"/>
        <v>414467</v>
      </c>
      <c r="P38" s="3">
        <f>SUM(P39:P40)</f>
        <v>28627</v>
      </c>
      <c r="Q38" s="3">
        <f>SUM(Q39:Q40)</f>
        <v>39743</v>
      </c>
      <c r="R38" s="3">
        <f t="shared" ref="R38:S38" si="32">SUM(R39:R40)</f>
        <v>0</v>
      </c>
      <c r="S38" s="3">
        <f t="shared" si="32"/>
        <v>0</v>
      </c>
      <c r="T38" s="3">
        <f>SUM(P38:S38)</f>
        <v>68370</v>
      </c>
      <c r="U38" s="3">
        <f>SUM(U39:U40)</f>
        <v>34829</v>
      </c>
      <c r="V38" s="3">
        <f>SUM(V39:V40)</f>
        <v>68001</v>
      </c>
      <c r="W38" s="3">
        <f t="shared" ref="W38:X38" si="33">SUM(W39:W40)</f>
        <v>0</v>
      </c>
      <c r="X38" s="3">
        <f t="shared" si="33"/>
        <v>0</v>
      </c>
      <c r="Y38" s="3">
        <f t="shared" si="23"/>
        <v>102830</v>
      </c>
      <c r="Z38" s="3">
        <f t="shared" si="17"/>
        <v>977737</v>
      </c>
      <c r="AA38" s="4">
        <f t="shared" si="6"/>
        <v>223870</v>
      </c>
    </row>
    <row r="39" spans="1:27" ht="22.5" x14ac:dyDescent="0.25">
      <c r="A39" s="276"/>
      <c r="B39" s="33" t="s">
        <v>248</v>
      </c>
      <c r="C39" s="58" t="s">
        <v>60</v>
      </c>
      <c r="D39" s="5"/>
      <c r="E39" s="5"/>
      <c r="F39" s="7">
        <v>57659</v>
      </c>
      <c r="G39" s="7">
        <v>242625</v>
      </c>
      <c r="H39" s="7"/>
      <c r="I39" s="7"/>
      <c r="J39" s="7">
        <f t="shared" si="5"/>
        <v>300284</v>
      </c>
      <c r="K39" s="7">
        <v>60338</v>
      </c>
      <c r="L39" s="7">
        <v>244663</v>
      </c>
      <c r="M39" s="7"/>
      <c r="N39" s="7"/>
      <c r="O39" s="7">
        <f t="shared" si="21"/>
        <v>305001</v>
      </c>
      <c r="P39" s="7">
        <v>21000</v>
      </c>
      <c r="Q39" s="7">
        <v>5000</v>
      </c>
      <c r="R39" s="7"/>
      <c r="S39" s="7"/>
      <c r="T39" s="7">
        <f t="shared" si="22"/>
        <v>26000</v>
      </c>
      <c r="U39" s="6">
        <v>21000</v>
      </c>
      <c r="V39" s="6">
        <v>5000</v>
      </c>
      <c r="W39" s="6"/>
      <c r="X39" s="6"/>
      <c r="Y39" s="6">
        <f t="shared" si="23"/>
        <v>26000</v>
      </c>
      <c r="Z39" s="6">
        <f t="shared" si="17"/>
        <v>657285</v>
      </c>
      <c r="AA39" s="9">
        <f t="shared" si="6"/>
        <v>159997</v>
      </c>
    </row>
    <row r="40" spans="1:27" x14ac:dyDescent="0.25">
      <c r="A40" s="276"/>
      <c r="B40" s="33" t="s">
        <v>249</v>
      </c>
      <c r="C40" s="58" t="s">
        <v>61</v>
      </c>
      <c r="D40" s="5"/>
      <c r="E40" s="5"/>
      <c r="F40" s="7">
        <f>23181</f>
        <v>23181</v>
      </c>
      <c r="G40" s="7">
        <f>64605+4000</f>
        <v>68605</v>
      </c>
      <c r="H40" s="7"/>
      <c r="I40" s="7"/>
      <c r="J40" s="7">
        <f t="shared" si="5"/>
        <v>91786</v>
      </c>
      <c r="K40" s="7">
        <f>28236-9000</f>
        <v>19236</v>
      </c>
      <c r="L40" s="7">
        <v>90230</v>
      </c>
      <c r="M40" s="7"/>
      <c r="N40" s="7"/>
      <c r="O40" s="7">
        <f t="shared" si="21"/>
        <v>109466</v>
      </c>
      <c r="P40" s="7">
        <f>17627-10000</f>
        <v>7627</v>
      </c>
      <c r="Q40" s="7">
        <v>34743</v>
      </c>
      <c r="R40" s="7"/>
      <c r="S40" s="7"/>
      <c r="T40" s="7">
        <f t="shared" si="22"/>
        <v>42370</v>
      </c>
      <c r="U40" s="6">
        <f>18829-5000</f>
        <v>13829</v>
      </c>
      <c r="V40" s="6">
        <v>63001</v>
      </c>
      <c r="W40" s="6"/>
      <c r="X40" s="6"/>
      <c r="Y40" s="6">
        <f t="shared" si="23"/>
        <v>76830</v>
      </c>
      <c r="Z40" s="6">
        <f t="shared" si="17"/>
        <v>320452</v>
      </c>
      <c r="AA40" s="9">
        <f t="shared" si="6"/>
        <v>63873</v>
      </c>
    </row>
    <row r="41" spans="1:27" ht="45" customHeight="1" x14ac:dyDescent="0.25">
      <c r="A41" s="276" t="s">
        <v>232</v>
      </c>
      <c r="B41" s="21"/>
      <c r="C41" s="60"/>
      <c r="D41" s="22"/>
      <c r="E41" s="22"/>
      <c r="F41" s="3">
        <f>SUM(F42:F46)</f>
        <v>24630</v>
      </c>
      <c r="G41" s="3">
        <f>SUM(G42:G46)</f>
        <v>0</v>
      </c>
      <c r="H41" s="3">
        <f t="shared" ref="H41:I41" si="34">SUM(H42:H46)</f>
        <v>0</v>
      </c>
      <c r="I41" s="3">
        <f t="shared" si="34"/>
        <v>5829</v>
      </c>
      <c r="J41" s="3">
        <f>SUM(F41:I41)</f>
        <v>30459</v>
      </c>
      <c r="K41" s="3">
        <f>SUM(K42:K46)</f>
        <v>30007</v>
      </c>
      <c r="L41" s="3">
        <f t="shared" ref="L41:N41" si="35">SUM(L42:L46)</f>
        <v>0</v>
      </c>
      <c r="M41" s="3">
        <f t="shared" si="35"/>
        <v>0</v>
      </c>
      <c r="N41" s="3">
        <f t="shared" si="35"/>
        <v>0</v>
      </c>
      <c r="O41" s="3">
        <f t="shared" si="21"/>
        <v>30007</v>
      </c>
      <c r="P41" s="3">
        <f>SUM(P42:P46)</f>
        <v>30147</v>
      </c>
      <c r="Q41" s="3">
        <f t="shared" ref="Q41:S41" si="36">SUM(Q42:Q46)</f>
        <v>0</v>
      </c>
      <c r="R41" s="3">
        <f t="shared" si="36"/>
        <v>0</v>
      </c>
      <c r="S41" s="3">
        <f t="shared" si="36"/>
        <v>0</v>
      </c>
      <c r="T41" s="3">
        <f>SUM(P41:S41)</f>
        <v>30147</v>
      </c>
      <c r="U41" s="3">
        <f>SUM(U42:U46)</f>
        <v>30347</v>
      </c>
      <c r="V41" s="3">
        <f t="shared" ref="V41:X41" si="37">SUM(V42:V46)</f>
        <v>0</v>
      </c>
      <c r="W41" s="3">
        <f t="shared" si="37"/>
        <v>0</v>
      </c>
      <c r="X41" s="3">
        <f t="shared" si="37"/>
        <v>0</v>
      </c>
      <c r="Y41" s="3">
        <f t="shared" si="23"/>
        <v>30347</v>
      </c>
      <c r="Z41" s="3">
        <f t="shared" si="17"/>
        <v>120960</v>
      </c>
      <c r="AA41" s="4">
        <f t="shared" si="6"/>
        <v>115131</v>
      </c>
    </row>
    <row r="42" spans="1:27" ht="24" customHeight="1" x14ac:dyDescent="0.25">
      <c r="A42" s="276"/>
      <c r="B42" s="50" t="s">
        <v>90</v>
      </c>
      <c r="C42" s="58" t="s">
        <v>22</v>
      </c>
      <c r="D42" s="5"/>
      <c r="E42" s="5"/>
      <c r="F42" s="7">
        <f>22001-2795</f>
        <v>19206</v>
      </c>
      <c r="G42" s="7"/>
      <c r="H42" s="7"/>
      <c r="I42" s="7">
        <v>5829</v>
      </c>
      <c r="J42" s="7">
        <f t="shared" si="5"/>
        <v>25035</v>
      </c>
      <c r="K42" s="7">
        <v>20795</v>
      </c>
      <c r="L42" s="7"/>
      <c r="M42" s="7"/>
      <c r="N42" s="7"/>
      <c r="O42" s="7">
        <f t="shared" si="21"/>
        <v>20795</v>
      </c>
      <c r="P42" s="7">
        <v>20935</v>
      </c>
      <c r="Q42" s="7"/>
      <c r="R42" s="7"/>
      <c r="S42" s="7"/>
      <c r="T42" s="7">
        <f t="shared" si="22"/>
        <v>20935</v>
      </c>
      <c r="U42" s="6">
        <v>21135</v>
      </c>
      <c r="V42" s="6"/>
      <c r="W42" s="6"/>
      <c r="X42" s="6"/>
      <c r="Y42" s="6">
        <f t="shared" si="23"/>
        <v>21135</v>
      </c>
      <c r="Z42" s="6">
        <f t="shared" si="17"/>
        <v>87900</v>
      </c>
      <c r="AA42" s="9">
        <f t="shared" si="6"/>
        <v>82071</v>
      </c>
    </row>
    <row r="43" spans="1:27" ht="15.75" customHeight="1" x14ac:dyDescent="0.25">
      <c r="A43" s="276"/>
      <c r="B43" s="50" t="s">
        <v>91</v>
      </c>
      <c r="C43" s="58" t="s">
        <v>23</v>
      </c>
      <c r="D43" s="5"/>
      <c r="E43" s="5"/>
      <c r="F43" s="7">
        <v>3904</v>
      </c>
      <c r="G43" s="25"/>
      <c r="H43" s="25"/>
      <c r="I43" s="7"/>
      <c r="J43" s="7">
        <f t="shared" si="5"/>
        <v>3904</v>
      </c>
      <c r="K43" s="7">
        <v>7695</v>
      </c>
      <c r="L43" s="7"/>
      <c r="M43" s="7"/>
      <c r="N43" s="7"/>
      <c r="O43" s="7">
        <f t="shared" si="21"/>
        <v>7695</v>
      </c>
      <c r="P43" s="7">
        <v>7695</v>
      </c>
      <c r="Q43" s="7"/>
      <c r="R43" s="7"/>
      <c r="S43" s="7"/>
      <c r="T43" s="7">
        <f t="shared" si="22"/>
        <v>7695</v>
      </c>
      <c r="U43" s="6">
        <v>7695</v>
      </c>
      <c r="V43" s="6"/>
      <c r="W43" s="6"/>
      <c r="X43" s="6"/>
      <c r="Y43" s="6">
        <f t="shared" si="23"/>
        <v>7695</v>
      </c>
      <c r="Z43" s="6">
        <f t="shared" si="17"/>
        <v>26989</v>
      </c>
      <c r="AA43" s="9">
        <f t="shared" si="6"/>
        <v>26989</v>
      </c>
    </row>
    <row r="44" spans="1:27" ht="30" x14ac:dyDescent="0.25">
      <c r="A44" s="276"/>
      <c r="B44" s="50" t="s">
        <v>92</v>
      </c>
      <c r="C44" s="57" t="s">
        <v>216</v>
      </c>
      <c r="D44" s="5"/>
      <c r="E44" s="5"/>
      <c r="F44" s="7"/>
      <c r="G44" s="7"/>
      <c r="H44" s="7"/>
      <c r="I44" s="7"/>
      <c r="J44" s="7">
        <f t="shared" si="5"/>
        <v>0</v>
      </c>
      <c r="K44" s="7"/>
      <c r="L44" s="7"/>
      <c r="M44" s="7"/>
      <c r="N44" s="7"/>
      <c r="O44" s="7">
        <f t="shared" si="21"/>
        <v>0</v>
      </c>
      <c r="P44" s="7"/>
      <c r="Q44" s="7"/>
      <c r="R44" s="7"/>
      <c r="S44" s="7"/>
      <c r="T44" s="7">
        <f t="shared" si="22"/>
        <v>0</v>
      </c>
      <c r="U44" s="6"/>
      <c r="V44" s="6"/>
      <c r="W44" s="6"/>
      <c r="X44" s="6"/>
      <c r="Y44" s="6">
        <f t="shared" si="23"/>
        <v>0</v>
      </c>
      <c r="Z44" s="6">
        <f t="shared" si="17"/>
        <v>0</v>
      </c>
      <c r="AA44" s="9">
        <f t="shared" si="6"/>
        <v>0</v>
      </c>
    </row>
    <row r="45" spans="1:27" ht="45" x14ac:dyDescent="0.25">
      <c r="A45" s="276"/>
      <c r="B45" s="50" t="s">
        <v>93</v>
      </c>
      <c r="C45" s="57" t="s">
        <v>215</v>
      </c>
      <c r="D45" s="5"/>
      <c r="E45" s="5"/>
      <c r="F45" s="7">
        <v>1520</v>
      </c>
      <c r="G45" s="7"/>
      <c r="H45" s="7"/>
      <c r="I45" s="7"/>
      <c r="J45" s="7">
        <f t="shared" si="5"/>
        <v>1520</v>
      </c>
      <c r="K45" s="7">
        <v>1517</v>
      </c>
      <c r="L45" s="7"/>
      <c r="M45" s="7"/>
      <c r="N45" s="7"/>
      <c r="O45" s="7">
        <f t="shared" si="21"/>
        <v>1517</v>
      </c>
      <c r="P45" s="7">
        <v>1517</v>
      </c>
      <c r="Q45" s="7"/>
      <c r="R45" s="7"/>
      <c r="S45" s="7"/>
      <c r="T45" s="7">
        <f t="shared" si="22"/>
        <v>1517</v>
      </c>
      <c r="U45" s="6">
        <v>1517</v>
      </c>
      <c r="V45" s="6"/>
      <c r="W45" s="6"/>
      <c r="X45" s="6"/>
      <c r="Y45" s="6">
        <f t="shared" si="23"/>
        <v>1517</v>
      </c>
      <c r="Z45" s="6">
        <f t="shared" si="17"/>
        <v>6071</v>
      </c>
      <c r="AA45" s="9">
        <f t="shared" si="6"/>
        <v>6071</v>
      </c>
    </row>
    <row r="46" spans="1:27" x14ac:dyDescent="0.25">
      <c r="A46" s="276"/>
      <c r="B46" s="51"/>
      <c r="C46" s="58"/>
      <c r="D46" s="5"/>
      <c r="E46" s="5"/>
      <c r="F46" s="7"/>
      <c r="G46" s="7"/>
      <c r="H46" s="7"/>
      <c r="I46" s="7"/>
      <c r="J46" s="7">
        <f t="shared" si="5"/>
        <v>0</v>
      </c>
      <c r="K46" s="7"/>
      <c r="L46" s="7"/>
      <c r="M46" s="7"/>
      <c r="N46" s="7"/>
      <c r="O46" s="7">
        <f t="shared" si="21"/>
        <v>0</v>
      </c>
      <c r="P46" s="7"/>
      <c r="Q46" s="7"/>
      <c r="R46" s="7"/>
      <c r="S46" s="7"/>
      <c r="T46" s="7">
        <f t="shared" si="22"/>
        <v>0</v>
      </c>
      <c r="U46" s="6"/>
      <c r="V46" s="6"/>
      <c r="W46" s="6"/>
      <c r="X46" s="6"/>
      <c r="Y46" s="6">
        <f t="shared" si="23"/>
        <v>0</v>
      </c>
      <c r="Z46" s="6">
        <f t="shared" si="17"/>
        <v>0</v>
      </c>
      <c r="AA46" s="9">
        <f t="shared" si="6"/>
        <v>0</v>
      </c>
    </row>
    <row r="47" spans="1:27" ht="18.75" customHeight="1" x14ac:dyDescent="0.25">
      <c r="A47" s="276" t="s">
        <v>233</v>
      </c>
      <c r="B47" s="21"/>
      <c r="C47" s="60"/>
      <c r="D47" s="22"/>
      <c r="E47" s="22"/>
      <c r="F47" s="3">
        <f>SUM(F48:F51)</f>
        <v>1650</v>
      </c>
      <c r="G47" s="3">
        <f>SUM(G48:G51)</f>
        <v>8393</v>
      </c>
      <c r="H47" s="3">
        <f t="shared" ref="H47:I47" si="38">SUM(H48:H51)</f>
        <v>0</v>
      </c>
      <c r="I47" s="3">
        <f t="shared" si="38"/>
        <v>0</v>
      </c>
      <c r="J47" s="3">
        <f t="shared" si="5"/>
        <v>10043</v>
      </c>
      <c r="K47" s="3">
        <f>SUM(K48:K51)</f>
        <v>875</v>
      </c>
      <c r="L47" s="3">
        <f>SUM(L48:L51)</f>
        <v>7347</v>
      </c>
      <c r="M47" s="3">
        <f>SUM(M48:M51)</f>
        <v>0</v>
      </c>
      <c r="N47" s="3">
        <f>SUM(N48:N51)</f>
        <v>0</v>
      </c>
      <c r="O47" s="3">
        <f>SUM(K47:N47)</f>
        <v>8222</v>
      </c>
      <c r="P47" s="3">
        <f>SUM(P48:P51)</f>
        <v>750</v>
      </c>
      <c r="Q47" s="3">
        <f>SUM(Q48:Q51)</f>
        <v>6000</v>
      </c>
      <c r="R47" s="3">
        <f>SUM(R48:R51)</f>
        <v>0</v>
      </c>
      <c r="S47" s="3">
        <f>SUM(S48:S51)</f>
        <v>0</v>
      </c>
      <c r="T47" s="3">
        <f>SUM(P47:S47)</f>
        <v>6750</v>
      </c>
      <c r="U47" s="3">
        <f>SUM(U48:U51)</f>
        <v>5450</v>
      </c>
      <c r="V47" s="3">
        <f>SUM(V48:V51)</f>
        <v>6000</v>
      </c>
      <c r="W47" s="3">
        <f>SUM(W48:W51)</f>
        <v>0</v>
      </c>
      <c r="X47" s="3">
        <f>SUM(X48:X51)</f>
        <v>0</v>
      </c>
      <c r="Y47" s="3">
        <f>SUM(U47:X47)</f>
        <v>11450</v>
      </c>
      <c r="Z47" s="3">
        <f t="shared" si="17"/>
        <v>36465</v>
      </c>
      <c r="AA47" s="4">
        <f t="shared" si="6"/>
        <v>8725</v>
      </c>
    </row>
    <row r="48" spans="1:27" ht="22.5" x14ac:dyDescent="0.25">
      <c r="A48" s="276"/>
      <c r="B48" s="50" t="s">
        <v>94</v>
      </c>
      <c r="C48" s="57" t="s">
        <v>52</v>
      </c>
      <c r="D48" s="5"/>
      <c r="E48" s="5"/>
      <c r="F48" s="7">
        <v>100</v>
      </c>
      <c r="G48" s="7"/>
      <c r="H48" s="7"/>
      <c r="I48" s="7"/>
      <c r="J48" s="7">
        <f t="shared" si="5"/>
        <v>100</v>
      </c>
      <c r="K48" s="7">
        <v>150</v>
      </c>
      <c r="L48" s="7"/>
      <c r="M48" s="7"/>
      <c r="N48" s="7"/>
      <c r="O48" s="7">
        <f t="shared" si="21"/>
        <v>150</v>
      </c>
      <c r="P48" s="7">
        <v>150</v>
      </c>
      <c r="Q48" s="7"/>
      <c r="R48" s="7"/>
      <c r="S48" s="7"/>
      <c r="T48" s="7">
        <f t="shared" si="22"/>
        <v>150</v>
      </c>
      <c r="U48" s="6">
        <v>150</v>
      </c>
      <c r="V48" s="6"/>
      <c r="W48" s="6"/>
      <c r="X48" s="6"/>
      <c r="Y48" s="6">
        <f t="shared" si="23"/>
        <v>150</v>
      </c>
      <c r="Z48" s="6">
        <f t="shared" si="17"/>
        <v>550</v>
      </c>
      <c r="AA48" s="9">
        <f t="shared" si="6"/>
        <v>550</v>
      </c>
    </row>
    <row r="49" spans="1:116" ht="22.5" customHeight="1" x14ac:dyDescent="0.25">
      <c r="A49" s="276"/>
      <c r="B49" s="50" t="s">
        <v>95</v>
      </c>
      <c r="C49" s="58" t="s">
        <v>208</v>
      </c>
      <c r="D49" s="5"/>
      <c r="E49" s="5"/>
      <c r="F49" s="7">
        <f>6250-4700-100</f>
        <v>1450</v>
      </c>
      <c r="G49" s="7">
        <f>8393-1223</f>
        <v>7170</v>
      </c>
      <c r="H49" s="7"/>
      <c r="I49" s="7"/>
      <c r="J49" s="7">
        <f t="shared" si="5"/>
        <v>8620</v>
      </c>
      <c r="K49" s="7">
        <v>600</v>
      </c>
      <c r="L49" s="7">
        <v>6000</v>
      </c>
      <c r="M49" s="7"/>
      <c r="N49" s="7"/>
      <c r="O49" s="7">
        <f t="shared" si="21"/>
        <v>6600</v>
      </c>
      <c r="P49" s="7">
        <v>600</v>
      </c>
      <c r="Q49" s="7">
        <v>6000</v>
      </c>
      <c r="R49" s="7"/>
      <c r="S49" s="7"/>
      <c r="T49" s="7">
        <f t="shared" si="22"/>
        <v>6600</v>
      </c>
      <c r="U49" s="6">
        <v>5300</v>
      </c>
      <c r="V49" s="6">
        <v>6000</v>
      </c>
      <c r="W49" s="6"/>
      <c r="X49" s="6"/>
      <c r="Y49" s="6">
        <f t="shared" si="23"/>
        <v>11300</v>
      </c>
      <c r="Z49" s="6">
        <f t="shared" si="17"/>
        <v>33120</v>
      </c>
      <c r="AA49" s="9">
        <f t="shared" si="6"/>
        <v>7950</v>
      </c>
    </row>
    <row r="50" spans="1:116" ht="30" x14ac:dyDescent="0.25">
      <c r="A50" s="276"/>
      <c r="B50" s="50" t="s">
        <v>96</v>
      </c>
      <c r="C50" s="58" t="s">
        <v>29</v>
      </c>
      <c r="D50" s="5"/>
      <c r="E50" s="5"/>
      <c r="F50" s="7"/>
      <c r="G50" s="7"/>
      <c r="H50" s="7"/>
      <c r="I50" s="7"/>
      <c r="J50" s="7">
        <f t="shared" si="5"/>
        <v>0</v>
      </c>
      <c r="K50" s="7"/>
      <c r="L50" s="7"/>
      <c r="M50" s="7"/>
      <c r="N50" s="7"/>
      <c r="O50" s="7">
        <f t="shared" si="21"/>
        <v>0</v>
      </c>
      <c r="P50" s="7"/>
      <c r="Q50" s="7"/>
      <c r="R50" s="7"/>
      <c r="S50" s="7"/>
      <c r="T50" s="7">
        <f t="shared" si="22"/>
        <v>0</v>
      </c>
      <c r="U50" s="6"/>
      <c r="V50" s="6"/>
      <c r="W50" s="6"/>
      <c r="X50" s="6"/>
      <c r="Y50" s="6">
        <f t="shared" si="23"/>
        <v>0</v>
      </c>
      <c r="Z50" s="6">
        <f t="shared" si="17"/>
        <v>0</v>
      </c>
      <c r="AA50" s="9">
        <f t="shared" si="6"/>
        <v>0</v>
      </c>
    </row>
    <row r="51" spans="1:116" x14ac:dyDescent="0.25">
      <c r="A51" s="276"/>
      <c r="B51" s="50" t="s">
        <v>97</v>
      </c>
      <c r="C51" s="58" t="s">
        <v>28</v>
      </c>
      <c r="D51" s="5"/>
      <c r="E51" s="5"/>
      <c r="F51" s="7">
        <v>100</v>
      </c>
      <c r="G51" s="7">
        <v>1223</v>
      </c>
      <c r="H51" s="7"/>
      <c r="I51" s="7"/>
      <c r="J51" s="7">
        <f t="shared" si="5"/>
        <v>1323</v>
      </c>
      <c r="K51" s="7">
        <v>125</v>
      </c>
      <c r="L51" s="7">
        <v>1347</v>
      </c>
      <c r="M51" s="7"/>
      <c r="N51" s="7"/>
      <c r="O51" s="7">
        <f t="shared" si="21"/>
        <v>1472</v>
      </c>
      <c r="P51" s="7"/>
      <c r="Q51" s="7"/>
      <c r="R51" s="7"/>
      <c r="S51" s="7"/>
      <c r="T51" s="7">
        <f t="shared" si="22"/>
        <v>0</v>
      </c>
      <c r="U51" s="6"/>
      <c r="V51" s="6"/>
      <c r="W51" s="6"/>
      <c r="X51" s="6"/>
      <c r="Y51" s="6">
        <f t="shared" si="23"/>
        <v>0</v>
      </c>
      <c r="Z51" s="6">
        <f t="shared" si="17"/>
        <v>2795</v>
      </c>
      <c r="AA51" s="9">
        <f t="shared" si="6"/>
        <v>225</v>
      </c>
    </row>
    <row r="52" spans="1:116" ht="16.5" customHeight="1" x14ac:dyDescent="0.25">
      <c r="A52" s="276" t="s">
        <v>234</v>
      </c>
      <c r="B52" s="21"/>
      <c r="C52" s="60"/>
      <c r="D52" s="22"/>
      <c r="E52" s="22"/>
      <c r="F52" s="3">
        <f t="shared" ref="F52:N52" si="39">SUM(F53:F60)</f>
        <v>130247</v>
      </c>
      <c r="G52" s="3">
        <f t="shared" si="39"/>
        <v>9460</v>
      </c>
      <c r="H52" s="3">
        <f t="shared" si="39"/>
        <v>0</v>
      </c>
      <c r="I52" s="3">
        <f t="shared" si="39"/>
        <v>0</v>
      </c>
      <c r="J52" s="3">
        <f>SUM(F52:I52)</f>
        <v>139707</v>
      </c>
      <c r="K52" s="3">
        <f t="shared" si="39"/>
        <v>0</v>
      </c>
      <c r="L52" s="3">
        <f t="shared" si="39"/>
        <v>0</v>
      </c>
      <c r="M52" s="3">
        <f t="shared" si="39"/>
        <v>0</v>
      </c>
      <c r="N52" s="3">
        <f t="shared" si="39"/>
        <v>0</v>
      </c>
      <c r="O52" s="3">
        <f>SUM(K52:N52)</f>
        <v>0</v>
      </c>
      <c r="P52" s="3">
        <f>SUM(P53:P60)</f>
        <v>0</v>
      </c>
      <c r="Q52" s="3">
        <f>SUM(Q53:Q60)</f>
        <v>0</v>
      </c>
      <c r="R52" s="3">
        <f>SUM(R53:R60)</f>
        <v>0</v>
      </c>
      <c r="S52" s="3">
        <f>SUM(S53:S60)</f>
        <v>0</v>
      </c>
      <c r="T52" s="3">
        <f>SUM(P52:S52)</f>
        <v>0</v>
      </c>
      <c r="U52" s="3">
        <f>SUM(U53:U60)</f>
        <v>0</v>
      </c>
      <c r="V52" s="3">
        <f>SUM(V53:V60)</f>
        <v>0</v>
      </c>
      <c r="W52" s="3">
        <f>SUM(W53:W60)</f>
        <v>0</v>
      </c>
      <c r="X52" s="3">
        <f>SUM(X53:X60)</f>
        <v>0</v>
      </c>
      <c r="Y52" s="3">
        <f>SUM(U52:X52)</f>
        <v>0</v>
      </c>
      <c r="Z52" s="3">
        <f t="shared" si="17"/>
        <v>139707</v>
      </c>
      <c r="AA52" s="4">
        <f t="shared" si="6"/>
        <v>130247</v>
      </c>
    </row>
    <row r="53" spans="1:116" ht="45" x14ac:dyDescent="0.25">
      <c r="A53" s="276"/>
      <c r="B53" s="50" t="s">
        <v>98</v>
      </c>
      <c r="C53" s="62" t="s">
        <v>62</v>
      </c>
      <c r="D53" s="10"/>
      <c r="E53" s="10"/>
      <c r="F53" s="7">
        <f>10872+36000</f>
        <v>46872</v>
      </c>
      <c r="G53" s="7"/>
      <c r="H53" s="7"/>
      <c r="I53" s="7"/>
      <c r="J53" s="7">
        <f t="shared" si="5"/>
        <v>46872</v>
      </c>
      <c r="K53" s="7"/>
      <c r="L53" s="7"/>
      <c r="M53" s="7"/>
      <c r="N53" s="7"/>
      <c r="O53" s="7">
        <f t="shared" si="21"/>
        <v>0</v>
      </c>
      <c r="P53" s="7"/>
      <c r="Q53" s="7"/>
      <c r="R53" s="7"/>
      <c r="S53" s="7"/>
      <c r="T53" s="7">
        <f t="shared" si="22"/>
        <v>0</v>
      </c>
      <c r="U53" s="6"/>
      <c r="V53" s="6"/>
      <c r="W53" s="6"/>
      <c r="X53" s="6"/>
      <c r="Y53" s="6">
        <f t="shared" si="23"/>
        <v>0</v>
      </c>
      <c r="Z53" s="6">
        <f t="shared" si="17"/>
        <v>46872</v>
      </c>
      <c r="AA53" s="9">
        <f t="shared" si="6"/>
        <v>46872</v>
      </c>
    </row>
    <row r="54" spans="1:116" ht="35.25" customHeight="1" x14ac:dyDescent="0.25">
      <c r="A54" s="276"/>
      <c r="B54" s="50" t="s">
        <v>99</v>
      </c>
      <c r="C54" s="62" t="s">
        <v>63</v>
      </c>
      <c r="D54" s="10"/>
      <c r="E54" s="10"/>
      <c r="F54" s="16"/>
      <c r="G54" s="7">
        <f>9100+360</f>
        <v>9460</v>
      </c>
      <c r="H54" s="7"/>
      <c r="I54" s="7"/>
      <c r="J54" s="7">
        <f>SUM(G54:I54)</f>
        <v>9460</v>
      </c>
      <c r="K54" s="7"/>
      <c r="L54" s="7"/>
      <c r="M54" s="7"/>
      <c r="N54" s="7"/>
      <c r="O54" s="7">
        <f t="shared" si="21"/>
        <v>0</v>
      </c>
      <c r="P54" s="7"/>
      <c r="Q54" s="7"/>
      <c r="R54" s="7"/>
      <c r="S54" s="7"/>
      <c r="T54" s="7">
        <f t="shared" si="22"/>
        <v>0</v>
      </c>
      <c r="U54" s="6"/>
      <c r="V54" s="6"/>
      <c r="W54" s="6"/>
      <c r="X54" s="6"/>
      <c r="Y54" s="6">
        <f t="shared" si="23"/>
        <v>0</v>
      </c>
      <c r="Z54" s="6">
        <f t="shared" si="17"/>
        <v>9460</v>
      </c>
      <c r="AA54" s="9">
        <f>G54+K54+P54+U54</f>
        <v>9460</v>
      </c>
    </row>
    <row r="55" spans="1:116" ht="60" x14ac:dyDescent="0.25">
      <c r="A55" s="276"/>
      <c r="B55" s="50" t="s">
        <v>100</v>
      </c>
      <c r="C55" s="57"/>
      <c r="D55" s="5"/>
      <c r="E55" s="5"/>
      <c r="F55" s="7"/>
      <c r="G55" s="7"/>
      <c r="H55" s="7"/>
      <c r="I55" s="7"/>
      <c r="J55" s="7">
        <f t="shared" si="5"/>
        <v>0</v>
      </c>
      <c r="K55" s="7"/>
      <c r="L55" s="7"/>
      <c r="M55" s="7"/>
      <c r="N55" s="7"/>
      <c r="O55" s="7">
        <f t="shared" si="21"/>
        <v>0</v>
      </c>
      <c r="P55" s="7"/>
      <c r="Q55" s="7"/>
      <c r="R55" s="7"/>
      <c r="S55" s="7"/>
      <c r="T55" s="7">
        <f t="shared" si="22"/>
        <v>0</v>
      </c>
      <c r="U55" s="6"/>
      <c r="V55" s="6"/>
      <c r="W55" s="6"/>
      <c r="X55" s="6"/>
      <c r="Y55" s="6">
        <f t="shared" si="23"/>
        <v>0</v>
      </c>
      <c r="Z55" s="6">
        <f t="shared" si="17"/>
        <v>0</v>
      </c>
      <c r="AA55" s="9">
        <f t="shared" si="6"/>
        <v>0</v>
      </c>
    </row>
    <row r="56" spans="1:116" ht="42.75" customHeight="1" x14ac:dyDescent="0.25">
      <c r="A56" s="276"/>
      <c r="B56" s="50" t="s">
        <v>101</v>
      </c>
      <c r="C56" s="62" t="s">
        <v>187</v>
      </c>
      <c r="D56" s="10"/>
      <c r="E56" s="10"/>
      <c r="F56" s="7">
        <v>54075</v>
      </c>
      <c r="G56" s="7"/>
      <c r="H56" s="7"/>
      <c r="I56" s="7"/>
      <c r="J56" s="7">
        <f t="shared" si="5"/>
        <v>54075</v>
      </c>
      <c r="K56" s="7"/>
      <c r="L56" s="7"/>
      <c r="M56" s="7"/>
      <c r="N56" s="7"/>
      <c r="O56" s="7">
        <f t="shared" si="21"/>
        <v>0</v>
      </c>
      <c r="P56" s="7"/>
      <c r="Q56" s="7"/>
      <c r="R56" s="7"/>
      <c r="S56" s="7"/>
      <c r="T56" s="7">
        <f t="shared" si="22"/>
        <v>0</v>
      </c>
      <c r="U56" s="6"/>
      <c r="V56" s="6"/>
      <c r="W56" s="6"/>
      <c r="X56" s="6"/>
      <c r="Y56" s="6">
        <f t="shared" si="23"/>
        <v>0</v>
      </c>
      <c r="Z56" s="6">
        <f t="shared" si="17"/>
        <v>54075</v>
      </c>
      <c r="AA56" s="9">
        <f t="shared" si="6"/>
        <v>54075</v>
      </c>
    </row>
    <row r="57" spans="1:116" ht="45.75" customHeight="1" x14ac:dyDescent="0.25">
      <c r="A57" s="276"/>
      <c r="B57" s="50" t="s">
        <v>102</v>
      </c>
      <c r="C57" s="57" t="s">
        <v>64</v>
      </c>
      <c r="D57" s="10"/>
      <c r="E57" s="10"/>
      <c r="F57" s="7"/>
      <c r="G57" s="7"/>
      <c r="H57" s="7"/>
      <c r="I57" s="7"/>
      <c r="J57" s="7">
        <f t="shared" si="5"/>
        <v>0</v>
      </c>
      <c r="K57" s="7"/>
      <c r="L57" s="7"/>
      <c r="M57" s="7"/>
      <c r="N57" s="7"/>
      <c r="O57" s="7">
        <f t="shared" si="21"/>
        <v>0</v>
      </c>
      <c r="P57" s="7"/>
      <c r="Q57" s="7"/>
      <c r="R57" s="7"/>
      <c r="S57" s="7"/>
      <c r="T57" s="7">
        <f t="shared" si="22"/>
        <v>0</v>
      </c>
      <c r="U57" s="6"/>
      <c r="V57" s="6"/>
      <c r="W57" s="6"/>
      <c r="X57" s="6"/>
      <c r="Y57" s="6">
        <f t="shared" si="23"/>
        <v>0</v>
      </c>
      <c r="Z57" s="6">
        <f t="shared" si="17"/>
        <v>0</v>
      </c>
      <c r="AA57" s="9">
        <f t="shared" si="6"/>
        <v>0</v>
      </c>
    </row>
    <row r="58" spans="1:116" ht="30" x14ac:dyDescent="0.25">
      <c r="A58" s="276"/>
      <c r="B58" s="50" t="s">
        <v>103</v>
      </c>
      <c r="C58" s="55"/>
      <c r="D58" s="14"/>
      <c r="E58" s="14"/>
      <c r="F58" s="7">
        <f>25000+4300</f>
        <v>29300</v>
      </c>
      <c r="G58" s="7"/>
      <c r="H58" s="7"/>
      <c r="I58" s="7"/>
      <c r="J58" s="7">
        <f t="shared" si="5"/>
        <v>29300</v>
      </c>
      <c r="K58" s="7"/>
      <c r="L58" s="7"/>
      <c r="M58" s="7"/>
      <c r="N58" s="7"/>
      <c r="O58" s="7">
        <f t="shared" si="21"/>
        <v>0</v>
      </c>
      <c r="P58" s="7"/>
      <c r="Q58" s="7"/>
      <c r="R58" s="7"/>
      <c r="S58" s="7"/>
      <c r="T58" s="7">
        <f t="shared" si="22"/>
        <v>0</v>
      </c>
      <c r="U58" s="6"/>
      <c r="V58" s="6"/>
      <c r="W58" s="6"/>
      <c r="X58" s="6"/>
      <c r="Y58" s="6">
        <f t="shared" si="23"/>
        <v>0</v>
      </c>
      <c r="Z58" s="6">
        <f t="shared" si="17"/>
        <v>29300</v>
      </c>
      <c r="AA58" s="9">
        <f t="shared" si="6"/>
        <v>29300</v>
      </c>
    </row>
    <row r="59" spans="1:116" ht="30" x14ac:dyDescent="0.25">
      <c r="A59" s="276"/>
      <c r="B59" s="51" t="s">
        <v>105</v>
      </c>
      <c r="C59" s="59"/>
      <c r="D59" s="14"/>
      <c r="E59" s="14"/>
      <c r="F59" s="7"/>
      <c r="G59" s="7"/>
      <c r="H59" s="7"/>
      <c r="I59" s="7"/>
      <c r="J59" s="7">
        <f t="shared" si="5"/>
        <v>0</v>
      </c>
      <c r="K59" s="7"/>
      <c r="L59" s="7"/>
      <c r="M59" s="7"/>
      <c r="N59" s="7"/>
      <c r="O59" s="7">
        <f t="shared" si="21"/>
        <v>0</v>
      </c>
      <c r="P59" s="7"/>
      <c r="Q59" s="7"/>
      <c r="R59" s="7"/>
      <c r="S59" s="7"/>
      <c r="T59" s="7">
        <f t="shared" si="22"/>
        <v>0</v>
      </c>
      <c r="U59" s="6"/>
      <c r="V59" s="6"/>
      <c r="W59" s="6"/>
      <c r="X59" s="6"/>
      <c r="Y59" s="6">
        <f t="shared" si="23"/>
        <v>0</v>
      </c>
      <c r="Z59" s="6">
        <f t="shared" si="17"/>
        <v>0</v>
      </c>
      <c r="AA59" s="9">
        <f t="shared" si="6"/>
        <v>0</v>
      </c>
    </row>
    <row r="60" spans="1:116" ht="60" x14ac:dyDescent="0.25">
      <c r="A60" s="276"/>
      <c r="B60" s="51" t="s">
        <v>104</v>
      </c>
      <c r="C60" s="59"/>
      <c r="D60" s="14"/>
      <c r="E60" s="14"/>
      <c r="F60" s="7"/>
      <c r="G60" s="7"/>
      <c r="H60" s="7"/>
      <c r="I60" s="7"/>
      <c r="J60" s="7">
        <f t="shared" ref="J60:J110" si="40">SUM(F60:I60)</f>
        <v>0</v>
      </c>
      <c r="K60" s="7"/>
      <c r="L60" s="7"/>
      <c r="M60" s="7"/>
      <c r="N60" s="7"/>
      <c r="O60" s="7">
        <f t="shared" si="21"/>
        <v>0</v>
      </c>
      <c r="P60" s="7"/>
      <c r="Q60" s="7"/>
      <c r="R60" s="7"/>
      <c r="S60" s="7"/>
      <c r="T60" s="7">
        <f t="shared" si="22"/>
        <v>0</v>
      </c>
      <c r="U60" s="6"/>
      <c r="V60" s="6"/>
      <c r="W60" s="6"/>
      <c r="X60" s="6"/>
      <c r="Y60" s="6">
        <f t="shared" si="23"/>
        <v>0</v>
      </c>
      <c r="Z60" s="6">
        <f t="shared" si="17"/>
        <v>0</v>
      </c>
      <c r="AA60" s="9">
        <f t="shared" ref="AA60:AA114" si="41">F60+K60+P60+U60</f>
        <v>0</v>
      </c>
    </row>
    <row r="61" spans="1:116" ht="42" customHeight="1" x14ac:dyDescent="0.25">
      <c r="A61" s="26" t="s">
        <v>106</v>
      </c>
      <c r="B61" s="27"/>
      <c r="C61" s="63"/>
      <c r="D61" s="28"/>
      <c r="E61" s="28"/>
      <c r="F61" s="29">
        <f t="shared" ref="F61:AA61" si="42">F62+F67+F71+F79+F84+F92</f>
        <v>235790</v>
      </c>
      <c r="G61" s="29">
        <f t="shared" si="42"/>
        <v>14000</v>
      </c>
      <c r="H61" s="29">
        <f t="shared" si="42"/>
        <v>0</v>
      </c>
      <c r="I61" s="29">
        <f t="shared" si="42"/>
        <v>1450</v>
      </c>
      <c r="J61" s="29">
        <f t="shared" si="42"/>
        <v>251240</v>
      </c>
      <c r="K61" s="29">
        <f t="shared" si="42"/>
        <v>210655</v>
      </c>
      <c r="L61" s="29">
        <f t="shared" si="42"/>
        <v>24000</v>
      </c>
      <c r="M61" s="29">
        <f t="shared" si="42"/>
        <v>0</v>
      </c>
      <c r="N61" s="29">
        <f t="shared" si="42"/>
        <v>1500</v>
      </c>
      <c r="O61" s="29">
        <f t="shared" si="42"/>
        <v>236155</v>
      </c>
      <c r="P61" s="29">
        <f t="shared" si="42"/>
        <v>139400</v>
      </c>
      <c r="Q61" s="29">
        <f t="shared" si="42"/>
        <v>24000</v>
      </c>
      <c r="R61" s="29">
        <f t="shared" si="42"/>
        <v>0</v>
      </c>
      <c r="S61" s="29">
        <f t="shared" si="42"/>
        <v>0</v>
      </c>
      <c r="T61" s="29">
        <f t="shared" si="42"/>
        <v>163400</v>
      </c>
      <c r="U61" s="29">
        <f t="shared" si="42"/>
        <v>143900</v>
      </c>
      <c r="V61" s="29">
        <f t="shared" si="42"/>
        <v>20000</v>
      </c>
      <c r="W61" s="29">
        <f t="shared" si="42"/>
        <v>0</v>
      </c>
      <c r="X61" s="29">
        <f t="shared" si="42"/>
        <v>0</v>
      </c>
      <c r="Y61" s="29">
        <f t="shared" si="42"/>
        <v>163900</v>
      </c>
      <c r="Z61" s="29">
        <f t="shared" si="42"/>
        <v>814695</v>
      </c>
      <c r="AA61" s="30">
        <f t="shared" si="42"/>
        <v>729745</v>
      </c>
    </row>
    <row r="62" spans="1:116" ht="26.25" customHeight="1" x14ac:dyDescent="0.25">
      <c r="A62" s="276" t="s">
        <v>107</v>
      </c>
      <c r="B62" s="21"/>
      <c r="C62" s="56"/>
      <c r="D62" s="2"/>
      <c r="E62" s="2"/>
      <c r="F62" s="3">
        <f>SUM(F63:F66)</f>
        <v>25700</v>
      </c>
      <c r="G62" s="3">
        <f t="shared" ref="G62:I62" si="43">SUM(G63:G66)</f>
        <v>0</v>
      </c>
      <c r="H62" s="3">
        <f t="shared" si="43"/>
        <v>0</v>
      </c>
      <c r="I62" s="3">
        <f t="shared" si="43"/>
        <v>0</v>
      </c>
      <c r="J62" s="3">
        <f t="shared" si="40"/>
        <v>25700</v>
      </c>
      <c r="K62" s="3">
        <f>SUM(K63:K66)</f>
        <v>27200</v>
      </c>
      <c r="L62" s="3">
        <f t="shared" ref="L62:N62" si="44">SUM(L63:L66)</f>
        <v>0</v>
      </c>
      <c r="M62" s="3">
        <f t="shared" si="44"/>
        <v>0</v>
      </c>
      <c r="N62" s="3">
        <f t="shared" si="44"/>
        <v>0</v>
      </c>
      <c r="O62" s="3">
        <f>SUM(K62:N62)</f>
        <v>27200</v>
      </c>
      <c r="P62" s="3">
        <f>SUM(P63:P66)</f>
        <v>27200</v>
      </c>
      <c r="Q62" s="3">
        <f t="shared" ref="Q62:S62" si="45">SUM(Q63:Q66)</f>
        <v>0</v>
      </c>
      <c r="R62" s="3">
        <f t="shared" si="45"/>
        <v>0</v>
      </c>
      <c r="S62" s="3">
        <f t="shared" si="45"/>
        <v>0</v>
      </c>
      <c r="T62" s="3">
        <f>SUM(P62:S62)</f>
        <v>27200</v>
      </c>
      <c r="U62" s="3">
        <f>SUM(U63:U66)</f>
        <v>27200</v>
      </c>
      <c r="V62" s="3">
        <f>SUM(V63:V70)</f>
        <v>0</v>
      </c>
      <c r="W62" s="3">
        <f>SUM(W63:W70)</f>
        <v>0</v>
      </c>
      <c r="X62" s="3">
        <f>SUM(X63:X70)</f>
        <v>0</v>
      </c>
      <c r="Y62" s="3">
        <f t="shared" si="23"/>
        <v>27200</v>
      </c>
      <c r="Z62" s="3">
        <f t="shared" si="17"/>
        <v>107300</v>
      </c>
      <c r="AA62" s="4">
        <f t="shared" si="41"/>
        <v>107300</v>
      </c>
    </row>
    <row r="63" spans="1:116" ht="36.75" customHeight="1" x14ac:dyDescent="0.25">
      <c r="A63" s="276"/>
      <c r="B63" s="33" t="s">
        <v>250</v>
      </c>
      <c r="C63" s="58" t="s">
        <v>56</v>
      </c>
      <c r="D63" s="31"/>
      <c r="E63" s="31"/>
      <c r="F63" s="7">
        <v>15000</v>
      </c>
      <c r="G63" s="7"/>
      <c r="H63" s="7"/>
      <c r="I63" s="7"/>
      <c r="J63" s="7">
        <f t="shared" si="40"/>
        <v>15000</v>
      </c>
      <c r="K63" s="7">
        <v>16500</v>
      </c>
      <c r="L63" s="7"/>
      <c r="M63" s="7"/>
      <c r="N63" s="7"/>
      <c r="O63" s="7">
        <f>SUM(K63:N63)</f>
        <v>16500</v>
      </c>
      <c r="P63" s="7">
        <v>16500</v>
      </c>
      <c r="Q63" s="7"/>
      <c r="R63" s="7"/>
      <c r="S63" s="7"/>
      <c r="T63" s="7">
        <f>SUM(P63:S63)</f>
        <v>16500</v>
      </c>
      <c r="U63" s="6">
        <v>16500</v>
      </c>
      <c r="V63" s="6"/>
      <c r="W63" s="6"/>
      <c r="X63" s="6"/>
      <c r="Y63" s="6">
        <f>SUM(U63:X63)</f>
        <v>16500</v>
      </c>
      <c r="Z63" s="6">
        <f t="shared" si="17"/>
        <v>64500</v>
      </c>
      <c r="AA63" s="9">
        <f t="shared" si="41"/>
        <v>64500</v>
      </c>
      <c r="AB63" s="32"/>
      <c r="AC63" s="32"/>
      <c r="AD63" s="32"/>
      <c r="AE63" s="32"/>
      <c r="AF63" s="32"/>
      <c r="AG63" s="32"/>
      <c r="AH63" s="32"/>
      <c r="AI63" s="32"/>
      <c r="AJ63" s="32"/>
      <c r="AK63" s="32"/>
      <c r="AL63" s="32"/>
      <c r="AM63" s="32"/>
      <c r="AN63" s="32"/>
      <c r="AO63" s="32"/>
      <c r="AP63" s="32"/>
      <c r="AQ63" s="32"/>
      <c r="AR63" s="32"/>
      <c r="AS63" s="32"/>
      <c r="AT63" s="32"/>
      <c r="AU63" s="32"/>
      <c r="AV63" s="32"/>
      <c r="AW63" s="32"/>
      <c r="AX63" s="32"/>
      <c r="AY63" s="32"/>
      <c r="AZ63" s="32"/>
      <c r="BA63" s="32"/>
      <c r="BB63" s="32"/>
      <c r="BC63" s="32"/>
      <c r="BD63" s="32"/>
      <c r="BE63" s="32"/>
      <c r="BF63" s="32"/>
      <c r="BG63" s="32"/>
      <c r="BH63" s="32"/>
      <c r="BI63" s="32"/>
      <c r="BJ63" s="32"/>
      <c r="BK63" s="32"/>
      <c r="BL63" s="32"/>
      <c r="BM63" s="32"/>
      <c r="BN63" s="32"/>
      <c r="BO63" s="32"/>
      <c r="BP63" s="32"/>
      <c r="BQ63" s="32"/>
      <c r="BR63" s="32"/>
      <c r="BS63" s="32"/>
      <c r="BT63" s="32"/>
      <c r="BU63" s="32"/>
      <c r="BV63" s="32"/>
      <c r="BW63" s="32"/>
      <c r="BX63" s="32"/>
      <c r="BY63" s="32"/>
      <c r="BZ63" s="32"/>
      <c r="CA63" s="32"/>
      <c r="CB63" s="32"/>
      <c r="CC63" s="32"/>
      <c r="CD63" s="32"/>
      <c r="CE63" s="32"/>
      <c r="CF63" s="32"/>
      <c r="CG63" s="32"/>
      <c r="CH63" s="32"/>
      <c r="CI63" s="32"/>
      <c r="CJ63" s="32"/>
      <c r="CK63" s="32"/>
      <c r="CL63" s="32"/>
      <c r="CM63" s="32"/>
      <c r="CN63" s="32"/>
      <c r="CO63" s="32"/>
      <c r="CP63" s="32"/>
      <c r="CQ63" s="32"/>
      <c r="CR63" s="32"/>
      <c r="CS63" s="32"/>
      <c r="CT63" s="32"/>
      <c r="CU63" s="32"/>
      <c r="CV63" s="32"/>
      <c r="CW63" s="32"/>
      <c r="CX63" s="32"/>
      <c r="CY63" s="32"/>
      <c r="CZ63" s="32"/>
      <c r="DA63" s="32"/>
      <c r="DB63" s="32"/>
      <c r="DC63" s="32"/>
      <c r="DD63" s="32"/>
      <c r="DE63" s="32"/>
      <c r="DF63" s="32"/>
      <c r="DG63" s="32"/>
      <c r="DH63" s="32"/>
      <c r="DI63" s="32"/>
      <c r="DJ63" s="32"/>
      <c r="DK63" s="32"/>
      <c r="DL63" s="32"/>
    </row>
    <row r="64" spans="1:116" ht="45.75" customHeight="1" x14ac:dyDescent="0.25">
      <c r="A64" s="276"/>
      <c r="B64" s="51" t="s">
        <v>109</v>
      </c>
      <c r="C64" s="58" t="s">
        <v>56</v>
      </c>
      <c r="D64" s="31"/>
      <c r="E64" s="31"/>
      <c r="F64" s="7">
        <v>10500</v>
      </c>
      <c r="G64" s="7"/>
      <c r="H64" s="7"/>
      <c r="I64" s="7"/>
      <c r="J64" s="7">
        <f t="shared" si="40"/>
        <v>10500</v>
      </c>
      <c r="K64" s="7">
        <v>10500</v>
      </c>
      <c r="L64" s="7"/>
      <c r="M64" s="7"/>
      <c r="N64" s="7"/>
      <c r="O64" s="7">
        <f t="shared" ref="O64:O66" si="46">SUM(K64:N64)</f>
        <v>10500</v>
      </c>
      <c r="P64" s="7">
        <v>10500</v>
      </c>
      <c r="Q64" s="7"/>
      <c r="R64" s="7"/>
      <c r="S64" s="7"/>
      <c r="T64" s="7">
        <f t="shared" ref="T64:T66" si="47">SUM(P64:S64)</f>
        <v>10500</v>
      </c>
      <c r="U64" s="6">
        <v>10500</v>
      </c>
      <c r="V64" s="6"/>
      <c r="W64" s="6"/>
      <c r="X64" s="6"/>
      <c r="Y64" s="6">
        <f t="shared" ref="Y64:Y66" si="48">SUM(U64:X64)</f>
        <v>10500</v>
      </c>
      <c r="Z64" s="6">
        <f t="shared" si="17"/>
        <v>42000</v>
      </c>
      <c r="AA64" s="9">
        <f t="shared" si="41"/>
        <v>42000</v>
      </c>
      <c r="AB64" s="32"/>
      <c r="AC64" s="32"/>
      <c r="AD64" s="32"/>
      <c r="AE64" s="32"/>
      <c r="AF64" s="32"/>
      <c r="AG64" s="32"/>
      <c r="AH64" s="32"/>
      <c r="AI64" s="32"/>
      <c r="AJ64" s="32"/>
      <c r="AK64" s="32"/>
      <c r="AL64" s="32"/>
      <c r="AM64" s="32"/>
      <c r="AN64" s="32"/>
      <c r="AO64" s="32"/>
      <c r="AP64" s="32"/>
      <c r="AQ64" s="32"/>
      <c r="AR64" s="32"/>
      <c r="AS64" s="32"/>
      <c r="AT64" s="32"/>
      <c r="AU64" s="32"/>
      <c r="AV64" s="32"/>
      <c r="AW64" s="32"/>
      <c r="AX64" s="32"/>
      <c r="AY64" s="32"/>
      <c r="AZ64" s="32"/>
      <c r="BA64" s="32"/>
      <c r="BB64" s="32"/>
      <c r="BC64" s="32"/>
      <c r="BD64" s="32"/>
      <c r="BE64" s="32"/>
      <c r="BF64" s="32"/>
      <c r="BG64" s="32"/>
      <c r="BH64" s="32"/>
      <c r="BI64" s="32"/>
      <c r="BJ64" s="32"/>
      <c r="BK64" s="32"/>
      <c r="BL64" s="32"/>
      <c r="BM64" s="32"/>
      <c r="BN64" s="32"/>
      <c r="BO64" s="32"/>
      <c r="BP64" s="32"/>
      <c r="BQ64" s="32"/>
      <c r="BR64" s="32"/>
      <c r="BS64" s="32"/>
      <c r="BT64" s="32"/>
      <c r="BU64" s="32"/>
      <c r="BV64" s="32"/>
      <c r="BW64" s="32"/>
      <c r="BX64" s="32"/>
      <c r="BY64" s="32"/>
      <c r="BZ64" s="32"/>
      <c r="CA64" s="32"/>
      <c r="CB64" s="32"/>
      <c r="CC64" s="32"/>
      <c r="CD64" s="32"/>
      <c r="CE64" s="32"/>
      <c r="CF64" s="32"/>
      <c r="CG64" s="32"/>
      <c r="CH64" s="32"/>
      <c r="CI64" s="32"/>
      <c r="CJ64" s="32"/>
      <c r="CK64" s="32"/>
      <c r="CL64" s="32"/>
      <c r="CM64" s="32"/>
      <c r="CN64" s="32"/>
      <c r="CO64" s="32"/>
      <c r="CP64" s="32"/>
      <c r="CQ64" s="32"/>
      <c r="CR64" s="32"/>
      <c r="CS64" s="32"/>
      <c r="CT64" s="32"/>
      <c r="CU64" s="32"/>
      <c r="CV64" s="32"/>
      <c r="CW64" s="32"/>
      <c r="CX64" s="32"/>
      <c r="CY64" s="32"/>
      <c r="CZ64" s="32"/>
      <c r="DA64" s="32"/>
      <c r="DB64" s="32"/>
      <c r="DC64" s="32"/>
      <c r="DD64" s="32"/>
      <c r="DE64" s="32"/>
      <c r="DF64" s="32"/>
      <c r="DG64" s="32"/>
      <c r="DH64" s="32"/>
      <c r="DI64" s="32"/>
      <c r="DJ64" s="32"/>
      <c r="DK64" s="32"/>
      <c r="DL64" s="32"/>
    </row>
    <row r="65" spans="1:27" ht="31.5" customHeight="1" x14ac:dyDescent="0.25">
      <c r="A65" s="276"/>
      <c r="B65" s="51" t="s">
        <v>110</v>
      </c>
      <c r="C65" s="58" t="s">
        <v>56</v>
      </c>
      <c r="D65" s="31"/>
      <c r="E65" s="31"/>
      <c r="F65" s="7">
        <v>200</v>
      </c>
      <c r="G65" s="7"/>
      <c r="H65" s="7"/>
      <c r="I65" s="7"/>
      <c r="J65" s="7">
        <f t="shared" si="40"/>
        <v>200</v>
      </c>
      <c r="K65" s="7">
        <v>200</v>
      </c>
      <c r="L65" s="7"/>
      <c r="M65" s="7"/>
      <c r="N65" s="7"/>
      <c r="O65" s="7">
        <f t="shared" si="46"/>
        <v>200</v>
      </c>
      <c r="P65" s="7">
        <v>200</v>
      </c>
      <c r="Q65" s="7"/>
      <c r="R65" s="7"/>
      <c r="S65" s="7"/>
      <c r="T65" s="7">
        <f t="shared" si="47"/>
        <v>200</v>
      </c>
      <c r="U65" s="6">
        <v>200</v>
      </c>
      <c r="V65" s="6"/>
      <c r="W65" s="6"/>
      <c r="X65" s="6"/>
      <c r="Y65" s="6">
        <f t="shared" si="48"/>
        <v>200</v>
      </c>
      <c r="Z65" s="6">
        <f t="shared" si="17"/>
        <v>800</v>
      </c>
      <c r="AA65" s="9">
        <f t="shared" si="41"/>
        <v>800</v>
      </c>
    </row>
    <row r="66" spans="1:27" ht="22.5" customHeight="1" x14ac:dyDescent="0.25">
      <c r="A66" s="276"/>
      <c r="B66" s="52" t="s">
        <v>108</v>
      </c>
      <c r="C66" s="58" t="s">
        <v>24</v>
      </c>
      <c r="D66" s="31"/>
      <c r="E66" s="31"/>
      <c r="F66" s="16"/>
      <c r="G66" s="7"/>
      <c r="H66" s="7"/>
      <c r="I66" s="7"/>
      <c r="J66" s="7">
        <f t="shared" si="40"/>
        <v>0</v>
      </c>
      <c r="K66" s="7"/>
      <c r="L66" s="7"/>
      <c r="M66" s="7"/>
      <c r="N66" s="7"/>
      <c r="O66" s="7">
        <f t="shared" si="46"/>
        <v>0</v>
      </c>
      <c r="P66" s="7"/>
      <c r="Q66" s="7"/>
      <c r="R66" s="7"/>
      <c r="S66" s="7"/>
      <c r="T66" s="7">
        <f t="shared" si="47"/>
        <v>0</v>
      </c>
      <c r="U66" s="6"/>
      <c r="V66" s="6"/>
      <c r="W66" s="6"/>
      <c r="X66" s="6"/>
      <c r="Y66" s="6">
        <f t="shared" si="48"/>
        <v>0</v>
      </c>
      <c r="Z66" s="6">
        <f t="shared" si="17"/>
        <v>0</v>
      </c>
      <c r="AA66" s="9"/>
    </row>
    <row r="67" spans="1:27" ht="30" customHeight="1" x14ac:dyDescent="0.25">
      <c r="A67" s="276" t="s">
        <v>235</v>
      </c>
      <c r="B67" s="21"/>
      <c r="C67" s="56"/>
      <c r="D67" s="2"/>
      <c r="E67" s="2"/>
      <c r="F67" s="3">
        <f>SUM(F68:F70)</f>
        <v>10000</v>
      </c>
      <c r="G67" s="3">
        <f t="shared" ref="G67:I67" si="49">SUM(G68:G70)</f>
        <v>4000</v>
      </c>
      <c r="H67" s="3">
        <f t="shared" si="49"/>
        <v>0</v>
      </c>
      <c r="I67" s="3">
        <f t="shared" si="49"/>
        <v>0</v>
      </c>
      <c r="J67" s="3">
        <f t="shared" si="40"/>
        <v>14000</v>
      </c>
      <c r="K67" s="3">
        <f>SUM(K68:K70)</f>
        <v>25000</v>
      </c>
      <c r="L67" s="3">
        <f t="shared" ref="L67:N67" si="50">SUM(L68:L70)</f>
        <v>4000</v>
      </c>
      <c r="M67" s="3">
        <f t="shared" si="50"/>
        <v>0</v>
      </c>
      <c r="N67" s="3">
        <f t="shared" si="50"/>
        <v>0</v>
      </c>
      <c r="O67" s="3">
        <f t="shared" ref="O67:O120" si="51">SUM(K67:N67)</f>
        <v>29000</v>
      </c>
      <c r="P67" s="3">
        <f>SUM(P68:P70)</f>
        <v>25000</v>
      </c>
      <c r="Q67" s="3">
        <f t="shared" ref="Q67:S67" si="52">SUM(Q68:Q70)</f>
        <v>4000</v>
      </c>
      <c r="R67" s="3">
        <f t="shared" si="52"/>
        <v>0</v>
      </c>
      <c r="S67" s="3">
        <f t="shared" si="52"/>
        <v>0</v>
      </c>
      <c r="T67" s="3">
        <f t="shared" si="22"/>
        <v>29000</v>
      </c>
      <c r="U67" s="3">
        <f>SUM(U68:U70)</f>
        <v>30000</v>
      </c>
      <c r="V67" s="3">
        <f t="shared" ref="V67:X67" si="53">SUM(V68:V70)</f>
        <v>0</v>
      </c>
      <c r="W67" s="3">
        <f t="shared" si="53"/>
        <v>0</v>
      </c>
      <c r="X67" s="3">
        <f t="shared" si="53"/>
        <v>0</v>
      </c>
      <c r="Y67" s="3">
        <f t="shared" si="23"/>
        <v>30000</v>
      </c>
      <c r="Z67" s="3">
        <f t="shared" ref="Z67:Z120" si="54">J67+O67+T67+Y67</f>
        <v>102000</v>
      </c>
      <c r="AA67" s="4">
        <f t="shared" si="41"/>
        <v>90000</v>
      </c>
    </row>
    <row r="68" spans="1:27" ht="105" x14ac:dyDescent="0.25">
      <c r="A68" s="276"/>
      <c r="B68" s="49" t="s">
        <v>229</v>
      </c>
      <c r="C68" s="58" t="s">
        <v>27</v>
      </c>
      <c r="D68" s="5"/>
      <c r="E68" s="5"/>
      <c r="F68" s="7"/>
      <c r="G68" s="7">
        <v>4000</v>
      </c>
      <c r="H68" s="7"/>
      <c r="I68" s="7"/>
      <c r="J68" s="7">
        <f t="shared" si="40"/>
        <v>4000</v>
      </c>
      <c r="K68" s="7"/>
      <c r="L68" s="7">
        <v>4000</v>
      </c>
      <c r="M68" s="7"/>
      <c r="N68" s="7"/>
      <c r="O68" s="7">
        <f t="shared" si="51"/>
        <v>4000</v>
      </c>
      <c r="P68" s="7"/>
      <c r="Q68" s="7">
        <v>4000</v>
      </c>
      <c r="R68" s="7"/>
      <c r="S68" s="7"/>
      <c r="T68" s="7">
        <f t="shared" si="22"/>
        <v>4000</v>
      </c>
      <c r="U68" s="6">
        <v>5000</v>
      </c>
      <c r="V68" s="6"/>
      <c r="W68" s="6"/>
      <c r="X68" s="6"/>
      <c r="Y68" s="6">
        <f t="shared" si="23"/>
        <v>5000</v>
      </c>
      <c r="Z68" s="6">
        <f t="shared" si="54"/>
        <v>17000</v>
      </c>
      <c r="AA68" s="9">
        <f t="shared" si="41"/>
        <v>5000</v>
      </c>
    </row>
    <row r="69" spans="1:27" ht="30" x14ac:dyDescent="0.25">
      <c r="A69" s="276"/>
      <c r="B69" s="33" t="s">
        <v>251</v>
      </c>
      <c r="C69" s="58"/>
      <c r="D69" s="5"/>
      <c r="E69" s="5"/>
      <c r="F69" s="7"/>
      <c r="G69" s="7"/>
      <c r="H69" s="7"/>
      <c r="I69" s="7"/>
      <c r="J69" s="7">
        <f t="shared" si="40"/>
        <v>0</v>
      </c>
      <c r="K69" s="7"/>
      <c r="L69" s="7"/>
      <c r="M69" s="7"/>
      <c r="N69" s="7"/>
      <c r="O69" s="7">
        <f t="shared" si="51"/>
        <v>0</v>
      </c>
      <c r="P69" s="7"/>
      <c r="Q69" s="7"/>
      <c r="R69" s="7"/>
      <c r="S69" s="7"/>
      <c r="T69" s="7">
        <f t="shared" si="22"/>
        <v>0</v>
      </c>
      <c r="U69" s="6"/>
      <c r="V69" s="6"/>
      <c r="W69" s="6"/>
      <c r="X69" s="6"/>
      <c r="Y69" s="6">
        <f t="shared" si="23"/>
        <v>0</v>
      </c>
      <c r="Z69" s="6">
        <f t="shared" si="54"/>
        <v>0</v>
      </c>
      <c r="AA69" s="9">
        <f t="shared" si="41"/>
        <v>0</v>
      </c>
    </row>
    <row r="70" spans="1:27" x14ac:dyDescent="0.25">
      <c r="A70" s="276"/>
      <c r="B70" s="33" t="s">
        <v>112</v>
      </c>
      <c r="C70" s="58" t="s">
        <v>7</v>
      </c>
      <c r="D70" s="5"/>
      <c r="E70" s="5"/>
      <c r="F70" s="7">
        <v>10000</v>
      </c>
      <c r="G70" s="7"/>
      <c r="H70" s="7"/>
      <c r="I70" s="7"/>
      <c r="J70" s="7">
        <f t="shared" si="40"/>
        <v>10000</v>
      </c>
      <c r="K70" s="7">
        <v>25000</v>
      </c>
      <c r="L70" s="7"/>
      <c r="M70" s="7"/>
      <c r="N70" s="7"/>
      <c r="O70" s="7">
        <f t="shared" si="51"/>
        <v>25000</v>
      </c>
      <c r="P70" s="7">
        <v>25000</v>
      </c>
      <c r="Q70" s="7"/>
      <c r="R70" s="7"/>
      <c r="S70" s="7"/>
      <c r="T70" s="7">
        <f t="shared" ref="T70:T124" si="55">SUM(P70:S70)</f>
        <v>25000</v>
      </c>
      <c r="U70" s="6">
        <v>25000</v>
      </c>
      <c r="V70" s="6"/>
      <c r="W70" s="6"/>
      <c r="X70" s="6"/>
      <c r="Y70" s="6">
        <f t="shared" ref="Y70:Y124" si="56">U70+V70+W70+X70</f>
        <v>25000</v>
      </c>
      <c r="Z70" s="6">
        <f t="shared" si="54"/>
        <v>85000</v>
      </c>
      <c r="AA70" s="9">
        <f t="shared" si="41"/>
        <v>85000</v>
      </c>
    </row>
    <row r="71" spans="1:27" ht="27" customHeight="1" x14ac:dyDescent="0.25">
      <c r="A71" s="275" t="s">
        <v>223</v>
      </c>
      <c r="B71" s="21"/>
      <c r="C71" s="58"/>
      <c r="D71" s="5"/>
      <c r="E71" s="5"/>
      <c r="F71" s="3">
        <f>SUM(F72:F78)</f>
        <v>60115</v>
      </c>
      <c r="G71" s="3">
        <f t="shared" ref="G71:I71" si="57">SUM(G72:G78)</f>
        <v>0</v>
      </c>
      <c r="H71" s="3">
        <f t="shared" si="57"/>
        <v>0</v>
      </c>
      <c r="I71" s="3">
        <f t="shared" si="57"/>
        <v>0</v>
      </c>
      <c r="J71" s="3">
        <f t="shared" si="40"/>
        <v>60115</v>
      </c>
      <c r="K71" s="3">
        <f>SUM(K72:K78)</f>
        <v>51615</v>
      </c>
      <c r="L71" s="3">
        <f t="shared" ref="L71:N71" si="58">SUM(L72:L78)</f>
        <v>0</v>
      </c>
      <c r="M71" s="3">
        <f t="shared" si="58"/>
        <v>0</v>
      </c>
      <c r="N71" s="3">
        <f t="shared" si="58"/>
        <v>0</v>
      </c>
      <c r="O71" s="3">
        <f t="shared" si="51"/>
        <v>51615</v>
      </c>
      <c r="P71" s="3">
        <f>SUM(P72:P78)</f>
        <v>0</v>
      </c>
      <c r="Q71" s="3">
        <f t="shared" ref="Q71:S71" si="59">SUM(Q72:Q78)</f>
        <v>0</v>
      </c>
      <c r="R71" s="3">
        <f t="shared" si="59"/>
        <v>0</v>
      </c>
      <c r="S71" s="3">
        <f t="shared" si="59"/>
        <v>0</v>
      </c>
      <c r="T71" s="3">
        <f t="shared" si="55"/>
        <v>0</v>
      </c>
      <c r="U71" s="3">
        <f>SUM(U72:U78)</f>
        <v>0</v>
      </c>
      <c r="V71" s="3">
        <f t="shared" ref="V71:X71" si="60">SUM(V72:V77)</f>
        <v>0</v>
      </c>
      <c r="W71" s="3">
        <f t="shared" si="60"/>
        <v>0</v>
      </c>
      <c r="X71" s="3">
        <f t="shared" si="60"/>
        <v>0</v>
      </c>
      <c r="Y71" s="3">
        <f t="shared" si="56"/>
        <v>0</v>
      </c>
      <c r="Z71" s="3">
        <f t="shared" si="54"/>
        <v>111730</v>
      </c>
      <c r="AA71" s="4">
        <f t="shared" si="41"/>
        <v>111730</v>
      </c>
    </row>
    <row r="72" spans="1:27" ht="30" x14ac:dyDescent="0.25">
      <c r="A72" s="275"/>
      <c r="B72" s="33" t="s">
        <v>252</v>
      </c>
      <c r="C72" s="58" t="s">
        <v>30</v>
      </c>
      <c r="D72" s="5"/>
      <c r="E72" s="5"/>
      <c r="F72" s="7">
        <v>2440</v>
      </c>
      <c r="G72" s="7"/>
      <c r="H72" s="7"/>
      <c r="I72" s="7"/>
      <c r="J72" s="7">
        <f t="shared" si="40"/>
        <v>2440</v>
      </c>
      <c r="K72" s="7">
        <v>2440</v>
      </c>
      <c r="L72" s="7"/>
      <c r="M72" s="7"/>
      <c r="N72" s="7"/>
      <c r="O72" s="7">
        <f t="shared" si="51"/>
        <v>2440</v>
      </c>
      <c r="P72" s="7"/>
      <c r="Q72" s="7"/>
      <c r="R72" s="7"/>
      <c r="S72" s="7"/>
      <c r="T72" s="7">
        <f t="shared" si="55"/>
        <v>0</v>
      </c>
      <c r="U72" s="6"/>
      <c r="V72" s="6"/>
      <c r="W72" s="6"/>
      <c r="X72" s="6"/>
      <c r="Y72" s="6">
        <f t="shared" si="56"/>
        <v>0</v>
      </c>
      <c r="Z72" s="6">
        <f t="shared" si="54"/>
        <v>4880</v>
      </c>
      <c r="AA72" s="9">
        <f t="shared" si="41"/>
        <v>4880</v>
      </c>
    </row>
    <row r="73" spans="1:27" x14ac:dyDescent="0.25">
      <c r="A73" s="275"/>
      <c r="B73" s="33" t="s">
        <v>113</v>
      </c>
      <c r="C73" s="58" t="s">
        <v>30</v>
      </c>
      <c r="D73" s="5"/>
      <c r="E73" s="5"/>
      <c r="F73" s="7">
        <v>49675</v>
      </c>
      <c r="G73" s="7"/>
      <c r="H73" s="7"/>
      <c r="I73" s="7"/>
      <c r="J73" s="7">
        <f t="shared" si="40"/>
        <v>49675</v>
      </c>
      <c r="K73" s="7">
        <v>40675</v>
      </c>
      <c r="L73" s="7"/>
      <c r="M73" s="7"/>
      <c r="N73" s="7"/>
      <c r="O73" s="7">
        <f t="shared" si="51"/>
        <v>40675</v>
      </c>
      <c r="P73" s="7"/>
      <c r="Q73" s="7"/>
      <c r="R73" s="7"/>
      <c r="S73" s="7"/>
      <c r="T73" s="7">
        <f t="shared" si="55"/>
        <v>0</v>
      </c>
      <c r="U73" s="6"/>
      <c r="V73" s="6"/>
      <c r="W73" s="6"/>
      <c r="X73" s="6"/>
      <c r="Y73" s="6">
        <f t="shared" si="56"/>
        <v>0</v>
      </c>
      <c r="Z73" s="6">
        <f t="shared" si="54"/>
        <v>90350</v>
      </c>
      <c r="AA73" s="9">
        <f t="shared" si="41"/>
        <v>90350</v>
      </c>
    </row>
    <row r="74" spans="1:27" x14ac:dyDescent="0.25">
      <c r="A74" s="275"/>
      <c r="B74" s="33" t="s">
        <v>253</v>
      </c>
      <c r="C74" s="58" t="s">
        <v>30</v>
      </c>
      <c r="D74" s="5"/>
      <c r="E74" s="5"/>
      <c r="F74" s="7"/>
      <c r="G74" s="7"/>
      <c r="H74" s="7"/>
      <c r="I74" s="7"/>
      <c r="J74" s="7">
        <f t="shared" si="40"/>
        <v>0</v>
      </c>
      <c r="K74" s="7"/>
      <c r="L74" s="7"/>
      <c r="M74" s="7"/>
      <c r="N74" s="7"/>
      <c r="O74" s="7">
        <f t="shared" si="51"/>
        <v>0</v>
      </c>
      <c r="P74" s="7"/>
      <c r="Q74" s="7"/>
      <c r="R74" s="7"/>
      <c r="S74" s="7"/>
      <c r="T74" s="7">
        <f t="shared" si="55"/>
        <v>0</v>
      </c>
      <c r="U74" s="6"/>
      <c r="V74" s="6"/>
      <c r="W74" s="6"/>
      <c r="X74" s="6"/>
      <c r="Y74" s="6">
        <f t="shared" si="56"/>
        <v>0</v>
      </c>
      <c r="Z74" s="6">
        <f t="shared" si="54"/>
        <v>0</v>
      </c>
      <c r="AA74" s="9">
        <f t="shared" si="41"/>
        <v>0</v>
      </c>
    </row>
    <row r="75" spans="1:27" ht="16.5" customHeight="1" x14ac:dyDescent="0.25">
      <c r="A75" s="275"/>
      <c r="B75" s="50" t="s">
        <v>114</v>
      </c>
      <c r="C75" s="58" t="s">
        <v>30</v>
      </c>
      <c r="D75" s="5"/>
      <c r="E75" s="5"/>
      <c r="F75" s="7">
        <v>5500</v>
      </c>
      <c r="G75" s="7"/>
      <c r="H75" s="7"/>
      <c r="I75" s="7"/>
      <c r="J75" s="7">
        <f t="shared" si="40"/>
        <v>5500</v>
      </c>
      <c r="K75" s="7">
        <v>5500</v>
      </c>
      <c r="L75" s="7"/>
      <c r="M75" s="7"/>
      <c r="N75" s="7"/>
      <c r="O75" s="7">
        <f t="shared" si="51"/>
        <v>5500</v>
      </c>
      <c r="P75" s="7"/>
      <c r="Q75" s="7"/>
      <c r="R75" s="7"/>
      <c r="S75" s="7"/>
      <c r="T75" s="7">
        <f t="shared" si="55"/>
        <v>0</v>
      </c>
      <c r="U75" s="6"/>
      <c r="V75" s="6"/>
      <c r="W75" s="6"/>
      <c r="X75" s="6"/>
      <c r="Y75" s="6">
        <f t="shared" si="56"/>
        <v>0</v>
      </c>
      <c r="Z75" s="6">
        <f t="shared" si="54"/>
        <v>11000</v>
      </c>
      <c r="AA75" s="9">
        <f t="shared" si="41"/>
        <v>11000</v>
      </c>
    </row>
    <row r="76" spans="1:27" x14ac:dyDescent="0.25">
      <c r="A76" s="275"/>
      <c r="B76" s="33" t="s">
        <v>115</v>
      </c>
      <c r="C76" s="58" t="s">
        <v>30</v>
      </c>
      <c r="D76" s="5"/>
      <c r="E76" s="5"/>
      <c r="F76" s="7"/>
      <c r="G76" s="7"/>
      <c r="H76" s="7"/>
      <c r="I76" s="7"/>
      <c r="J76" s="7">
        <f t="shared" si="40"/>
        <v>0</v>
      </c>
      <c r="K76" s="7"/>
      <c r="L76" s="7"/>
      <c r="M76" s="7"/>
      <c r="N76" s="7"/>
      <c r="O76" s="7">
        <f t="shared" si="51"/>
        <v>0</v>
      </c>
      <c r="P76" s="7"/>
      <c r="Q76" s="7"/>
      <c r="R76" s="7"/>
      <c r="S76" s="7"/>
      <c r="T76" s="7">
        <f t="shared" si="55"/>
        <v>0</v>
      </c>
      <c r="U76" s="6"/>
      <c r="V76" s="6"/>
      <c r="W76" s="6"/>
      <c r="X76" s="6"/>
      <c r="Y76" s="6">
        <f t="shared" si="56"/>
        <v>0</v>
      </c>
      <c r="Z76" s="6">
        <f t="shared" si="54"/>
        <v>0</v>
      </c>
      <c r="AA76" s="9">
        <f t="shared" si="41"/>
        <v>0</v>
      </c>
    </row>
    <row r="77" spans="1:27" x14ac:dyDescent="0.25">
      <c r="A77" s="275"/>
      <c r="B77" s="33" t="s">
        <v>254</v>
      </c>
      <c r="C77" s="55"/>
      <c r="D77" s="34"/>
      <c r="E77" s="34"/>
      <c r="F77" s="7">
        <v>2500</v>
      </c>
      <c r="G77" s="7"/>
      <c r="H77" s="7"/>
      <c r="I77" s="7"/>
      <c r="J77" s="7">
        <f t="shared" si="40"/>
        <v>2500</v>
      </c>
      <c r="K77" s="7">
        <v>3000</v>
      </c>
      <c r="L77" s="7"/>
      <c r="M77" s="7"/>
      <c r="N77" s="7"/>
      <c r="O77" s="7">
        <f t="shared" si="51"/>
        <v>3000</v>
      </c>
      <c r="P77" s="7"/>
      <c r="Q77" s="7"/>
      <c r="R77" s="7"/>
      <c r="S77" s="7"/>
      <c r="T77" s="7">
        <f t="shared" si="55"/>
        <v>0</v>
      </c>
      <c r="U77" s="6"/>
      <c r="V77" s="6"/>
      <c r="W77" s="6"/>
      <c r="X77" s="6"/>
      <c r="Y77" s="6">
        <f t="shared" si="56"/>
        <v>0</v>
      </c>
      <c r="Z77" s="6">
        <f t="shared" si="54"/>
        <v>5500</v>
      </c>
      <c r="AA77" s="9">
        <f t="shared" si="41"/>
        <v>5500</v>
      </c>
    </row>
    <row r="78" spans="1:27" x14ac:dyDescent="0.25">
      <c r="A78" s="275"/>
      <c r="B78" s="49" t="s">
        <v>255</v>
      </c>
      <c r="C78" s="59" t="s">
        <v>116</v>
      </c>
      <c r="D78" s="14"/>
      <c r="E78" s="14"/>
      <c r="F78" s="7"/>
      <c r="G78" s="7"/>
      <c r="H78" s="7"/>
      <c r="I78" s="7"/>
      <c r="J78" s="7"/>
      <c r="K78" s="7"/>
      <c r="L78" s="7"/>
      <c r="M78" s="7"/>
      <c r="N78" s="7"/>
      <c r="O78" s="7"/>
      <c r="P78" s="7"/>
      <c r="Q78" s="7"/>
      <c r="R78" s="7"/>
      <c r="S78" s="7"/>
      <c r="T78" s="7"/>
      <c r="U78" s="6"/>
      <c r="V78" s="6"/>
      <c r="W78" s="6"/>
      <c r="X78" s="6"/>
      <c r="Y78" s="6"/>
      <c r="Z78" s="6"/>
      <c r="AA78" s="9"/>
    </row>
    <row r="79" spans="1:27" ht="16.5" customHeight="1" x14ac:dyDescent="0.25">
      <c r="A79" s="276" t="s">
        <v>236</v>
      </c>
      <c r="B79" s="21"/>
      <c r="C79" s="56"/>
      <c r="D79" s="2"/>
      <c r="E79" s="2"/>
      <c r="F79" s="3">
        <f>SUM(F80:F83)</f>
        <v>92520</v>
      </c>
      <c r="G79" s="3">
        <f t="shared" ref="G79:I79" si="61">SUM(G80:G83)</f>
        <v>10000</v>
      </c>
      <c r="H79" s="3">
        <f t="shared" si="61"/>
        <v>0</v>
      </c>
      <c r="I79" s="3">
        <f t="shared" si="61"/>
        <v>1300</v>
      </c>
      <c r="J79" s="3">
        <f t="shared" si="40"/>
        <v>103820</v>
      </c>
      <c r="K79" s="3">
        <f>SUM(K80:K83)</f>
        <v>87810</v>
      </c>
      <c r="L79" s="3">
        <f t="shared" ref="L79:N79" si="62">SUM(L80:L83)</f>
        <v>20000</v>
      </c>
      <c r="M79" s="3">
        <f t="shared" si="62"/>
        <v>0</v>
      </c>
      <c r="N79" s="3">
        <f t="shared" si="62"/>
        <v>1500</v>
      </c>
      <c r="O79" s="3">
        <f t="shared" si="51"/>
        <v>109310</v>
      </c>
      <c r="P79" s="3">
        <f>SUM(P80:P83)</f>
        <v>79170</v>
      </c>
      <c r="Q79" s="3">
        <f t="shared" ref="Q79:S79" si="63">SUM(Q80:Q83)</f>
        <v>20000</v>
      </c>
      <c r="R79" s="3">
        <f t="shared" si="63"/>
        <v>0</v>
      </c>
      <c r="S79" s="3">
        <f t="shared" si="63"/>
        <v>0</v>
      </c>
      <c r="T79" s="3">
        <f t="shared" si="55"/>
        <v>99170</v>
      </c>
      <c r="U79" s="3">
        <f>SUM(U80:U83)</f>
        <v>78670</v>
      </c>
      <c r="V79" s="3">
        <f t="shared" ref="V79:X79" si="64">SUM(V80:V83)</f>
        <v>20000</v>
      </c>
      <c r="W79" s="3">
        <f t="shared" si="64"/>
        <v>0</v>
      </c>
      <c r="X79" s="3">
        <f t="shared" si="64"/>
        <v>0</v>
      </c>
      <c r="Y79" s="3">
        <f t="shared" si="56"/>
        <v>98670</v>
      </c>
      <c r="Z79" s="3">
        <f t="shared" si="54"/>
        <v>410970</v>
      </c>
      <c r="AA79" s="4">
        <f t="shared" si="41"/>
        <v>338170</v>
      </c>
    </row>
    <row r="80" spans="1:27" ht="60" x14ac:dyDescent="0.25">
      <c r="A80" s="276"/>
      <c r="B80" s="50" t="s">
        <v>117</v>
      </c>
      <c r="C80" s="58" t="s">
        <v>50</v>
      </c>
      <c r="D80" s="10"/>
      <c r="E80" s="10"/>
      <c r="F80" s="7">
        <f>45000+10000+9000+5000</f>
        <v>69000</v>
      </c>
      <c r="G80" s="7">
        <v>10000</v>
      </c>
      <c r="H80" s="7"/>
      <c r="I80" s="7">
        <v>1300</v>
      </c>
      <c r="J80" s="7">
        <f t="shared" si="40"/>
        <v>80300</v>
      </c>
      <c r="K80" s="7">
        <v>67000</v>
      </c>
      <c r="L80" s="7">
        <v>20000</v>
      </c>
      <c r="M80" s="7"/>
      <c r="N80" s="7">
        <v>1500</v>
      </c>
      <c r="O80" s="7">
        <f t="shared" si="51"/>
        <v>88500</v>
      </c>
      <c r="P80" s="7">
        <v>56500</v>
      </c>
      <c r="Q80" s="7">
        <v>20000</v>
      </c>
      <c r="R80" s="7"/>
      <c r="S80" s="7"/>
      <c r="T80" s="7">
        <f t="shared" si="55"/>
        <v>76500</v>
      </c>
      <c r="U80" s="6">
        <v>57000</v>
      </c>
      <c r="V80" s="6">
        <v>20000</v>
      </c>
      <c r="W80" s="6"/>
      <c r="X80" s="6"/>
      <c r="Y80" s="6">
        <f t="shared" si="56"/>
        <v>77000</v>
      </c>
      <c r="Z80" s="6">
        <f t="shared" si="54"/>
        <v>322300</v>
      </c>
      <c r="AA80" s="9">
        <f t="shared" si="41"/>
        <v>249500</v>
      </c>
    </row>
    <row r="81" spans="1:28" ht="22.5" x14ac:dyDescent="0.25">
      <c r="A81" s="276"/>
      <c r="B81" s="51" t="s">
        <v>118</v>
      </c>
      <c r="C81" s="58" t="s">
        <v>209</v>
      </c>
      <c r="D81" s="10"/>
      <c r="E81" s="10"/>
      <c r="F81" s="7">
        <f>7750-950-1190</f>
        <v>5610</v>
      </c>
      <c r="G81" s="7"/>
      <c r="H81" s="7"/>
      <c r="I81" s="7"/>
      <c r="J81" s="7">
        <f t="shared" si="40"/>
        <v>5610</v>
      </c>
      <c r="K81" s="7">
        <v>7750</v>
      </c>
      <c r="L81" s="7"/>
      <c r="M81" s="7"/>
      <c r="N81" s="7"/>
      <c r="O81" s="7">
        <f t="shared" si="51"/>
        <v>7750</v>
      </c>
      <c r="P81" s="7">
        <v>6450</v>
      </c>
      <c r="Q81" s="7"/>
      <c r="R81" s="7"/>
      <c r="S81" s="7"/>
      <c r="T81" s="7">
        <f t="shared" si="55"/>
        <v>6450</v>
      </c>
      <c r="U81" s="6">
        <v>5450</v>
      </c>
      <c r="V81" s="6"/>
      <c r="W81" s="6"/>
      <c r="X81" s="6"/>
      <c r="Y81" s="6">
        <f t="shared" si="56"/>
        <v>5450</v>
      </c>
      <c r="Z81" s="6">
        <f t="shared" si="54"/>
        <v>25260</v>
      </c>
      <c r="AA81" s="9">
        <f t="shared" si="41"/>
        <v>25260</v>
      </c>
    </row>
    <row r="82" spans="1:28" ht="22.5" x14ac:dyDescent="0.25">
      <c r="A82" s="276"/>
      <c r="B82" s="33" t="s">
        <v>256</v>
      </c>
      <c r="C82" s="58" t="s">
        <v>210</v>
      </c>
      <c r="D82" s="10"/>
      <c r="E82" s="10"/>
      <c r="F82" s="7">
        <f>25060-1700-200-6000-150</f>
        <v>17010</v>
      </c>
      <c r="G82" s="7"/>
      <c r="H82" s="7"/>
      <c r="I82" s="7"/>
      <c r="J82" s="7">
        <f t="shared" si="40"/>
        <v>17010</v>
      </c>
      <c r="K82" s="7">
        <v>13060</v>
      </c>
      <c r="L82" s="7"/>
      <c r="M82" s="7"/>
      <c r="N82" s="7"/>
      <c r="O82" s="7">
        <f t="shared" si="51"/>
        <v>13060</v>
      </c>
      <c r="P82" s="7">
        <v>16220</v>
      </c>
      <c r="Q82" s="7"/>
      <c r="R82" s="7"/>
      <c r="S82" s="7"/>
      <c r="T82" s="7">
        <f t="shared" si="55"/>
        <v>16220</v>
      </c>
      <c r="U82" s="6">
        <v>16220</v>
      </c>
      <c r="V82" s="6"/>
      <c r="W82" s="6"/>
      <c r="X82" s="6"/>
      <c r="Y82" s="6">
        <f t="shared" si="56"/>
        <v>16220</v>
      </c>
      <c r="Z82" s="6">
        <f t="shared" si="54"/>
        <v>62510</v>
      </c>
      <c r="AA82" s="9">
        <f t="shared" si="41"/>
        <v>62510</v>
      </c>
    </row>
    <row r="83" spans="1:28" ht="30" x14ac:dyDescent="0.25">
      <c r="A83" s="276"/>
      <c r="B83" s="33" t="s">
        <v>257</v>
      </c>
      <c r="C83" s="58" t="s">
        <v>51</v>
      </c>
      <c r="D83" s="10"/>
      <c r="E83" s="10"/>
      <c r="F83" s="7">
        <v>900</v>
      </c>
      <c r="G83" s="7"/>
      <c r="H83" s="7"/>
      <c r="I83" s="7"/>
      <c r="J83" s="7">
        <f t="shared" si="40"/>
        <v>900</v>
      </c>
      <c r="K83" s="7"/>
      <c r="L83" s="7"/>
      <c r="M83" s="7"/>
      <c r="N83" s="7"/>
      <c r="O83" s="7">
        <f t="shared" si="51"/>
        <v>0</v>
      </c>
      <c r="P83" s="7"/>
      <c r="Q83" s="7"/>
      <c r="R83" s="7"/>
      <c r="S83" s="7"/>
      <c r="T83" s="7">
        <f t="shared" si="55"/>
        <v>0</v>
      </c>
      <c r="U83" s="6"/>
      <c r="V83" s="6"/>
      <c r="W83" s="6"/>
      <c r="X83" s="6"/>
      <c r="Y83" s="6">
        <f t="shared" si="56"/>
        <v>0</v>
      </c>
      <c r="Z83" s="6">
        <f t="shared" si="54"/>
        <v>900</v>
      </c>
      <c r="AA83" s="9">
        <f t="shared" si="41"/>
        <v>900</v>
      </c>
    </row>
    <row r="84" spans="1:28" ht="15.75" customHeight="1" x14ac:dyDescent="0.25">
      <c r="A84" s="276" t="s">
        <v>119</v>
      </c>
      <c r="B84" s="21"/>
      <c r="C84" s="56"/>
      <c r="D84" s="2"/>
      <c r="E84" s="2"/>
      <c r="F84" s="3">
        <f>SUM(F85:F91)</f>
        <v>47455</v>
      </c>
      <c r="G84" s="3">
        <f t="shared" ref="G84:I84" si="65">SUM(G85:G91)</f>
        <v>0</v>
      </c>
      <c r="H84" s="3">
        <f t="shared" si="65"/>
        <v>0</v>
      </c>
      <c r="I84" s="3">
        <f t="shared" si="65"/>
        <v>150</v>
      </c>
      <c r="J84" s="3">
        <f t="shared" si="40"/>
        <v>47605</v>
      </c>
      <c r="K84" s="3">
        <f>SUM(K85:K91)</f>
        <v>19030</v>
      </c>
      <c r="L84" s="3">
        <f t="shared" ref="L84:N84" si="66">SUM(L85:L91)</f>
        <v>0</v>
      </c>
      <c r="M84" s="3">
        <f t="shared" si="66"/>
        <v>0</v>
      </c>
      <c r="N84" s="3">
        <f t="shared" si="66"/>
        <v>0</v>
      </c>
      <c r="O84" s="3">
        <f t="shared" si="51"/>
        <v>19030</v>
      </c>
      <c r="P84" s="3">
        <f>SUM(P85:P91)</f>
        <v>8030</v>
      </c>
      <c r="Q84" s="3">
        <f t="shared" ref="Q84:S84" si="67">SUM(Q85:Q91)</f>
        <v>0</v>
      </c>
      <c r="R84" s="3">
        <f t="shared" si="67"/>
        <v>0</v>
      </c>
      <c r="S84" s="3">
        <f t="shared" si="67"/>
        <v>0</v>
      </c>
      <c r="T84" s="3">
        <f t="shared" si="55"/>
        <v>8030</v>
      </c>
      <c r="U84" s="3">
        <f>SUM(U85:U91)</f>
        <v>8030</v>
      </c>
      <c r="V84" s="3">
        <f t="shared" ref="V84:X84" si="68">SUM(V85:V91)</f>
        <v>0</v>
      </c>
      <c r="W84" s="3">
        <f t="shared" si="68"/>
        <v>0</v>
      </c>
      <c r="X84" s="3">
        <f t="shared" si="68"/>
        <v>0</v>
      </c>
      <c r="Y84" s="3">
        <f t="shared" si="56"/>
        <v>8030</v>
      </c>
      <c r="Z84" s="3">
        <f t="shared" si="54"/>
        <v>82695</v>
      </c>
      <c r="AA84" s="4">
        <f t="shared" si="41"/>
        <v>82545</v>
      </c>
    </row>
    <row r="85" spans="1:28" x14ac:dyDescent="0.25">
      <c r="A85" s="276"/>
      <c r="B85" s="49" t="s">
        <v>258</v>
      </c>
      <c r="C85" s="58"/>
      <c r="D85" s="5"/>
      <c r="E85" s="5"/>
      <c r="F85" s="7">
        <v>37425</v>
      </c>
      <c r="G85" s="7"/>
      <c r="H85" s="7"/>
      <c r="I85" s="7">
        <v>150</v>
      </c>
      <c r="J85" s="7">
        <f t="shared" ref="J85:J91" si="69">SUM(F85:I85)</f>
        <v>37575</v>
      </c>
      <c r="K85" s="7">
        <v>10000</v>
      </c>
      <c r="L85" s="7"/>
      <c r="M85" s="7"/>
      <c r="N85" s="7"/>
      <c r="O85" s="7">
        <f t="shared" ref="O85:O91" si="70">SUM(K85:N85)</f>
        <v>10000</v>
      </c>
      <c r="P85" s="7"/>
      <c r="Q85" s="7"/>
      <c r="R85" s="7"/>
      <c r="S85" s="7"/>
      <c r="T85" s="7">
        <f t="shared" ref="T85:T91" si="71">SUM(P85:S85)</f>
        <v>0</v>
      </c>
      <c r="U85" s="6">
        <v>1830</v>
      </c>
      <c r="V85" s="6"/>
      <c r="W85" s="6"/>
      <c r="X85" s="6"/>
      <c r="Y85" s="6">
        <f>SUM(U85:X85)</f>
        <v>1830</v>
      </c>
      <c r="Z85" s="6">
        <f t="shared" si="54"/>
        <v>49405</v>
      </c>
      <c r="AA85" s="9">
        <f t="shared" si="41"/>
        <v>49255</v>
      </c>
      <c r="AB85" s="35"/>
    </row>
    <row r="86" spans="1:28" ht="45" x14ac:dyDescent="0.25">
      <c r="A86" s="276"/>
      <c r="B86" s="51" t="s">
        <v>121</v>
      </c>
      <c r="C86" s="58" t="s">
        <v>56</v>
      </c>
      <c r="D86" s="5"/>
      <c r="E86" s="5"/>
      <c r="F86" s="7">
        <v>1830</v>
      </c>
      <c r="G86" s="7"/>
      <c r="H86" s="7"/>
      <c r="I86" s="7"/>
      <c r="J86" s="7">
        <f t="shared" si="69"/>
        <v>1830</v>
      </c>
      <c r="K86" s="7">
        <v>1830</v>
      </c>
      <c r="L86" s="7"/>
      <c r="M86" s="7"/>
      <c r="N86" s="7"/>
      <c r="O86" s="7">
        <f t="shared" si="70"/>
        <v>1830</v>
      </c>
      <c r="P86" s="7">
        <v>1830</v>
      </c>
      <c r="Q86" s="7"/>
      <c r="R86" s="7"/>
      <c r="S86" s="7"/>
      <c r="T86" s="7">
        <f t="shared" si="71"/>
        <v>1830</v>
      </c>
      <c r="U86" s="6"/>
      <c r="V86" s="6"/>
      <c r="W86" s="6"/>
      <c r="X86" s="6"/>
      <c r="Y86" s="6">
        <f t="shared" ref="Y86:Y91" si="72">SUM(U86:X86)</f>
        <v>0</v>
      </c>
      <c r="Z86" s="6">
        <f t="shared" si="54"/>
        <v>5490</v>
      </c>
      <c r="AA86" s="9">
        <f t="shared" si="41"/>
        <v>5490</v>
      </c>
    </row>
    <row r="87" spans="1:28" x14ac:dyDescent="0.25">
      <c r="A87" s="276"/>
      <c r="B87" s="33" t="s">
        <v>259</v>
      </c>
      <c r="C87" s="58" t="s">
        <v>25</v>
      </c>
      <c r="D87" s="5"/>
      <c r="E87" s="5"/>
      <c r="F87" s="7">
        <v>1000</v>
      </c>
      <c r="G87" s="7"/>
      <c r="H87" s="7"/>
      <c r="I87" s="7"/>
      <c r="J87" s="7">
        <f t="shared" si="69"/>
        <v>1000</v>
      </c>
      <c r="K87" s="7">
        <v>1000</v>
      </c>
      <c r="L87" s="7"/>
      <c r="M87" s="7"/>
      <c r="N87" s="7"/>
      <c r="O87" s="7">
        <f t="shared" si="70"/>
        <v>1000</v>
      </c>
      <c r="P87" s="7"/>
      <c r="Q87" s="7"/>
      <c r="R87" s="7"/>
      <c r="S87" s="7"/>
      <c r="T87" s="7">
        <f t="shared" si="71"/>
        <v>0</v>
      </c>
      <c r="U87" s="6"/>
      <c r="V87" s="6"/>
      <c r="W87" s="6"/>
      <c r="X87" s="6"/>
      <c r="Y87" s="6">
        <f t="shared" si="72"/>
        <v>0</v>
      </c>
      <c r="Z87" s="6">
        <f t="shared" si="54"/>
        <v>2000</v>
      </c>
      <c r="AA87" s="9">
        <f t="shared" si="41"/>
        <v>2000</v>
      </c>
    </row>
    <row r="88" spans="1:28" ht="30" x14ac:dyDescent="0.25">
      <c r="A88" s="276"/>
      <c r="B88" s="51" t="s">
        <v>120</v>
      </c>
      <c r="C88" s="58" t="s">
        <v>25</v>
      </c>
      <c r="D88" s="5"/>
      <c r="E88" s="5"/>
      <c r="F88" s="7">
        <v>1000</v>
      </c>
      <c r="G88" s="7"/>
      <c r="H88" s="7"/>
      <c r="I88" s="7"/>
      <c r="J88" s="7">
        <f t="shared" si="69"/>
        <v>1000</v>
      </c>
      <c r="K88" s="7"/>
      <c r="L88" s="7"/>
      <c r="M88" s="7"/>
      <c r="N88" s="7"/>
      <c r="O88" s="7">
        <f t="shared" si="70"/>
        <v>0</v>
      </c>
      <c r="P88" s="7"/>
      <c r="Q88" s="7"/>
      <c r="R88" s="7"/>
      <c r="S88" s="7"/>
      <c r="T88" s="7">
        <f t="shared" si="71"/>
        <v>0</v>
      </c>
      <c r="U88" s="6"/>
      <c r="V88" s="6"/>
      <c r="W88" s="6"/>
      <c r="X88" s="6"/>
      <c r="Y88" s="6">
        <f t="shared" si="72"/>
        <v>0</v>
      </c>
      <c r="Z88" s="6">
        <f t="shared" si="54"/>
        <v>1000</v>
      </c>
      <c r="AA88" s="9">
        <f t="shared" si="41"/>
        <v>1000</v>
      </c>
      <c r="AB88" s="35"/>
    </row>
    <row r="89" spans="1:28" ht="22.5" x14ac:dyDescent="0.25">
      <c r="A89" s="276"/>
      <c r="B89" s="33" t="s">
        <v>260</v>
      </c>
      <c r="C89" s="58" t="s">
        <v>43</v>
      </c>
      <c r="D89" s="5"/>
      <c r="E89" s="5"/>
      <c r="F89" s="7">
        <f>6000+150</f>
        <v>6150</v>
      </c>
      <c r="G89" s="7"/>
      <c r="H89" s="7"/>
      <c r="I89" s="7"/>
      <c r="J89" s="7">
        <f t="shared" si="69"/>
        <v>6150</v>
      </c>
      <c r="K89" s="7">
        <v>6150</v>
      </c>
      <c r="L89" s="7"/>
      <c r="M89" s="7"/>
      <c r="N89" s="7"/>
      <c r="O89" s="7">
        <f t="shared" si="70"/>
        <v>6150</v>
      </c>
      <c r="P89" s="7">
        <v>6150</v>
      </c>
      <c r="Q89" s="7"/>
      <c r="R89" s="7"/>
      <c r="S89" s="7"/>
      <c r="T89" s="7">
        <f t="shared" si="71"/>
        <v>6150</v>
      </c>
      <c r="U89" s="6">
        <v>6150</v>
      </c>
      <c r="V89" s="6"/>
      <c r="W89" s="6"/>
      <c r="X89" s="6"/>
      <c r="Y89" s="6">
        <f t="shared" si="72"/>
        <v>6150</v>
      </c>
      <c r="Z89" s="6">
        <f t="shared" si="54"/>
        <v>24600</v>
      </c>
      <c r="AA89" s="9">
        <f t="shared" si="41"/>
        <v>24600</v>
      </c>
    </row>
    <row r="90" spans="1:28" ht="30" x14ac:dyDescent="0.25">
      <c r="A90" s="276"/>
      <c r="B90" s="33" t="s">
        <v>261</v>
      </c>
      <c r="C90" s="58" t="s">
        <v>25</v>
      </c>
      <c r="D90" s="5"/>
      <c r="E90" s="5"/>
      <c r="F90" s="7"/>
      <c r="G90" s="7"/>
      <c r="H90" s="7"/>
      <c r="I90" s="7"/>
      <c r="J90" s="7">
        <f t="shared" si="69"/>
        <v>0</v>
      </c>
      <c r="K90" s="7"/>
      <c r="L90" s="7"/>
      <c r="M90" s="7"/>
      <c r="N90" s="7"/>
      <c r="O90" s="7">
        <f t="shared" si="70"/>
        <v>0</v>
      </c>
      <c r="P90" s="7"/>
      <c r="Q90" s="7"/>
      <c r="R90" s="7"/>
      <c r="S90" s="7"/>
      <c r="T90" s="7">
        <f t="shared" si="71"/>
        <v>0</v>
      </c>
      <c r="U90" s="6"/>
      <c r="V90" s="6"/>
      <c r="W90" s="6"/>
      <c r="X90" s="6"/>
      <c r="Y90" s="6">
        <f t="shared" si="72"/>
        <v>0</v>
      </c>
      <c r="Z90" s="6">
        <f t="shared" si="54"/>
        <v>0</v>
      </c>
      <c r="AA90" s="9">
        <f t="shared" si="41"/>
        <v>0</v>
      </c>
    </row>
    <row r="91" spans="1:28" x14ac:dyDescent="0.25">
      <c r="A91" s="276"/>
      <c r="B91" s="51" t="s">
        <v>122</v>
      </c>
      <c r="C91" s="58" t="s">
        <v>24</v>
      </c>
      <c r="D91" s="5"/>
      <c r="E91" s="5"/>
      <c r="F91" s="7">
        <v>50</v>
      </c>
      <c r="G91" s="7"/>
      <c r="H91" s="7"/>
      <c r="I91" s="7"/>
      <c r="J91" s="7">
        <f t="shared" si="69"/>
        <v>50</v>
      </c>
      <c r="K91" s="7">
        <v>50</v>
      </c>
      <c r="L91" s="7"/>
      <c r="M91" s="7"/>
      <c r="N91" s="7"/>
      <c r="O91" s="7">
        <f t="shared" si="70"/>
        <v>50</v>
      </c>
      <c r="P91" s="7">
        <v>50</v>
      </c>
      <c r="Q91" s="7"/>
      <c r="R91" s="7"/>
      <c r="S91" s="7"/>
      <c r="T91" s="7">
        <f t="shared" si="71"/>
        <v>50</v>
      </c>
      <c r="U91" s="6">
        <v>50</v>
      </c>
      <c r="V91" s="6"/>
      <c r="W91" s="6"/>
      <c r="X91" s="6"/>
      <c r="Y91" s="6">
        <f t="shared" si="72"/>
        <v>50</v>
      </c>
      <c r="Z91" s="6">
        <f t="shared" si="54"/>
        <v>200</v>
      </c>
      <c r="AA91" s="9">
        <f t="shared" si="41"/>
        <v>200</v>
      </c>
    </row>
    <row r="92" spans="1:28" ht="27" customHeight="1" x14ac:dyDescent="0.25">
      <c r="A92" s="275" t="s">
        <v>194</v>
      </c>
      <c r="B92" s="21"/>
      <c r="C92" s="56"/>
      <c r="D92" s="2"/>
      <c r="E92" s="2"/>
      <c r="F92" s="3">
        <f>SUM(F93:F96)</f>
        <v>0</v>
      </c>
      <c r="G92" s="3">
        <f t="shared" ref="G92:I92" si="73">SUM(G93:G96)</f>
        <v>0</v>
      </c>
      <c r="H92" s="3">
        <f t="shared" si="73"/>
        <v>0</v>
      </c>
      <c r="I92" s="3">
        <f t="shared" si="73"/>
        <v>0</v>
      </c>
      <c r="J92" s="3">
        <f t="shared" si="40"/>
        <v>0</v>
      </c>
      <c r="K92" s="3">
        <f>SUM(K93:K96)</f>
        <v>0</v>
      </c>
      <c r="L92" s="3">
        <f t="shared" ref="L92:N92" si="74">SUM(L93:L96)</f>
        <v>0</v>
      </c>
      <c r="M92" s="3">
        <f t="shared" si="74"/>
        <v>0</v>
      </c>
      <c r="N92" s="3">
        <f t="shared" si="74"/>
        <v>0</v>
      </c>
      <c r="O92" s="3">
        <f t="shared" si="51"/>
        <v>0</v>
      </c>
      <c r="P92" s="3">
        <f>SUM(P93:P96)</f>
        <v>0</v>
      </c>
      <c r="Q92" s="3">
        <f t="shared" ref="Q92:S92" si="75">SUM(Q93:Q96)</f>
        <v>0</v>
      </c>
      <c r="R92" s="3">
        <f t="shared" si="75"/>
        <v>0</v>
      </c>
      <c r="S92" s="3">
        <f t="shared" si="75"/>
        <v>0</v>
      </c>
      <c r="T92" s="3">
        <f t="shared" si="55"/>
        <v>0</v>
      </c>
      <c r="U92" s="3">
        <f>SUM(U93:U96)</f>
        <v>0</v>
      </c>
      <c r="V92" s="3">
        <f t="shared" ref="V92:X92" si="76">SUM(V93:V96)</f>
        <v>0</v>
      </c>
      <c r="W92" s="3">
        <f t="shared" si="76"/>
        <v>0</v>
      </c>
      <c r="X92" s="3">
        <f t="shared" si="76"/>
        <v>0</v>
      </c>
      <c r="Y92" s="3">
        <f t="shared" si="56"/>
        <v>0</v>
      </c>
      <c r="Z92" s="3">
        <f t="shared" si="54"/>
        <v>0</v>
      </c>
      <c r="AA92" s="4">
        <f t="shared" si="41"/>
        <v>0</v>
      </c>
    </row>
    <row r="93" spans="1:28" ht="90" x14ac:dyDescent="0.25">
      <c r="A93" s="275"/>
      <c r="B93" s="33" t="s">
        <v>262</v>
      </c>
      <c r="C93" s="59"/>
      <c r="D93" s="14"/>
      <c r="E93" s="14"/>
      <c r="F93" s="7"/>
      <c r="G93" s="7"/>
      <c r="H93" s="7"/>
      <c r="I93" s="7"/>
      <c r="J93" s="7">
        <f t="shared" si="40"/>
        <v>0</v>
      </c>
      <c r="K93" s="7"/>
      <c r="L93" s="7"/>
      <c r="M93" s="7"/>
      <c r="N93" s="7"/>
      <c r="O93" s="7">
        <f t="shared" si="51"/>
        <v>0</v>
      </c>
      <c r="P93" s="7"/>
      <c r="Q93" s="7"/>
      <c r="R93" s="7"/>
      <c r="S93" s="7"/>
      <c r="T93" s="7">
        <f t="shared" si="55"/>
        <v>0</v>
      </c>
      <c r="U93" s="6"/>
      <c r="V93" s="6"/>
      <c r="W93" s="6"/>
      <c r="X93" s="6"/>
      <c r="Y93" s="6">
        <f t="shared" si="56"/>
        <v>0</v>
      </c>
      <c r="Z93" s="6">
        <f t="shared" si="54"/>
        <v>0</v>
      </c>
      <c r="AA93" s="9">
        <f t="shared" si="41"/>
        <v>0</v>
      </c>
    </row>
    <row r="94" spans="1:28" ht="45" x14ac:dyDescent="0.25">
      <c r="A94" s="275"/>
      <c r="B94" s="33" t="s">
        <v>263</v>
      </c>
      <c r="C94" s="59"/>
      <c r="D94" s="14"/>
      <c r="E94" s="14"/>
      <c r="F94" s="7"/>
      <c r="G94" s="7"/>
      <c r="H94" s="7"/>
      <c r="I94" s="7"/>
      <c r="J94" s="7">
        <f t="shared" si="40"/>
        <v>0</v>
      </c>
      <c r="K94" s="7"/>
      <c r="L94" s="7"/>
      <c r="M94" s="7"/>
      <c r="N94" s="7"/>
      <c r="O94" s="7">
        <f t="shared" si="51"/>
        <v>0</v>
      </c>
      <c r="P94" s="7"/>
      <c r="Q94" s="7"/>
      <c r="R94" s="7"/>
      <c r="S94" s="7"/>
      <c r="T94" s="7">
        <f t="shared" si="55"/>
        <v>0</v>
      </c>
      <c r="U94" s="6"/>
      <c r="V94" s="6"/>
      <c r="W94" s="6"/>
      <c r="X94" s="6"/>
      <c r="Y94" s="6">
        <f t="shared" si="56"/>
        <v>0</v>
      </c>
      <c r="Z94" s="6">
        <f t="shared" si="54"/>
        <v>0</v>
      </c>
      <c r="AA94" s="9">
        <f t="shared" si="41"/>
        <v>0</v>
      </c>
    </row>
    <row r="95" spans="1:28" ht="45" customHeight="1" x14ac:dyDescent="0.25">
      <c r="A95" s="275"/>
      <c r="B95" s="33" t="s">
        <v>264</v>
      </c>
      <c r="C95" s="59"/>
      <c r="D95" s="14"/>
      <c r="E95" s="14"/>
      <c r="F95" s="7"/>
      <c r="G95" s="7"/>
      <c r="H95" s="7"/>
      <c r="I95" s="7"/>
      <c r="J95" s="7">
        <f t="shared" si="40"/>
        <v>0</v>
      </c>
      <c r="K95" s="7"/>
      <c r="L95" s="7"/>
      <c r="M95" s="7"/>
      <c r="N95" s="7"/>
      <c r="O95" s="7">
        <f t="shared" si="51"/>
        <v>0</v>
      </c>
      <c r="P95" s="7"/>
      <c r="Q95" s="7"/>
      <c r="R95" s="7"/>
      <c r="S95" s="7"/>
      <c r="T95" s="7">
        <f t="shared" si="55"/>
        <v>0</v>
      </c>
      <c r="U95" s="6"/>
      <c r="V95" s="6"/>
      <c r="W95" s="6"/>
      <c r="X95" s="6"/>
      <c r="Y95" s="6">
        <f t="shared" si="56"/>
        <v>0</v>
      </c>
      <c r="Z95" s="6">
        <f t="shared" si="54"/>
        <v>0</v>
      </c>
      <c r="AA95" s="9">
        <f t="shared" si="41"/>
        <v>0</v>
      </c>
    </row>
    <row r="96" spans="1:28" ht="30" x14ac:dyDescent="0.25">
      <c r="A96" s="275"/>
      <c r="B96" s="33" t="s">
        <v>265</v>
      </c>
      <c r="C96" s="59"/>
      <c r="D96" s="14"/>
      <c r="E96" s="14"/>
      <c r="F96" s="7"/>
      <c r="G96" s="7"/>
      <c r="H96" s="7"/>
      <c r="I96" s="7"/>
      <c r="J96" s="7">
        <f t="shared" si="40"/>
        <v>0</v>
      </c>
      <c r="K96" s="7"/>
      <c r="L96" s="7"/>
      <c r="M96" s="7"/>
      <c r="N96" s="7"/>
      <c r="O96" s="7">
        <f t="shared" si="51"/>
        <v>0</v>
      </c>
      <c r="P96" s="7"/>
      <c r="Q96" s="7"/>
      <c r="R96" s="7"/>
      <c r="S96" s="7"/>
      <c r="T96" s="7">
        <f t="shared" si="55"/>
        <v>0</v>
      </c>
      <c r="U96" s="6"/>
      <c r="V96" s="6"/>
      <c r="W96" s="6"/>
      <c r="X96" s="6"/>
      <c r="Y96" s="6">
        <f t="shared" si="56"/>
        <v>0</v>
      </c>
      <c r="Z96" s="6">
        <f t="shared" si="54"/>
        <v>0</v>
      </c>
      <c r="AA96" s="9">
        <f t="shared" si="41"/>
        <v>0</v>
      </c>
    </row>
    <row r="97" spans="1:27" ht="32.25" customHeight="1" x14ac:dyDescent="0.25">
      <c r="A97" s="48" t="s">
        <v>237</v>
      </c>
      <c r="B97" s="27"/>
      <c r="C97" s="63"/>
      <c r="D97" s="28"/>
      <c r="E97" s="28"/>
      <c r="F97" s="37">
        <f t="shared" ref="F97:S97" si="77">F98+F104+F110+F114+F120+F126+F133</f>
        <v>1151500</v>
      </c>
      <c r="G97" s="37">
        <f t="shared" si="77"/>
        <v>10000</v>
      </c>
      <c r="H97" s="37">
        <f t="shared" si="77"/>
        <v>0</v>
      </c>
      <c r="I97" s="37">
        <f t="shared" si="77"/>
        <v>45226</v>
      </c>
      <c r="J97" s="37">
        <f t="shared" si="77"/>
        <v>1206726</v>
      </c>
      <c r="K97" s="37">
        <f t="shared" si="77"/>
        <v>1239290</v>
      </c>
      <c r="L97" s="37">
        <f t="shared" si="77"/>
        <v>14000</v>
      </c>
      <c r="M97" s="37">
        <f t="shared" si="77"/>
        <v>0</v>
      </c>
      <c r="N97" s="37">
        <f t="shared" si="77"/>
        <v>38101</v>
      </c>
      <c r="O97" s="37">
        <f t="shared" si="77"/>
        <v>1291391</v>
      </c>
      <c r="P97" s="37">
        <f t="shared" si="77"/>
        <v>1241680</v>
      </c>
      <c r="Q97" s="37">
        <f t="shared" si="77"/>
        <v>14000</v>
      </c>
      <c r="R97" s="37">
        <f t="shared" si="77"/>
        <v>0</v>
      </c>
      <c r="S97" s="37">
        <f t="shared" si="77"/>
        <v>37581</v>
      </c>
      <c r="T97" s="37">
        <f>SUM(P97:S97)</f>
        <v>1293261</v>
      </c>
      <c r="U97" s="37">
        <f>U98+U104+U110+U114+U120+U126+U133</f>
        <v>1250745</v>
      </c>
      <c r="V97" s="37">
        <f>V98+V104+V110+V114+V120+V126+V133</f>
        <v>14000</v>
      </c>
      <c r="W97" s="37">
        <f>W98+W104+W110+W114+W120+W126+W133</f>
        <v>0</v>
      </c>
      <c r="X97" s="37">
        <f>X98+X104+X110+X114+X120+X126+X133</f>
        <v>39081</v>
      </c>
      <c r="Y97" s="37">
        <f>SUM(U97:X97)</f>
        <v>1303826</v>
      </c>
      <c r="Z97" s="37">
        <f t="shared" si="54"/>
        <v>5095204</v>
      </c>
      <c r="AA97" s="38">
        <f t="shared" si="41"/>
        <v>4883215</v>
      </c>
    </row>
    <row r="98" spans="1:27" ht="30" customHeight="1" x14ac:dyDescent="0.25">
      <c r="A98" s="276" t="s">
        <v>238</v>
      </c>
      <c r="B98" s="21"/>
      <c r="C98" s="56"/>
      <c r="D98" s="2"/>
      <c r="E98" s="2"/>
      <c r="F98" s="3">
        <f>SUM(F99:F103)</f>
        <v>97080</v>
      </c>
      <c r="G98" s="3">
        <f t="shared" ref="G98:I98" si="78">SUM(G99:G103)</f>
        <v>10000</v>
      </c>
      <c r="H98" s="3">
        <f t="shared" si="78"/>
        <v>0</v>
      </c>
      <c r="I98" s="3">
        <f t="shared" si="78"/>
        <v>5840</v>
      </c>
      <c r="J98" s="3">
        <f>SUM(F98:I98)</f>
        <v>112920</v>
      </c>
      <c r="K98" s="3">
        <f>SUM(K99:K103)</f>
        <v>117680</v>
      </c>
      <c r="L98" s="3">
        <f t="shared" ref="L98:N98" si="79">SUM(L99:L103)</f>
        <v>14000</v>
      </c>
      <c r="M98" s="3">
        <f t="shared" si="79"/>
        <v>0</v>
      </c>
      <c r="N98" s="3">
        <f t="shared" si="79"/>
        <v>5794</v>
      </c>
      <c r="O98" s="3">
        <f>SUM(K98:N98)</f>
        <v>137474</v>
      </c>
      <c r="P98" s="3">
        <f>SUM(P99:P103)</f>
        <v>119200</v>
      </c>
      <c r="Q98" s="3">
        <f t="shared" ref="Q98:S98" si="80">SUM(Q99:Q103)</f>
        <v>14000</v>
      </c>
      <c r="R98" s="3">
        <f t="shared" si="80"/>
        <v>0</v>
      </c>
      <c r="S98" s="3">
        <f t="shared" si="80"/>
        <v>494</v>
      </c>
      <c r="T98" s="3">
        <f>SUM(P98:S98)</f>
        <v>133694</v>
      </c>
      <c r="U98" s="3">
        <f>SUM(U99:U103)</f>
        <v>120000</v>
      </c>
      <c r="V98" s="3">
        <f t="shared" ref="V98:X98" si="81">SUM(V99:V103)</f>
        <v>14000</v>
      </c>
      <c r="W98" s="3">
        <f t="shared" si="81"/>
        <v>0</v>
      </c>
      <c r="X98" s="3">
        <f t="shared" si="81"/>
        <v>494</v>
      </c>
      <c r="Y98" s="3">
        <f>SUM(U98:X98)</f>
        <v>134494</v>
      </c>
      <c r="Z98" s="3">
        <f t="shared" si="54"/>
        <v>518582</v>
      </c>
      <c r="AA98" s="4">
        <f t="shared" si="41"/>
        <v>453960</v>
      </c>
    </row>
    <row r="99" spans="1:27" ht="30" x14ac:dyDescent="0.25">
      <c r="A99" s="276"/>
      <c r="B99" s="50" t="s">
        <v>123</v>
      </c>
      <c r="C99" s="57" t="s">
        <v>124</v>
      </c>
      <c r="D99" s="5"/>
      <c r="E99" s="5"/>
      <c r="F99" s="7">
        <v>60000</v>
      </c>
      <c r="G99" s="7"/>
      <c r="H99" s="7"/>
      <c r="I99" s="7"/>
      <c r="J99" s="7">
        <v>79800</v>
      </c>
      <c r="K99" s="7">
        <v>79800</v>
      </c>
      <c r="L99" s="7"/>
      <c r="M99" s="7"/>
      <c r="N99" s="7"/>
      <c r="O99" s="7">
        <f>SUM(K99:N99)</f>
        <v>79800</v>
      </c>
      <c r="P99" s="7">
        <v>80800</v>
      </c>
      <c r="Q99" s="7"/>
      <c r="R99" s="7"/>
      <c r="S99" s="7"/>
      <c r="T99" s="7">
        <f>SUM(P99:S99)</f>
        <v>80800</v>
      </c>
      <c r="U99" s="6">
        <v>81800</v>
      </c>
      <c r="V99" s="6"/>
      <c r="W99" s="6"/>
      <c r="X99" s="6"/>
      <c r="Y99" s="6">
        <f t="shared" si="56"/>
        <v>81800</v>
      </c>
      <c r="Z99" s="6">
        <f t="shared" si="54"/>
        <v>322200</v>
      </c>
      <c r="AA99" s="9">
        <f t="shared" si="41"/>
        <v>302400</v>
      </c>
    </row>
    <row r="100" spans="1:27" ht="30" x14ac:dyDescent="0.25">
      <c r="A100" s="276"/>
      <c r="B100" s="50" t="s">
        <v>126</v>
      </c>
      <c r="C100" s="57" t="s">
        <v>125</v>
      </c>
      <c r="D100" s="5"/>
      <c r="E100" s="5"/>
      <c r="F100" s="7">
        <v>200</v>
      </c>
      <c r="G100" s="7">
        <v>10000</v>
      </c>
      <c r="H100" s="7"/>
      <c r="I100" s="7"/>
      <c r="J100" s="7">
        <f t="shared" si="40"/>
        <v>10200</v>
      </c>
      <c r="K100" s="7">
        <v>500</v>
      </c>
      <c r="L100" s="7">
        <v>14000</v>
      </c>
      <c r="M100" s="7"/>
      <c r="N100" s="7"/>
      <c r="O100" s="7">
        <f t="shared" si="51"/>
        <v>14500</v>
      </c>
      <c r="P100" s="7">
        <v>700</v>
      </c>
      <c r="Q100" s="7">
        <v>14000</v>
      </c>
      <c r="R100" s="7"/>
      <c r="S100" s="7"/>
      <c r="T100" s="7">
        <f t="shared" si="55"/>
        <v>14700</v>
      </c>
      <c r="U100" s="6">
        <v>500</v>
      </c>
      <c r="V100" s="6">
        <v>14000</v>
      </c>
      <c r="W100" s="6"/>
      <c r="X100" s="6"/>
      <c r="Y100" s="6">
        <f t="shared" si="56"/>
        <v>14500</v>
      </c>
      <c r="Z100" s="6">
        <f t="shared" si="54"/>
        <v>53900</v>
      </c>
      <c r="AA100" s="9">
        <f t="shared" si="41"/>
        <v>1900</v>
      </c>
    </row>
    <row r="101" spans="1:27" ht="30" x14ac:dyDescent="0.25">
      <c r="A101" s="276"/>
      <c r="B101" s="50" t="s">
        <v>127</v>
      </c>
      <c r="C101" s="57" t="s">
        <v>53</v>
      </c>
      <c r="D101" s="5"/>
      <c r="E101" s="5"/>
      <c r="F101" s="7">
        <f>11895-1245+900</f>
        <v>11550</v>
      </c>
      <c r="G101" s="7"/>
      <c r="H101" s="7"/>
      <c r="I101" s="7">
        <v>5446</v>
      </c>
      <c r="J101" s="7">
        <f t="shared" si="40"/>
        <v>16996</v>
      </c>
      <c r="K101" s="7">
        <f>11895-1245+1200</f>
        <v>11850</v>
      </c>
      <c r="L101" s="7"/>
      <c r="M101" s="7"/>
      <c r="N101" s="7">
        <v>5480</v>
      </c>
      <c r="O101" s="7">
        <f t="shared" si="51"/>
        <v>17330</v>
      </c>
      <c r="P101" s="7">
        <f>11895-1245+1300</f>
        <v>11950</v>
      </c>
      <c r="Q101" s="7"/>
      <c r="R101" s="7"/>
      <c r="S101" s="7">
        <v>180</v>
      </c>
      <c r="T101" s="7">
        <f t="shared" si="55"/>
        <v>12130</v>
      </c>
      <c r="U101" s="6">
        <f>11895-1245+1300</f>
        <v>11950</v>
      </c>
      <c r="V101" s="6"/>
      <c r="W101" s="6"/>
      <c r="X101" s="6">
        <v>180</v>
      </c>
      <c r="Y101" s="6">
        <f t="shared" si="56"/>
        <v>12130</v>
      </c>
      <c r="Z101" s="6">
        <f t="shared" si="54"/>
        <v>58586</v>
      </c>
      <c r="AA101" s="9">
        <f t="shared" si="41"/>
        <v>47300</v>
      </c>
    </row>
    <row r="102" spans="1:27" x14ac:dyDescent="0.25">
      <c r="A102" s="276"/>
      <c r="B102" s="50" t="s">
        <v>128</v>
      </c>
      <c r="C102" s="57" t="s">
        <v>54</v>
      </c>
      <c r="D102" s="5"/>
      <c r="E102" s="5"/>
      <c r="F102" s="7">
        <v>20100</v>
      </c>
      <c r="G102" s="7"/>
      <c r="H102" s="7"/>
      <c r="I102" s="7"/>
      <c r="J102" s="7">
        <f>SUM(F102:I102)</f>
        <v>20100</v>
      </c>
      <c r="K102" s="7">
        <v>20100</v>
      </c>
      <c r="L102" s="7"/>
      <c r="M102" s="7"/>
      <c r="N102" s="7"/>
      <c r="O102" s="7">
        <f>SUM(K102:N102)</f>
        <v>20100</v>
      </c>
      <c r="P102" s="7">
        <v>20100</v>
      </c>
      <c r="Q102" s="7"/>
      <c r="R102" s="7"/>
      <c r="S102" s="7"/>
      <c r="T102" s="7">
        <f>SUM(P102:S102)</f>
        <v>20100</v>
      </c>
      <c r="U102" s="6">
        <v>20100</v>
      </c>
      <c r="V102" s="6"/>
      <c r="W102" s="6"/>
      <c r="X102" s="6"/>
      <c r="Y102" s="6">
        <f>SUM(U102:X102)</f>
        <v>20100</v>
      </c>
      <c r="Z102" s="6">
        <f t="shared" si="54"/>
        <v>80400</v>
      </c>
      <c r="AA102" s="9"/>
    </row>
    <row r="103" spans="1:27" ht="45" x14ac:dyDescent="0.25">
      <c r="A103" s="276"/>
      <c r="B103" s="50" t="s">
        <v>129</v>
      </c>
      <c r="C103" s="57" t="s">
        <v>130</v>
      </c>
      <c r="D103" s="5"/>
      <c r="E103" s="5"/>
      <c r="F103" s="7">
        <f>730+240+2800+1460</f>
        <v>5230</v>
      </c>
      <c r="G103" s="7"/>
      <c r="H103" s="7"/>
      <c r="I103" s="7">
        <v>394</v>
      </c>
      <c r="J103" s="7">
        <f t="shared" si="40"/>
        <v>5624</v>
      </c>
      <c r="K103" s="7">
        <f>730+240+3000+1460</f>
        <v>5430</v>
      </c>
      <c r="L103" s="7"/>
      <c r="M103" s="7"/>
      <c r="N103" s="7">
        <v>314</v>
      </c>
      <c r="O103" s="7">
        <v>5744</v>
      </c>
      <c r="P103" s="7">
        <v>5650</v>
      </c>
      <c r="Q103" s="7"/>
      <c r="R103" s="7"/>
      <c r="S103" s="7">
        <v>314</v>
      </c>
      <c r="T103" s="7">
        <f t="shared" si="55"/>
        <v>5964</v>
      </c>
      <c r="U103" s="7">
        <v>5650</v>
      </c>
      <c r="V103" s="6"/>
      <c r="W103" s="6"/>
      <c r="X103" s="6">
        <v>314</v>
      </c>
      <c r="Y103" s="6">
        <f t="shared" si="56"/>
        <v>5964</v>
      </c>
      <c r="Z103" s="6">
        <f t="shared" si="54"/>
        <v>23296</v>
      </c>
      <c r="AA103" s="9">
        <f t="shared" si="41"/>
        <v>21960</v>
      </c>
    </row>
    <row r="104" spans="1:27" ht="16.5" customHeight="1" x14ac:dyDescent="0.25">
      <c r="A104" s="276" t="s">
        <v>239</v>
      </c>
      <c r="B104" s="21"/>
      <c r="C104" s="60"/>
      <c r="D104" s="22"/>
      <c r="E104" s="22"/>
      <c r="F104" s="3">
        <f>SUM(F105:F109)</f>
        <v>44200</v>
      </c>
      <c r="G104" s="3">
        <f t="shared" ref="G104:I104" si="82">SUM(G105:G109)</f>
        <v>0</v>
      </c>
      <c r="H104" s="3">
        <f t="shared" si="82"/>
        <v>0</v>
      </c>
      <c r="I104" s="3">
        <f t="shared" si="82"/>
        <v>31629</v>
      </c>
      <c r="J104" s="3">
        <f t="shared" si="40"/>
        <v>75829</v>
      </c>
      <c r="K104" s="3">
        <f t="shared" ref="K104:L104" si="83">SUM(K105:K109)</f>
        <v>59935</v>
      </c>
      <c r="L104" s="3">
        <f t="shared" si="83"/>
        <v>0</v>
      </c>
      <c r="M104" s="3">
        <f>SUM(M105:M109)</f>
        <v>0</v>
      </c>
      <c r="N104" s="3">
        <f>SUM(N105:N109)</f>
        <v>25317</v>
      </c>
      <c r="O104" s="3">
        <f t="shared" si="51"/>
        <v>85252</v>
      </c>
      <c r="P104" s="3">
        <f>SUM(P105:P109)</f>
        <v>54555</v>
      </c>
      <c r="Q104" s="3">
        <f t="shared" ref="Q104:S104" si="84">SUM(Q105:Q109)</f>
        <v>0</v>
      </c>
      <c r="R104" s="3">
        <f t="shared" si="84"/>
        <v>0</v>
      </c>
      <c r="S104" s="3">
        <f t="shared" si="84"/>
        <v>31597</v>
      </c>
      <c r="T104" s="3">
        <f t="shared" si="55"/>
        <v>86152</v>
      </c>
      <c r="U104" s="3">
        <f>SUM(U105:U109)</f>
        <v>55555</v>
      </c>
      <c r="V104" s="3">
        <f t="shared" ref="V104:X104" si="85">SUM(V105:V109)</f>
        <v>0</v>
      </c>
      <c r="W104" s="3">
        <f t="shared" si="85"/>
        <v>0</v>
      </c>
      <c r="X104" s="3">
        <f t="shared" si="85"/>
        <v>31597</v>
      </c>
      <c r="Y104" s="3">
        <f>SUM(U104:X104)</f>
        <v>87152</v>
      </c>
      <c r="Z104" s="3">
        <f t="shared" si="54"/>
        <v>334385</v>
      </c>
      <c r="AA104" s="4">
        <f t="shared" si="41"/>
        <v>214245</v>
      </c>
    </row>
    <row r="105" spans="1:27" ht="30" x14ac:dyDescent="0.25">
      <c r="A105" s="276"/>
      <c r="B105" s="50" t="s">
        <v>242</v>
      </c>
      <c r="C105" s="57" t="s">
        <v>32</v>
      </c>
      <c r="D105" s="5"/>
      <c r="E105" s="5"/>
      <c r="F105" s="7">
        <v>5000</v>
      </c>
      <c r="G105" s="7"/>
      <c r="H105" s="7"/>
      <c r="I105" s="7"/>
      <c r="J105" s="7">
        <f t="shared" si="40"/>
        <v>5000</v>
      </c>
      <c r="K105" s="7">
        <v>16000</v>
      </c>
      <c r="L105" s="7"/>
      <c r="M105" s="7"/>
      <c r="N105" s="7"/>
      <c r="O105" s="7">
        <f t="shared" si="51"/>
        <v>16000</v>
      </c>
      <c r="P105" s="7">
        <v>16000</v>
      </c>
      <c r="Q105" s="7"/>
      <c r="R105" s="7"/>
      <c r="S105" s="7"/>
      <c r="T105" s="7">
        <f t="shared" si="55"/>
        <v>16000</v>
      </c>
      <c r="U105" s="6">
        <v>16000</v>
      </c>
      <c r="V105" s="6"/>
      <c r="W105" s="6"/>
      <c r="X105" s="6"/>
      <c r="Y105" s="6">
        <f t="shared" si="56"/>
        <v>16000</v>
      </c>
      <c r="Z105" s="6">
        <f t="shared" si="54"/>
        <v>53000</v>
      </c>
      <c r="AA105" s="9">
        <f t="shared" si="41"/>
        <v>53000</v>
      </c>
    </row>
    <row r="106" spans="1:27" ht="30" x14ac:dyDescent="0.25">
      <c r="A106" s="276"/>
      <c r="B106" s="50" t="s">
        <v>131</v>
      </c>
      <c r="C106" s="58" t="s">
        <v>132</v>
      </c>
      <c r="D106" s="5"/>
      <c r="E106" s="5"/>
      <c r="F106" s="7">
        <v>36695</v>
      </c>
      <c r="G106" s="7"/>
      <c r="H106" s="7"/>
      <c r="I106" s="7">
        <v>24312</v>
      </c>
      <c r="J106" s="7">
        <f t="shared" si="40"/>
        <v>61007</v>
      </c>
      <c r="K106" s="7">
        <v>36530</v>
      </c>
      <c r="L106" s="7"/>
      <c r="M106" s="7"/>
      <c r="N106" s="7">
        <v>25317</v>
      </c>
      <c r="O106" s="7">
        <f t="shared" si="51"/>
        <v>61847</v>
      </c>
      <c r="P106" s="7">
        <v>36430</v>
      </c>
      <c r="Q106" s="7"/>
      <c r="R106" s="7"/>
      <c r="S106" s="7">
        <v>26317</v>
      </c>
      <c r="T106" s="7">
        <f t="shared" si="55"/>
        <v>62747</v>
      </c>
      <c r="U106" s="6">
        <v>37430</v>
      </c>
      <c r="V106" s="6"/>
      <c r="W106" s="6"/>
      <c r="X106" s="6">
        <v>26317</v>
      </c>
      <c r="Y106" s="6">
        <f t="shared" si="56"/>
        <v>63747</v>
      </c>
      <c r="Z106" s="6">
        <f t="shared" si="54"/>
        <v>249348</v>
      </c>
      <c r="AA106" s="9">
        <f t="shared" si="41"/>
        <v>147085</v>
      </c>
    </row>
    <row r="107" spans="1:27" ht="30" x14ac:dyDescent="0.25">
      <c r="A107" s="276"/>
      <c r="B107" s="33" t="s">
        <v>266</v>
      </c>
      <c r="C107" s="58" t="s">
        <v>42</v>
      </c>
      <c r="D107" s="5"/>
      <c r="E107" s="5"/>
      <c r="F107" s="7">
        <v>380</v>
      </c>
      <c r="G107" s="7"/>
      <c r="H107" s="7"/>
      <c r="I107" s="7">
        <v>7317</v>
      </c>
      <c r="J107" s="7">
        <f t="shared" si="40"/>
        <v>7697</v>
      </c>
      <c r="K107" s="7">
        <v>5280</v>
      </c>
      <c r="L107" s="7"/>
      <c r="M107" s="7"/>
      <c r="N107" s="7"/>
      <c r="O107" s="7">
        <f t="shared" si="51"/>
        <v>5280</v>
      </c>
      <c r="P107" s="7"/>
      <c r="Q107" s="7"/>
      <c r="R107" s="7"/>
      <c r="S107" s="7">
        <v>5280</v>
      </c>
      <c r="T107" s="7">
        <f t="shared" si="55"/>
        <v>5280</v>
      </c>
      <c r="U107" s="6"/>
      <c r="V107" s="6"/>
      <c r="W107" s="6"/>
      <c r="X107" s="6">
        <v>5280</v>
      </c>
      <c r="Y107" s="6">
        <f t="shared" si="56"/>
        <v>5280</v>
      </c>
      <c r="Z107" s="6">
        <f t="shared" si="54"/>
        <v>23537</v>
      </c>
      <c r="AA107" s="9">
        <f t="shared" si="41"/>
        <v>5660</v>
      </c>
    </row>
    <row r="108" spans="1:27" ht="30" x14ac:dyDescent="0.25">
      <c r="A108" s="276"/>
      <c r="B108" s="33" t="s">
        <v>267</v>
      </c>
      <c r="C108" s="55"/>
      <c r="D108" s="14"/>
      <c r="E108" s="14"/>
      <c r="F108" s="7">
        <v>125</v>
      </c>
      <c r="G108" s="7"/>
      <c r="H108" s="7"/>
      <c r="I108" s="7"/>
      <c r="J108" s="7">
        <f t="shared" si="40"/>
        <v>125</v>
      </c>
      <c r="K108" s="7">
        <v>125</v>
      </c>
      <c r="L108" s="7"/>
      <c r="M108" s="7"/>
      <c r="N108" s="7"/>
      <c r="O108" s="7">
        <f t="shared" si="51"/>
        <v>125</v>
      </c>
      <c r="P108" s="7">
        <v>125</v>
      </c>
      <c r="Q108" s="7"/>
      <c r="R108" s="7"/>
      <c r="S108" s="7"/>
      <c r="T108" s="7">
        <f t="shared" si="55"/>
        <v>125</v>
      </c>
      <c r="U108" s="6">
        <v>125</v>
      </c>
      <c r="V108" s="6"/>
      <c r="W108" s="6"/>
      <c r="X108" s="6"/>
      <c r="Y108" s="6">
        <f t="shared" si="56"/>
        <v>125</v>
      </c>
      <c r="Z108" s="6">
        <f t="shared" si="54"/>
        <v>500</v>
      </c>
      <c r="AA108" s="9">
        <f t="shared" si="41"/>
        <v>500</v>
      </c>
    </row>
    <row r="109" spans="1:27" ht="30" x14ac:dyDescent="0.25">
      <c r="A109" s="276"/>
      <c r="B109" s="33" t="s">
        <v>268</v>
      </c>
      <c r="C109" s="57" t="s">
        <v>133</v>
      </c>
      <c r="D109" s="5"/>
      <c r="E109" s="5"/>
      <c r="F109" s="7">
        <v>2000</v>
      </c>
      <c r="G109" s="7"/>
      <c r="H109" s="7"/>
      <c r="I109" s="7"/>
      <c r="J109" s="7">
        <f t="shared" si="40"/>
        <v>2000</v>
      </c>
      <c r="K109" s="7">
        <v>2000</v>
      </c>
      <c r="L109" s="7"/>
      <c r="M109" s="7"/>
      <c r="N109" s="7"/>
      <c r="O109" s="7">
        <f t="shared" si="51"/>
        <v>2000</v>
      </c>
      <c r="P109" s="7">
        <v>2000</v>
      </c>
      <c r="Q109" s="7"/>
      <c r="R109" s="7"/>
      <c r="S109" s="7"/>
      <c r="T109" s="7">
        <f t="shared" si="55"/>
        <v>2000</v>
      </c>
      <c r="U109" s="6">
        <v>2000</v>
      </c>
      <c r="V109" s="6"/>
      <c r="W109" s="6"/>
      <c r="X109" s="6"/>
      <c r="Y109" s="6">
        <f t="shared" si="56"/>
        <v>2000</v>
      </c>
      <c r="Z109" s="6">
        <f t="shared" si="54"/>
        <v>8000</v>
      </c>
      <c r="AA109" s="9">
        <f t="shared" si="41"/>
        <v>8000</v>
      </c>
    </row>
    <row r="110" spans="1:27" ht="39.75" customHeight="1" x14ac:dyDescent="0.25">
      <c r="A110" s="275" t="s">
        <v>224</v>
      </c>
      <c r="B110" s="21"/>
      <c r="C110" s="56"/>
      <c r="D110" s="2"/>
      <c r="E110" s="2"/>
      <c r="F110" s="3">
        <f>SUM(F111:F113)</f>
        <v>137030</v>
      </c>
      <c r="G110" s="3">
        <f>SUM(G111:G113)</f>
        <v>0</v>
      </c>
      <c r="H110" s="3">
        <f>SUM(H111:H113)</f>
        <v>0</v>
      </c>
      <c r="I110" s="3">
        <f>SUM(I111:I113)</f>
        <v>7095</v>
      </c>
      <c r="J110" s="3">
        <f t="shared" si="40"/>
        <v>144125</v>
      </c>
      <c r="K110" s="3">
        <f>SUM(K111:K113)</f>
        <v>143570</v>
      </c>
      <c r="L110" s="3">
        <f t="shared" ref="L110:M110" si="86">SUM(L111:L113)</f>
        <v>0</v>
      </c>
      <c r="M110" s="3">
        <f t="shared" si="86"/>
        <v>0</v>
      </c>
      <c r="N110" s="3">
        <f>SUM(N111:N113)</f>
        <v>6390</v>
      </c>
      <c r="O110" s="3">
        <f t="shared" si="51"/>
        <v>149960</v>
      </c>
      <c r="P110" s="3">
        <f>SUM(P111:P113)</f>
        <v>140170</v>
      </c>
      <c r="Q110" s="3">
        <f>SUM(Q111:Q113)</f>
        <v>0</v>
      </c>
      <c r="R110" s="3">
        <f>SUM(R111:R113)</f>
        <v>0</v>
      </c>
      <c r="S110" s="3">
        <f>SUM(S111:S113)</f>
        <v>4890</v>
      </c>
      <c r="T110" s="3">
        <f t="shared" si="55"/>
        <v>145060</v>
      </c>
      <c r="U110" s="3">
        <f>SUM(U111:U113)</f>
        <v>139070</v>
      </c>
      <c r="V110" s="3">
        <f>SUM(V111:V113)</f>
        <v>0</v>
      </c>
      <c r="W110" s="3">
        <f>SUM(W111:W113)</f>
        <v>0</v>
      </c>
      <c r="X110" s="3">
        <f>SUM(X111:X113)</f>
        <v>6390</v>
      </c>
      <c r="Y110" s="3">
        <f>SUM(U110:X110)</f>
        <v>145460</v>
      </c>
      <c r="Z110" s="3">
        <f t="shared" si="54"/>
        <v>584605</v>
      </c>
      <c r="AA110" s="4">
        <f t="shared" si="41"/>
        <v>559840</v>
      </c>
    </row>
    <row r="111" spans="1:27" x14ac:dyDescent="0.25">
      <c r="A111" s="275"/>
      <c r="B111" s="50" t="s">
        <v>136</v>
      </c>
      <c r="C111" s="57" t="s">
        <v>34</v>
      </c>
      <c r="D111" s="5"/>
      <c r="E111" s="5"/>
      <c r="F111" s="7">
        <v>11810</v>
      </c>
      <c r="G111" s="7"/>
      <c r="H111" s="7"/>
      <c r="I111" s="7">
        <v>5000</v>
      </c>
      <c r="J111" s="7">
        <f t="shared" ref="J111:J169" si="87">SUM(F111:I111)</f>
        <v>16810</v>
      </c>
      <c r="K111" s="7">
        <v>12050</v>
      </c>
      <c r="L111" s="7"/>
      <c r="M111" s="7"/>
      <c r="N111" s="7">
        <v>5000</v>
      </c>
      <c r="O111" s="7">
        <f t="shared" si="51"/>
        <v>17050</v>
      </c>
      <c r="P111" s="7">
        <v>12100</v>
      </c>
      <c r="Q111" s="7"/>
      <c r="R111" s="7"/>
      <c r="S111" s="7">
        <v>3500</v>
      </c>
      <c r="T111" s="7">
        <f t="shared" si="55"/>
        <v>15600</v>
      </c>
      <c r="U111" s="6">
        <v>12100</v>
      </c>
      <c r="V111" s="6"/>
      <c r="W111" s="6"/>
      <c r="X111" s="6">
        <v>5000</v>
      </c>
      <c r="Y111" s="6">
        <f t="shared" si="56"/>
        <v>17100</v>
      </c>
      <c r="Z111" s="6">
        <f t="shared" si="54"/>
        <v>66560</v>
      </c>
      <c r="AA111" s="9">
        <f t="shared" si="41"/>
        <v>48060</v>
      </c>
    </row>
    <row r="112" spans="1:27" ht="45" x14ac:dyDescent="0.25">
      <c r="A112" s="275"/>
      <c r="B112" s="50" t="s">
        <v>134</v>
      </c>
      <c r="C112" s="57" t="s">
        <v>137</v>
      </c>
      <c r="D112" s="5"/>
      <c r="E112" s="5"/>
      <c r="F112" s="7">
        <v>123720</v>
      </c>
      <c r="G112" s="7"/>
      <c r="H112" s="7"/>
      <c r="I112" s="7">
        <v>2095</v>
      </c>
      <c r="J112" s="7">
        <f t="shared" si="87"/>
        <v>125815</v>
      </c>
      <c r="K112" s="7">
        <v>129970</v>
      </c>
      <c r="L112" s="7"/>
      <c r="M112" s="7"/>
      <c r="N112" s="7">
        <v>1390</v>
      </c>
      <c r="O112" s="7">
        <f>SUM(K112:N112)</f>
        <v>131360</v>
      </c>
      <c r="P112" s="7">
        <v>126520</v>
      </c>
      <c r="Q112" s="7"/>
      <c r="R112" s="7"/>
      <c r="S112" s="7">
        <v>1390</v>
      </c>
      <c r="T112" s="7">
        <f t="shared" si="55"/>
        <v>127910</v>
      </c>
      <c r="U112" s="6">
        <v>125420</v>
      </c>
      <c r="V112" s="6"/>
      <c r="W112" s="6"/>
      <c r="X112" s="6">
        <v>1390</v>
      </c>
      <c r="Y112" s="6">
        <v>1390</v>
      </c>
      <c r="Z112" s="6">
        <f t="shared" si="54"/>
        <v>386475</v>
      </c>
      <c r="AA112" s="9">
        <f t="shared" si="41"/>
        <v>505630</v>
      </c>
    </row>
    <row r="113" spans="1:27" ht="15.75" customHeight="1" x14ac:dyDescent="0.25">
      <c r="A113" s="275"/>
      <c r="B113" s="50" t="s">
        <v>135</v>
      </c>
      <c r="C113" s="57" t="s">
        <v>138</v>
      </c>
      <c r="D113" s="5"/>
      <c r="E113" s="5"/>
      <c r="F113" s="7">
        <v>1500</v>
      </c>
      <c r="G113" s="7"/>
      <c r="H113" s="7"/>
      <c r="I113" s="7"/>
      <c r="J113" s="7">
        <f t="shared" si="87"/>
        <v>1500</v>
      </c>
      <c r="K113" s="7">
        <v>1550</v>
      </c>
      <c r="L113" s="7"/>
      <c r="M113" s="7"/>
      <c r="N113" s="7"/>
      <c r="O113" s="7">
        <f t="shared" si="51"/>
        <v>1550</v>
      </c>
      <c r="P113" s="7">
        <v>1550</v>
      </c>
      <c r="Q113" s="7"/>
      <c r="R113" s="7"/>
      <c r="S113" s="7"/>
      <c r="T113" s="7">
        <f t="shared" si="55"/>
        <v>1550</v>
      </c>
      <c r="U113" s="6">
        <v>1550</v>
      </c>
      <c r="V113" s="6"/>
      <c r="W113" s="6"/>
      <c r="X113" s="6"/>
      <c r="Y113" s="6">
        <f t="shared" si="56"/>
        <v>1550</v>
      </c>
      <c r="Z113" s="6">
        <f t="shared" si="54"/>
        <v>6150</v>
      </c>
      <c r="AA113" s="9">
        <f t="shared" si="41"/>
        <v>6150</v>
      </c>
    </row>
    <row r="114" spans="1:27" ht="27" customHeight="1" x14ac:dyDescent="0.25">
      <c r="A114" s="275" t="s">
        <v>225</v>
      </c>
      <c r="B114" s="21"/>
      <c r="C114" s="57"/>
      <c r="D114" s="5"/>
      <c r="E114" s="5"/>
      <c r="F114" s="3">
        <f>SUM(F115:F119)</f>
        <v>65440</v>
      </c>
      <c r="G114" s="3">
        <f t="shared" ref="G114:I114" si="88">SUM(G115:G119)</f>
        <v>0</v>
      </c>
      <c r="H114" s="3">
        <f t="shared" si="88"/>
        <v>0</v>
      </c>
      <c r="I114" s="3">
        <f t="shared" si="88"/>
        <v>150</v>
      </c>
      <c r="J114" s="3">
        <f t="shared" si="87"/>
        <v>65590</v>
      </c>
      <c r="K114" s="3">
        <f>SUM(K115:K119)</f>
        <v>67290</v>
      </c>
      <c r="L114" s="3">
        <f t="shared" ref="L114:N114" si="89">SUM(L115:L119)</f>
        <v>0</v>
      </c>
      <c r="M114" s="3">
        <f t="shared" si="89"/>
        <v>0</v>
      </c>
      <c r="N114" s="3">
        <f t="shared" si="89"/>
        <v>150</v>
      </c>
      <c r="O114" s="3">
        <f t="shared" si="51"/>
        <v>67440</v>
      </c>
      <c r="P114" s="3">
        <f>SUM(P115:P119)</f>
        <v>66440</v>
      </c>
      <c r="Q114" s="3">
        <f t="shared" ref="Q114:S114" si="90">SUM(Q115:Q119)</f>
        <v>0</v>
      </c>
      <c r="R114" s="3">
        <f t="shared" si="90"/>
        <v>0</v>
      </c>
      <c r="S114" s="3">
        <f t="shared" si="90"/>
        <v>150</v>
      </c>
      <c r="T114" s="3">
        <f t="shared" si="55"/>
        <v>66590</v>
      </c>
      <c r="U114" s="3">
        <f>SUM(U115:U119)</f>
        <v>30170</v>
      </c>
      <c r="V114" s="3">
        <f t="shared" ref="V114:X114" si="91">SUM(V115:V119)</f>
        <v>0</v>
      </c>
      <c r="W114" s="3">
        <f t="shared" si="91"/>
        <v>0</v>
      </c>
      <c r="X114" s="3">
        <f t="shared" si="91"/>
        <v>150</v>
      </c>
      <c r="Y114" s="3">
        <f>SUM(U114:X114)</f>
        <v>30320</v>
      </c>
      <c r="Z114" s="3">
        <f t="shared" si="54"/>
        <v>229940</v>
      </c>
      <c r="AA114" s="4">
        <f t="shared" si="41"/>
        <v>229340</v>
      </c>
    </row>
    <row r="115" spans="1:27" ht="33.75" x14ac:dyDescent="0.25">
      <c r="A115" s="275"/>
      <c r="B115" s="51" t="s">
        <v>139</v>
      </c>
      <c r="C115" s="58" t="s">
        <v>55</v>
      </c>
      <c r="D115" s="5"/>
      <c r="E115" s="5"/>
      <c r="F115" s="7">
        <f>32280-1180</f>
        <v>31100</v>
      </c>
      <c r="G115" s="7"/>
      <c r="H115" s="7"/>
      <c r="I115" s="7"/>
      <c r="J115" s="7">
        <f t="shared" si="87"/>
        <v>31100</v>
      </c>
      <c r="K115" s="7">
        <v>31100</v>
      </c>
      <c r="L115" s="7"/>
      <c r="M115" s="7"/>
      <c r="N115" s="7"/>
      <c r="O115" s="7">
        <f t="shared" si="51"/>
        <v>31100</v>
      </c>
      <c r="P115" s="7">
        <v>31100</v>
      </c>
      <c r="Q115" s="7"/>
      <c r="R115" s="7"/>
      <c r="S115" s="7"/>
      <c r="T115" s="7">
        <f t="shared" si="55"/>
        <v>31100</v>
      </c>
      <c r="U115" s="6"/>
      <c r="V115" s="6"/>
      <c r="W115" s="6"/>
      <c r="X115" s="6"/>
      <c r="Y115" s="6">
        <f t="shared" si="56"/>
        <v>0</v>
      </c>
      <c r="Z115" s="6">
        <f t="shared" si="54"/>
        <v>93300</v>
      </c>
      <c r="AA115" s="9">
        <f t="shared" ref="AA115:AA169" si="92">F115+K115+P115+U115</f>
        <v>93300</v>
      </c>
    </row>
    <row r="116" spans="1:27" x14ac:dyDescent="0.25">
      <c r="A116" s="275"/>
      <c r="B116" s="50" t="s">
        <v>142</v>
      </c>
      <c r="C116" s="58" t="s">
        <v>35</v>
      </c>
      <c r="D116" s="5"/>
      <c r="E116" s="5"/>
      <c r="F116" s="7">
        <v>5170</v>
      </c>
      <c r="G116" s="7"/>
      <c r="H116" s="7"/>
      <c r="I116" s="7"/>
      <c r="J116" s="7">
        <f t="shared" si="87"/>
        <v>5170</v>
      </c>
      <c r="K116" s="7">
        <v>5170</v>
      </c>
      <c r="L116" s="7"/>
      <c r="M116" s="7"/>
      <c r="N116" s="7"/>
      <c r="O116" s="7">
        <f t="shared" si="51"/>
        <v>5170</v>
      </c>
      <c r="P116" s="7">
        <v>5170</v>
      </c>
      <c r="Q116" s="7"/>
      <c r="R116" s="7"/>
      <c r="S116" s="7"/>
      <c r="T116" s="7">
        <f t="shared" si="55"/>
        <v>5170</v>
      </c>
      <c r="U116" s="6"/>
      <c r="V116" s="6"/>
      <c r="W116" s="6"/>
      <c r="X116" s="6"/>
      <c r="Y116" s="6">
        <f t="shared" si="56"/>
        <v>0</v>
      </c>
      <c r="Z116" s="6">
        <f t="shared" si="54"/>
        <v>15510</v>
      </c>
      <c r="AA116" s="9">
        <f t="shared" si="92"/>
        <v>15510</v>
      </c>
    </row>
    <row r="117" spans="1:27" x14ac:dyDescent="0.25">
      <c r="A117" s="275"/>
      <c r="B117" s="50" t="s">
        <v>140</v>
      </c>
      <c r="C117" s="58" t="s">
        <v>145</v>
      </c>
      <c r="D117" s="5"/>
      <c r="E117" s="5"/>
      <c r="F117" s="7">
        <v>400</v>
      </c>
      <c r="G117" s="7"/>
      <c r="H117" s="7"/>
      <c r="I117" s="7"/>
      <c r="J117" s="7">
        <f t="shared" si="87"/>
        <v>400</v>
      </c>
      <c r="K117" s="7">
        <v>400</v>
      </c>
      <c r="L117" s="7"/>
      <c r="M117" s="7"/>
      <c r="N117" s="7"/>
      <c r="O117" s="7">
        <f t="shared" si="51"/>
        <v>400</v>
      </c>
      <c r="P117" s="7">
        <v>400</v>
      </c>
      <c r="Q117" s="7"/>
      <c r="R117" s="7"/>
      <c r="S117" s="7"/>
      <c r="T117" s="7">
        <f t="shared" si="55"/>
        <v>400</v>
      </c>
      <c r="U117" s="6">
        <v>400</v>
      </c>
      <c r="V117" s="6"/>
      <c r="W117" s="6"/>
      <c r="X117" s="6"/>
      <c r="Y117" s="6">
        <f t="shared" si="56"/>
        <v>400</v>
      </c>
      <c r="Z117" s="6">
        <f t="shared" si="54"/>
        <v>1600</v>
      </c>
      <c r="AA117" s="9">
        <f t="shared" si="92"/>
        <v>1600</v>
      </c>
    </row>
    <row r="118" spans="1:27" x14ac:dyDescent="0.25">
      <c r="A118" s="275"/>
      <c r="B118" s="50" t="s">
        <v>141</v>
      </c>
      <c r="C118" s="58" t="s">
        <v>144</v>
      </c>
      <c r="D118" s="5"/>
      <c r="E118" s="5"/>
      <c r="F118" s="7">
        <v>25570</v>
      </c>
      <c r="G118" s="7"/>
      <c r="H118" s="7"/>
      <c r="I118" s="7"/>
      <c r="J118" s="7">
        <f t="shared" si="87"/>
        <v>25570</v>
      </c>
      <c r="K118" s="7">
        <v>25570</v>
      </c>
      <c r="L118" s="7"/>
      <c r="M118" s="7"/>
      <c r="N118" s="7"/>
      <c r="O118" s="7">
        <f t="shared" si="51"/>
        <v>25570</v>
      </c>
      <c r="P118" s="7">
        <v>25570</v>
      </c>
      <c r="Q118" s="7"/>
      <c r="R118" s="7"/>
      <c r="S118" s="7"/>
      <c r="T118" s="7">
        <f t="shared" si="55"/>
        <v>25570</v>
      </c>
      <c r="U118" s="6">
        <v>25570</v>
      </c>
      <c r="V118" s="6"/>
      <c r="W118" s="6"/>
      <c r="X118" s="6"/>
      <c r="Y118" s="6"/>
      <c r="Z118" s="6"/>
      <c r="AA118" s="9">
        <f t="shared" si="92"/>
        <v>102280</v>
      </c>
    </row>
    <row r="119" spans="1:27" ht="22.5" x14ac:dyDescent="0.25">
      <c r="A119" s="275"/>
      <c r="B119" s="50" t="s">
        <v>143</v>
      </c>
      <c r="C119" s="57" t="s">
        <v>211</v>
      </c>
      <c r="D119" s="5"/>
      <c r="E119" s="5"/>
      <c r="F119" s="7">
        <v>3200</v>
      </c>
      <c r="G119" s="7"/>
      <c r="H119" s="7"/>
      <c r="I119" s="7">
        <v>150</v>
      </c>
      <c r="J119" s="7">
        <f t="shared" si="87"/>
        <v>3350</v>
      </c>
      <c r="K119" s="7">
        <f>1150+3900</f>
        <v>5050</v>
      </c>
      <c r="L119" s="7"/>
      <c r="M119" s="7"/>
      <c r="N119" s="7">
        <v>150</v>
      </c>
      <c r="O119" s="7">
        <f t="shared" si="51"/>
        <v>5200</v>
      </c>
      <c r="P119" s="7">
        <f>1150+3050</f>
        <v>4200</v>
      </c>
      <c r="Q119" s="7"/>
      <c r="R119" s="7"/>
      <c r="S119" s="7">
        <v>150</v>
      </c>
      <c r="T119" s="7">
        <f t="shared" si="55"/>
        <v>4350</v>
      </c>
      <c r="U119" s="6">
        <f>1150+3050</f>
        <v>4200</v>
      </c>
      <c r="V119" s="6"/>
      <c r="W119" s="6"/>
      <c r="X119" s="6">
        <v>150</v>
      </c>
      <c r="Y119" s="6">
        <f t="shared" si="56"/>
        <v>4350</v>
      </c>
      <c r="Z119" s="6">
        <f t="shared" si="54"/>
        <v>17250</v>
      </c>
      <c r="AA119" s="9">
        <f t="shared" si="92"/>
        <v>16650</v>
      </c>
    </row>
    <row r="120" spans="1:27" ht="16.5" customHeight="1" x14ac:dyDescent="0.25">
      <c r="A120" s="276" t="s">
        <v>240</v>
      </c>
      <c r="B120" s="21"/>
      <c r="C120" s="56"/>
      <c r="D120" s="2"/>
      <c r="E120" s="2"/>
      <c r="F120" s="3">
        <f>SUM(F121:F125)</f>
        <v>3165</v>
      </c>
      <c r="G120" s="3">
        <f>SUM(G121:G125)</f>
        <v>0</v>
      </c>
      <c r="H120" s="3">
        <f>SUM(H121:H125)</f>
        <v>0</v>
      </c>
      <c r="I120" s="3">
        <f>SUM(I121:I125)</f>
        <v>0</v>
      </c>
      <c r="J120" s="3">
        <f t="shared" si="87"/>
        <v>3165</v>
      </c>
      <c r="K120" s="3">
        <f>SUM(K121:K125)</f>
        <v>3165</v>
      </c>
      <c r="L120" s="3">
        <f>SUM(L121:L125)</f>
        <v>0</v>
      </c>
      <c r="M120" s="3">
        <f>SUM(M121:M125)</f>
        <v>0</v>
      </c>
      <c r="N120" s="3">
        <f>SUM(N121:N125)</f>
        <v>0</v>
      </c>
      <c r="O120" s="3">
        <f t="shared" si="51"/>
        <v>3165</v>
      </c>
      <c r="P120" s="3">
        <f>SUM(P121:P125)</f>
        <v>3165</v>
      </c>
      <c r="Q120" s="3">
        <f>SUM(Q121:Q125)</f>
        <v>0</v>
      </c>
      <c r="R120" s="3">
        <f>SUM(R121:R125)</f>
        <v>0</v>
      </c>
      <c r="S120" s="3">
        <f>SUM(S121:S125)</f>
        <v>0</v>
      </c>
      <c r="T120" s="3">
        <f t="shared" si="55"/>
        <v>3165</v>
      </c>
      <c r="U120" s="3">
        <f>SUM(U121:U125)</f>
        <v>0</v>
      </c>
      <c r="V120" s="3">
        <f>SUM(V121:V125)</f>
        <v>0</v>
      </c>
      <c r="W120" s="3">
        <f>SUM(W121:W125)</f>
        <v>0</v>
      </c>
      <c r="X120" s="3">
        <f>SUM(X121:X125)</f>
        <v>0</v>
      </c>
      <c r="Y120" s="3">
        <f t="shared" si="56"/>
        <v>0</v>
      </c>
      <c r="Z120" s="3">
        <f t="shared" si="54"/>
        <v>9495</v>
      </c>
      <c r="AA120" s="4">
        <f t="shared" si="92"/>
        <v>9495</v>
      </c>
    </row>
    <row r="121" spans="1:27" ht="30" x14ac:dyDescent="0.25">
      <c r="A121" s="276"/>
      <c r="B121" s="50" t="s">
        <v>146</v>
      </c>
      <c r="C121" s="58" t="s">
        <v>36</v>
      </c>
      <c r="D121" s="5"/>
      <c r="E121" s="5"/>
      <c r="F121" s="7">
        <v>375</v>
      </c>
      <c r="G121" s="7"/>
      <c r="H121" s="7"/>
      <c r="I121" s="7"/>
      <c r="J121" s="7">
        <f t="shared" si="87"/>
        <v>375</v>
      </c>
      <c r="K121" s="7">
        <v>375</v>
      </c>
      <c r="L121" s="7"/>
      <c r="M121" s="7"/>
      <c r="N121" s="7"/>
      <c r="O121" s="7">
        <f t="shared" ref="O121:O181" si="93">SUM(K121:N121)</f>
        <v>375</v>
      </c>
      <c r="P121" s="7">
        <v>375</v>
      </c>
      <c r="Q121" s="7"/>
      <c r="R121" s="7"/>
      <c r="S121" s="7"/>
      <c r="T121" s="7">
        <f t="shared" si="55"/>
        <v>375</v>
      </c>
      <c r="U121" s="6"/>
      <c r="V121" s="6"/>
      <c r="W121" s="6"/>
      <c r="X121" s="6"/>
      <c r="Y121" s="6">
        <f t="shared" si="56"/>
        <v>0</v>
      </c>
      <c r="Z121" s="6">
        <f t="shared" ref="Z121:Z182" si="94">J121+O121+T121+Y121</f>
        <v>1125</v>
      </c>
      <c r="AA121" s="9">
        <f t="shared" si="92"/>
        <v>1125</v>
      </c>
    </row>
    <row r="122" spans="1:27" x14ac:dyDescent="0.25">
      <c r="A122" s="276"/>
      <c r="B122" s="50" t="s">
        <v>147</v>
      </c>
      <c r="C122" s="58" t="s">
        <v>37</v>
      </c>
      <c r="D122" s="5"/>
      <c r="E122" s="5"/>
      <c r="F122" s="7">
        <v>700</v>
      </c>
      <c r="G122" s="7"/>
      <c r="H122" s="7"/>
      <c r="I122" s="7"/>
      <c r="J122" s="7">
        <f t="shared" si="87"/>
        <v>700</v>
      </c>
      <c r="K122" s="7">
        <v>700</v>
      </c>
      <c r="L122" s="7"/>
      <c r="M122" s="7"/>
      <c r="N122" s="7"/>
      <c r="O122" s="7">
        <f t="shared" si="93"/>
        <v>700</v>
      </c>
      <c r="P122" s="7">
        <v>700</v>
      </c>
      <c r="Q122" s="7"/>
      <c r="R122" s="7"/>
      <c r="S122" s="7"/>
      <c r="T122" s="7">
        <f t="shared" si="55"/>
        <v>700</v>
      </c>
      <c r="U122" s="6"/>
      <c r="V122" s="6"/>
      <c r="W122" s="6"/>
      <c r="X122" s="6"/>
      <c r="Y122" s="6">
        <f t="shared" si="56"/>
        <v>0</v>
      </c>
      <c r="Z122" s="6">
        <f t="shared" si="94"/>
        <v>2100</v>
      </c>
      <c r="AA122" s="9">
        <f t="shared" si="92"/>
        <v>2100</v>
      </c>
    </row>
    <row r="123" spans="1:27" x14ac:dyDescent="0.25">
      <c r="A123" s="276"/>
      <c r="B123" s="51"/>
      <c r="C123" s="58"/>
      <c r="D123" s="5"/>
      <c r="E123" s="5"/>
      <c r="F123" s="7"/>
      <c r="G123" s="7"/>
      <c r="H123" s="7"/>
      <c r="I123" s="7"/>
      <c r="J123" s="7">
        <f t="shared" si="87"/>
        <v>0</v>
      </c>
      <c r="K123" s="7"/>
      <c r="L123" s="7"/>
      <c r="M123" s="7"/>
      <c r="N123" s="7"/>
      <c r="O123" s="7">
        <f t="shared" si="93"/>
        <v>0</v>
      </c>
      <c r="P123" s="7"/>
      <c r="Q123" s="7"/>
      <c r="R123" s="7"/>
      <c r="S123" s="7"/>
      <c r="T123" s="7">
        <f t="shared" si="55"/>
        <v>0</v>
      </c>
      <c r="U123" s="6"/>
      <c r="V123" s="6"/>
      <c r="W123" s="6"/>
      <c r="X123" s="6"/>
      <c r="Y123" s="6">
        <f t="shared" si="56"/>
        <v>0</v>
      </c>
      <c r="Z123" s="6">
        <f t="shared" si="94"/>
        <v>0</v>
      </c>
      <c r="AA123" s="9">
        <f t="shared" si="92"/>
        <v>0</v>
      </c>
    </row>
    <row r="124" spans="1:27" ht="30" x14ac:dyDescent="0.25">
      <c r="A124" s="276"/>
      <c r="B124" s="50" t="s">
        <v>148</v>
      </c>
      <c r="C124" s="58" t="s">
        <v>38</v>
      </c>
      <c r="D124" s="5"/>
      <c r="E124" s="5"/>
      <c r="F124" s="7">
        <v>2090</v>
      </c>
      <c r="G124" s="7"/>
      <c r="H124" s="7"/>
      <c r="I124" s="7"/>
      <c r="J124" s="7">
        <f t="shared" si="87"/>
        <v>2090</v>
      </c>
      <c r="K124" s="7">
        <v>2090</v>
      </c>
      <c r="L124" s="7"/>
      <c r="M124" s="7"/>
      <c r="N124" s="7"/>
      <c r="O124" s="7">
        <f t="shared" si="93"/>
        <v>2090</v>
      </c>
      <c r="P124" s="7">
        <v>2090</v>
      </c>
      <c r="Q124" s="7"/>
      <c r="R124" s="7"/>
      <c r="S124" s="7"/>
      <c r="T124" s="7">
        <f t="shared" si="55"/>
        <v>2090</v>
      </c>
      <c r="U124" s="6"/>
      <c r="V124" s="6"/>
      <c r="W124" s="6"/>
      <c r="X124" s="6"/>
      <c r="Y124" s="6">
        <f t="shared" si="56"/>
        <v>0</v>
      </c>
      <c r="Z124" s="6">
        <f t="shared" si="94"/>
        <v>6270</v>
      </c>
      <c r="AA124" s="9">
        <f t="shared" si="92"/>
        <v>6270</v>
      </c>
    </row>
    <row r="125" spans="1:27" x14ac:dyDescent="0.25">
      <c r="A125" s="276"/>
      <c r="B125" s="51"/>
      <c r="C125" s="59"/>
      <c r="D125" s="14"/>
      <c r="E125" s="14"/>
      <c r="F125" s="7"/>
      <c r="G125" s="7"/>
      <c r="H125" s="7"/>
      <c r="I125" s="7"/>
      <c r="J125" s="7">
        <f t="shared" si="87"/>
        <v>0</v>
      </c>
      <c r="K125" s="7"/>
      <c r="L125" s="7"/>
      <c r="M125" s="7"/>
      <c r="N125" s="7"/>
      <c r="O125" s="7">
        <f t="shared" si="93"/>
        <v>0</v>
      </c>
      <c r="P125" s="7"/>
      <c r="Q125" s="7"/>
      <c r="R125" s="7"/>
      <c r="S125" s="7"/>
      <c r="T125" s="7">
        <f t="shared" ref="T125:T184" si="95">SUM(P125:S125)</f>
        <v>0</v>
      </c>
      <c r="U125" s="6"/>
      <c r="V125" s="6"/>
      <c r="W125" s="6"/>
      <c r="X125" s="6"/>
      <c r="Y125" s="6">
        <f t="shared" ref="Y125:Y184" si="96">U125+V125+W125+X125</f>
        <v>0</v>
      </c>
      <c r="Z125" s="6">
        <f t="shared" si="94"/>
        <v>0</v>
      </c>
      <c r="AA125" s="9">
        <f t="shared" si="92"/>
        <v>0</v>
      </c>
    </row>
    <row r="126" spans="1:27" ht="39.75" customHeight="1" x14ac:dyDescent="0.25">
      <c r="A126" s="275" t="s">
        <v>195</v>
      </c>
      <c r="B126" s="21"/>
      <c r="C126" s="56"/>
      <c r="D126" s="2"/>
      <c r="E126" s="2"/>
      <c r="F126" s="3">
        <f>SUM(F127:F132)</f>
        <v>89830</v>
      </c>
      <c r="G126" s="3">
        <f t="shared" ref="G126:I126" si="97">SUM(G127:G132)</f>
        <v>0</v>
      </c>
      <c r="H126" s="3">
        <f t="shared" si="97"/>
        <v>0</v>
      </c>
      <c r="I126" s="3">
        <f t="shared" si="97"/>
        <v>512</v>
      </c>
      <c r="J126" s="3">
        <f t="shared" si="87"/>
        <v>90342</v>
      </c>
      <c r="K126" s="3">
        <f>SUM(K127:K132)</f>
        <v>90030</v>
      </c>
      <c r="L126" s="3">
        <f t="shared" ref="L126:N126" si="98">SUM(L127:L132)</f>
        <v>0</v>
      </c>
      <c r="M126" s="3">
        <f t="shared" si="98"/>
        <v>0</v>
      </c>
      <c r="N126" s="3">
        <f t="shared" si="98"/>
        <v>450</v>
      </c>
      <c r="O126" s="3">
        <f t="shared" si="93"/>
        <v>90480</v>
      </c>
      <c r="P126" s="3">
        <f>SUM(P127:P132)</f>
        <v>90130</v>
      </c>
      <c r="Q126" s="3">
        <f t="shared" ref="Q126:S126" si="99">SUM(Q127:Q132)</f>
        <v>0</v>
      </c>
      <c r="R126" s="3">
        <f t="shared" si="99"/>
        <v>0</v>
      </c>
      <c r="S126" s="3">
        <f t="shared" si="99"/>
        <v>450</v>
      </c>
      <c r="T126" s="3">
        <f t="shared" si="95"/>
        <v>90580</v>
      </c>
      <c r="U126" s="3">
        <f>SUM(U127:U132)</f>
        <v>90130</v>
      </c>
      <c r="V126" s="3">
        <f t="shared" ref="V126:X126" si="100">SUM(V127:V132)</f>
        <v>0</v>
      </c>
      <c r="W126" s="3">
        <f t="shared" si="100"/>
        <v>0</v>
      </c>
      <c r="X126" s="3">
        <f t="shared" si="100"/>
        <v>450</v>
      </c>
      <c r="Y126" s="3">
        <f t="shared" si="96"/>
        <v>90580</v>
      </c>
      <c r="Z126" s="3">
        <f t="shared" si="94"/>
        <v>361982</v>
      </c>
      <c r="AA126" s="4">
        <f t="shared" si="92"/>
        <v>360120</v>
      </c>
    </row>
    <row r="127" spans="1:27" ht="30" x14ac:dyDescent="0.25">
      <c r="A127" s="275"/>
      <c r="B127" s="50" t="s">
        <v>149</v>
      </c>
      <c r="C127" s="59"/>
      <c r="D127" s="14"/>
      <c r="E127" s="14"/>
      <c r="F127" s="7"/>
      <c r="G127" s="7"/>
      <c r="H127" s="7"/>
      <c r="I127" s="7"/>
      <c r="J127" s="7"/>
      <c r="K127" s="7"/>
      <c r="L127" s="7"/>
      <c r="M127" s="7"/>
      <c r="N127" s="7"/>
      <c r="O127" s="7"/>
      <c r="P127" s="7"/>
      <c r="Q127" s="7"/>
      <c r="R127" s="7"/>
      <c r="S127" s="7"/>
      <c r="T127" s="7"/>
      <c r="U127" s="6"/>
      <c r="V127" s="6"/>
      <c r="W127" s="6"/>
      <c r="X127" s="6"/>
      <c r="Y127" s="6"/>
      <c r="Z127" s="6"/>
      <c r="AA127" s="9"/>
    </row>
    <row r="128" spans="1:27" x14ac:dyDescent="0.25">
      <c r="A128" s="275"/>
      <c r="B128" s="50" t="s">
        <v>150</v>
      </c>
      <c r="C128" s="59"/>
      <c r="D128" s="14"/>
      <c r="E128" s="14"/>
      <c r="F128" s="7"/>
      <c r="G128" s="7"/>
      <c r="H128" s="7"/>
      <c r="I128" s="7"/>
      <c r="J128" s="7"/>
      <c r="K128" s="7"/>
      <c r="L128" s="7"/>
      <c r="M128" s="7"/>
      <c r="N128" s="7"/>
      <c r="O128" s="7"/>
      <c r="P128" s="7"/>
      <c r="Q128" s="7"/>
      <c r="R128" s="7"/>
      <c r="S128" s="7"/>
      <c r="T128" s="7"/>
      <c r="U128" s="6"/>
      <c r="V128" s="6"/>
      <c r="W128" s="6"/>
      <c r="X128" s="6"/>
      <c r="Y128" s="6"/>
      <c r="Z128" s="6"/>
      <c r="AA128" s="9"/>
    </row>
    <row r="129" spans="1:27" ht="15.75" customHeight="1" x14ac:dyDescent="0.25">
      <c r="A129" s="275"/>
      <c r="B129" s="50" t="s">
        <v>151</v>
      </c>
      <c r="C129" s="58"/>
      <c r="D129" s="5"/>
      <c r="E129" s="5"/>
      <c r="F129" s="7"/>
      <c r="G129" s="7"/>
      <c r="H129" s="7"/>
      <c r="I129" s="7"/>
      <c r="J129" s="7"/>
      <c r="K129" s="7"/>
      <c r="L129" s="7"/>
      <c r="M129" s="7"/>
      <c r="N129" s="7"/>
      <c r="O129" s="7"/>
      <c r="P129" s="7"/>
      <c r="Q129" s="7"/>
      <c r="R129" s="7"/>
      <c r="S129" s="7"/>
      <c r="T129" s="7">
        <f>38+2559+18500+304+196+1949+288+200+1840+94+100+110</f>
        <v>26178</v>
      </c>
      <c r="U129" s="6"/>
      <c r="V129" s="6"/>
      <c r="W129" s="6"/>
      <c r="X129" s="6"/>
      <c r="Y129" s="6"/>
      <c r="Z129" s="6"/>
      <c r="AA129" s="9"/>
    </row>
    <row r="130" spans="1:27" ht="15.75" customHeight="1" x14ac:dyDescent="0.25">
      <c r="A130" s="275"/>
      <c r="B130" s="50" t="s">
        <v>152</v>
      </c>
      <c r="C130" s="58"/>
      <c r="D130" s="5"/>
      <c r="E130" s="5"/>
      <c r="F130" s="7"/>
      <c r="G130" s="7"/>
      <c r="H130" s="7"/>
      <c r="I130" s="7"/>
      <c r="J130" s="7"/>
      <c r="K130" s="7"/>
      <c r="L130" s="7"/>
      <c r="M130" s="7"/>
      <c r="N130" s="7"/>
      <c r="O130" s="7"/>
      <c r="P130" s="7"/>
      <c r="Q130" s="7"/>
      <c r="R130" s="7"/>
      <c r="S130" s="7"/>
      <c r="T130" s="7"/>
      <c r="U130" s="6"/>
      <c r="V130" s="6"/>
      <c r="W130" s="6"/>
      <c r="X130" s="6"/>
      <c r="Y130" s="6"/>
      <c r="Z130" s="6"/>
      <c r="AA130" s="9"/>
    </row>
    <row r="131" spans="1:27" ht="30" x14ac:dyDescent="0.25">
      <c r="A131" s="275"/>
      <c r="B131" s="50" t="s">
        <v>153</v>
      </c>
      <c r="C131" s="58" t="s">
        <v>39</v>
      </c>
      <c r="D131" s="5"/>
      <c r="E131" s="5"/>
      <c r="F131" s="7">
        <f>82645+685</f>
        <v>83330</v>
      </c>
      <c r="G131" s="7"/>
      <c r="H131" s="7"/>
      <c r="I131" s="7"/>
      <c r="J131" s="7">
        <f t="shared" si="87"/>
        <v>83330</v>
      </c>
      <c r="K131" s="7">
        <v>83330</v>
      </c>
      <c r="L131" s="7"/>
      <c r="M131" s="7"/>
      <c r="N131" s="7"/>
      <c r="O131" s="7">
        <f t="shared" si="93"/>
        <v>83330</v>
      </c>
      <c r="P131" s="7">
        <v>83330</v>
      </c>
      <c r="Q131" s="7"/>
      <c r="R131" s="7"/>
      <c r="S131" s="7"/>
      <c r="T131" s="7">
        <f t="shared" si="95"/>
        <v>83330</v>
      </c>
      <c r="U131" s="6">
        <v>83330</v>
      </c>
      <c r="V131" s="6"/>
      <c r="W131" s="6"/>
      <c r="X131" s="6"/>
      <c r="Y131" s="6">
        <f t="shared" si="96"/>
        <v>83330</v>
      </c>
      <c r="Z131" s="6">
        <f t="shared" si="94"/>
        <v>333320</v>
      </c>
      <c r="AA131" s="9">
        <f t="shared" si="92"/>
        <v>333320</v>
      </c>
    </row>
    <row r="132" spans="1:27" ht="45" x14ac:dyDescent="0.25">
      <c r="A132" s="275"/>
      <c r="B132" s="50" t="s">
        <v>154</v>
      </c>
      <c r="C132" s="58" t="s">
        <v>40</v>
      </c>
      <c r="D132" s="5"/>
      <c r="E132" s="5"/>
      <c r="F132" s="7">
        <v>6500</v>
      </c>
      <c r="G132" s="7"/>
      <c r="H132" s="7"/>
      <c r="I132" s="7">
        <v>512</v>
      </c>
      <c r="J132" s="7">
        <f t="shared" si="87"/>
        <v>7012</v>
      </c>
      <c r="K132" s="7">
        <v>6700</v>
      </c>
      <c r="L132" s="7"/>
      <c r="M132" s="7"/>
      <c r="N132" s="7">
        <v>450</v>
      </c>
      <c r="O132" s="7">
        <f>SUM(K132:N132)</f>
        <v>7150</v>
      </c>
      <c r="P132" s="7">
        <v>6800</v>
      </c>
      <c r="Q132" s="7"/>
      <c r="R132" s="7"/>
      <c r="S132" s="7">
        <v>450</v>
      </c>
      <c r="T132" s="7">
        <f t="shared" si="95"/>
        <v>7250</v>
      </c>
      <c r="U132" s="6">
        <v>6800</v>
      </c>
      <c r="V132" s="6"/>
      <c r="W132" s="6"/>
      <c r="X132" s="6">
        <v>450</v>
      </c>
      <c r="Y132" s="6">
        <f t="shared" si="96"/>
        <v>7250</v>
      </c>
      <c r="Z132" s="6">
        <f t="shared" si="94"/>
        <v>28662</v>
      </c>
      <c r="AA132" s="9">
        <f t="shared" si="92"/>
        <v>26800</v>
      </c>
    </row>
    <row r="133" spans="1:27" ht="27" customHeight="1" x14ac:dyDescent="0.25">
      <c r="A133" s="275" t="s">
        <v>196</v>
      </c>
      <c r="B133" s="21"/>
      <c r="C133" s="56"/>
      <c r="D133" s="2"/>
      <c r="E133" s="2"/>
      <c r="F133" s="3">
        <f>SUM(F134:F139)</f>
        <v>714755</v>
      </c>
      <c r="G133" s="3">
        <f>SUM(G134:G139)</f>
        <v>0</v>
      </c>
      <c r="H133" s="3">
        <f>SUM(H134:H139)</f>
        <v>0</v>
      </c>
      <c r="I133" s="3">
        <f>SUM(I134:I139)</f>
        <v>0</v>
      </c>
      <c r="J133" s="3">
        <f t="shared" si="87"/>
        <v>714755</v>
      </c>
      <c r="K133" s="3">
        <f>SUM(K134:K139)</f>
        <v>757620</v>
      </c>
      <c r="L133" s="3">
        <f>SUM(L134:L139)</f>
        <v>0</v>
      </c>
      <c r="M133" s="3">
        <f>SUM(M134:M139)</f>
        <v>0</v>
      </c>
      <c r="N133" s="3">
        <f>SUM(N134:N139)</f>
        <v>0</v>
      </c>
      <c r="O133" s="3">
        <f t="shared" si="93"/>
        <v>757620</v>
      </c>
      <c r="P133" s="3">
        <f>SUM(P134:P139)</f>
        <v>768020</v>
      </c>
      <c r="Q133" s="3">
        <f>SUM(Q134:Q139)</f>
        <v>0</v>
      </c>
      <c r="R133" s="3">
        <f>SUM(R134:R139)</f>
        <v>0</v>
      </c>
      <c r="S133" s="3">
        <f>SUM(S134:S139)</f>
        <v>0</v>
      </c>
      <c r="T133" s="3">
        <f t="shared" si="95"/>
        <v>768020</v>
      </c>
      <c r="U133" s="3">
        <f t="shared" ref="U133:W133" si="101">SUM(U134:U139)</f>
        <v>815820</v>
      </c>
      <c r="V133" s="3">
        <f t="shared" si="101"/>
        <v>0</v>
      </c>
      <c r="W133" s="3">
        <f t="shared" si="101"/>
        <v>0</v>
      </c>
      <c r="X133" s="3">
        <f>SUM(X134:X139)</f>
        <v>0</v>
      </c>
      <c r="Y133" s="3">
        <f t="shared" si="96"/>
        <v>815820</v>
      </c>
      <c r="Z133" s="3">
        <f t="shared" si="94"/>
        <v>3056215</v>
      </c>
      <c r="AA133" s="4">
        <f t="shared" si="92"/>
        <v>3056215</v>
      </c>
    </row>
    <row r="134" spans="1:27" ht="28.5" customHeight="1" x14ac:dyDescent="0.25">
      <c r="A134" s="275"/>
      <c r="B134" s="33" t="s">
        <v>269</v>
      </c>
      <c r="C134" s="58" t="s">
        <v>41</v>
      </c>
      <c r="D134" s="5"/>
      <c r="E134" s="5"/>
      <c r="F134" s="7">
        <v>680000</v>
      </c>
      <c r="G134" s="7"/>
      <c r="H134" s="7"/>
      <c r="I134" s="7"/>
      <c r="J134" s="7">
        <f t="shared" si="87"/>
        <v>680000</v>
      </c>
      <c r="K134" s="7">
        <v>717700</v>
      </c>
      <c r="L134" s="7"/>
      <c r="M134" s="7"/>
      <c r="N134" s="7"/>
      <c r="O134" s="7">
        <f t="shared" si="93"/>
        <v>717700</v>
      </c>
      <c r="P134" s="7">
        <v>726600</v>
      </c>
      <c r="Q134" s="7"/>
      <c r="R134" s="7"/>
      <c r="S134" s="7"/>
      <c r="T134" s="7">
        <f t="shared" si="95"/>
        <v>726600</v>
      </c>
      <c r="U134" s="6">
        <v>771100</v>
      </c>
      <c r="V134" s="6"/>
      <c r="W134" s="6"/>
      <c r="X134" s="6"/>
      <c r="Y134" s="6">
        <f t="shared" si="96"/>
        <v>771100</v>
      </c>
      <c r="Z134" s="6">
        <f t="shared" si="94"/>
        <v>2895400</v>
      </c>
      <c r="AA134" s="9">
        <f t="shared" si="92"/>
        <v>2895400</v>
      </c>
    </row>
    <row r="135" spans="1:27" x14ac:dyDescent="0.25">
      <c r="A135" s="275"/>
      <c r="B135" s="50" t="s">
        <v>155</v>
      </c>
      <c r="C135" s="58" t="s">
        <v>47</v>
      </c>
      <c r="D135" s="5"/>
      <c r="E135" s="5"/>
      <c r="F135" s="7">
        <v>28200</v>
      </c>
      <c r="G135" s="7"/>
      <c r="H135" s="7"/>
      <c r="I135" s="7"/>
      <c r="J135" s="7">
        <f t="shared" si="87"/>
        <v>28200</v>
      </c>
      <c r="K135" s="7">
        <v>33300</v>
      </c>
      <c r="L135" s="7"/>
      <c r="M135" s="7"/>
      <c r="N135" s="7"/>
      <c r="O135" s="7">
        <f t="shared" si="93"/>
        <v>33300</v>
      </c>
      <c r="P135" s="7">
        <v>34800</v>
      </c>
      <c r="Q135" s="7"/>
      <c r="R135" s="7"/>
      <c r="S135" s="7"/>
      <c r="T135" s="7">
        <f t="shared" si="95"/>
        <v>34800</v>
      </c>
      <c r="U135" s="6">
        <v>38100</v>
      </c>
      <c r="V135" s="6"/>
      <c r="W135" s="6"/>
      <c r="X135" s="6"/>
      <c r="Y135" s="6">
        <f t="shared" si="96"/>
        <v>38100</v>
      </c>
      <c r="Z135" s="6">
        <f t="shared" si="94"/>
        <v>134400</v>
      </c>
      <c r="AA135" s="9">
        <f t="shared" si="92"/>
        <v>134400</v>
      </c>
    </row>
    <row r="136" spans="1:27" ht="30" x14ac:dyDescent="0.25">
      <c r="A136" s="275"/>
      <c r="B136" s="50" t="s">
        <v>157</v>
      </c>
      <c r="C136" s="58"/>
      <c r="D136" s="39"/>
      <c r="E136" s="39"/>
      <c r="F136" s="7">
        <v>3049</v>
      </c>
      <c r="G136" s="7"/>
      <c r="H136" s="7"/>
      <c r="I136" s="7"/>
      <c r="J136" s="7">
        <f t="shared" si="87"/>
        <v>3049</v>
      </c>
      <c r="K136" s="7">
        <v>3050</v>
      </c>
      <c r="L136" s="7"/>
      <c r="M136" s="7"/>
      <c r="N136" s="7"/>
      <c r="O136" s="7">
        <f t="shared" si="93"/>
        <v>3050</v>
      </c>
      <c r="P136" s="7">
        <v>3050</v>
      </c>
      <c r="Q136" s="7"/>
      <c r="R136" s="7"/>
      <c r="S136" s="7"/>
      <c r="T136" s="7">
        <f t="shared" si="95"/>
        <v>3050</v>
      </c>
      <c r="U136" s="6">
        <v>3050</v>
      </c>
      <c r="V136" s="6"/>
      <c r="W136" s="6"/>
      <c r="X136" s="6"/>
      <c r="Y136" s="6">
        <f t="shared" si="96"/>
        <v>3050</v>
      </c>
      <c r="Z136" s="6">
        <f t="shared" si="94"/>
        <v>12199</v>
      </c>
      <c r="AA136" s="9">
        <f t="shared" si="92"/>
        <v>12199</v>
      </c>
    </row>
    <row r="137" spans="1:27" ht="34.5" customHeight="1" x14ac:dyDescent="0.25">
      <c r="A137" s="275"/>
      <c r="B137" s="50" t="s">
        <v>158</v>
      </c>
      <c r="C137" s="58" t="s">
        <v>48</v>
      </c>
      <c r="D137" s="39"/>
      <c r="E137" s="39"/>
      <c r="F137" s="7">
        <v>2086</v>
      </c>
      <c r="G137" s="7"/>
      <c r="H137" s="7"/>
      <c r="I137" s="7"/>
      <c r="J137" s="7">
        <f t="shared" si="87"/>
        <v>2086</v>
      </c>
      <c r="K137" s="7">
        <v>2150</v>
      </c>
      <c r="L137" s="7"/>
      <c r="M137" s="7"/>
      <c r="N137" s="7"/>
      <c r="O137" s="7">
        <f t="shared" si="93"/>
        <v>2150</v>
      </c>
      <c r="P137" s="7">
        <v>2150</v>
      </c>
      <c r="Q137" s="7"/>
      <c r="R137" s="7"/>
      <c r="S137" s="7"/>
      <c r="T137" s="7">
        <f t="shared" si="95"/>
        <v>2150</v>
      </c>
      <c r="U137" s="6">
        <v>2150</v>
      </c>
      <c r="V137" s="6"/>
      <c r="W137" s="6"/>
      <c r="X137" s="6"/>
      <c r="Y137" s="6">
        <f t="shared" si="96"/>
        <v>2150</v>
      </c>
      <c r="Z137" s="6">
        <f t="shared" si="94"/>
        <v>8536</v>
      </c>
      <c r="AA137" s="9">
        <f t="shared" si="92"/>
        <v>8536</v>
      </c>
    </row>
    <row r="138" spans="1:27" x14ac:dyDescent="0.25">
      <c r="A138" s="275"/>
      <c r="B138" s="50" t="s">
        <v>159</v>
      </c>
      <c r="C138" s="58" t="s">
        <v>44</v>
      </c>
      <c r="D138" s="39"/>
      <c r="E138" s="39"/>
      <c r="F138" s="7">
        <v>1420</v>
      </c>
      <c r="G138" s="7" t="s">
        <v>49</v>
      </c>
      <c r="H138" s="7"/>
      <c r="I138" s="7"/>
      <c r="J138" s="7">
        <f t="shared" si="87"/>
        <v>1420</v>
      </c>
      <c r="K138" s="7">
        <v>1420</v>
      </c>
      <c r="L138" s="7"/>
      <c r="M138" s="7"/>
      <c r="N138" s="7"/>
      <c r="O138" s="7">
        <f t="shared" si="93"/>
        <v>1420</v>
      </c>
      <c r="P138" s="7">
        <v>1420</v>
      </c>
      <c r="Q138" s="7"/>
      <c r="R138" s="7"/>
      <c r="S138" s="7"/>
      <c r="T138" s="7">
        <f t="shared" si="95"/>
        <v>1420</v>
      </c>
      <c r="U138" s="6">
        <v>1420</v>
      </c>
      <c r="V138" s="6"/>
      <c r="W138" s="6"/>
      <c r="X138" s="6"/>
      <c r="Y138" s="6">
        <f t="shared" si="96"/>
        <v>1420</v>
      </c>
      <c r="Z138" s="6">
        <f t="shared" si="94"/>
        <v>5680</v>
      </c>
      <c r="AA138" s="9">
        <f t="shared" si="92"/>
        <v>5680</v>
      </c>
    </row>
    <row r="139" spans="1:27" ht="60" x14ac:dyDescent="0.25">
      <c r="A139" s="275"/>
      <c r="B139" s="50" t="s">
        <v>156</v>
      </c>
      <c r="C139" s="59"/>
      <c r="D139" s="14"/>
      <c r="E139" s="14"/>
      <c r="F139" s="7"/>
      <c r="G139" s="7" t="s">
        <v>49</v>
      </c>
      <c r="H139" s="7"/>
      <c r="I139" s="7"/>
      <c r="J139" s="7">
        <f t="shared" si="87"/>
        <v>0</v>
      </c>
      <c r="K139" s="7"/>
      <c r="L139" s="7"/>
      <c r="M139" s="7"/>
      <c r="N139" s="7"/>
      <c r="O139" s="7">
        <f t="shared" si="93"/>
        <v>0</v>
      </c>
      <c r="P139" s="7"/>
      <c r="Q139" s="7"/>
      <c r="R139" s="7"/>
      <c r="S139" s="7"/>
      <c r="T139" s="7">
        <f t="shared" si="95"/>
        <v>0</v>
      </c>
      <c r="U139" s="6"/>
      <c r="V139" s="6"/>
      <c r="W139" s="6"/>
      <c r="X139" s="6"/>
      <c r="Y139" s="6">
        <f t="shared" si="96"/>
        <v>0</v>
      </c>
      <c r="Z139" s="6">
        <f t="shared" si="94"/>
        <v>0</v>
      </c>
      <c r="AA139" s="9">
        <f t="shared" si="92"/>
        <v>0</v>
      </c>
    </row>
    <row r="140" spans="1:27" ht="60" x14ac:dyDescent="0.25">
      <c r="A140" s="40" t="s">
        <v>204</v>
      </c>
      <c r="B140" s="27"/>
      <c r="C140" s="63"/>
      <c r="D140" s="28"/>
      <c r="E140" s="28"/>
      <c r="F140" s="41">
        <f t="shared" ref="F140:AA140" si="102">F141+F146+F152+F158+F160+F167</f>
        <v>288453</v>
      </c>
      <c r="G140" s="41">
        <f t="shared" si="102"/>
        <v>17600</v>
      </c>
      <c r="H140" s="41">
        <f t="shared" si="102"/>
        <v>0</v>
      </c>
      <c r="I140" s="41">
        <f t="shared" si="102"/>
        <v>0</v>
      </c>
      <c r="J140" s="41">
        <f t="shared" si="102"/>
        <v>306053</v>
      </c>
      <c r="K140" s="41">
        <f t="shared" si="102"/>
        <v>700700</v>
      </c>
      <c r="L140" s="41">
        <f t="shared" si="102"/>
        <v>0</v>
      </c>
      <c r="M140" s="41">
        <f t="shared" si="102"/>
        <v>0</v>
      </c>
      <c r="N140" s="41">
        <f t="shared" si="102"/>
        <v>0</v>
      </c>
      <c r="O140" s="41">
        <f t="shared" si="102"/>
        <v>700700</v>
      </c>
      <c r="P140" s="41">
        <f t="shared" si="102"/>
        <v>443200</v>
      </c>
      <c r="Q140" s="41">
        <f t="shared" si="102"/>
        <v>0</v>
      </c>
      <c r="R140" s="41">
        <f t="shared" si="102"/>
        <v>0</v>
      </c>
      <c r="S140" s="41">
        <f t="shared" si="102"/>
        <v>0</v>
      </c>
      <c r="T140" s="41">
        <f t="shared" si="102"/>
        <v>443200</v>
      </c>
      <c r="U140" s="41">
        <f t="shared" si="102"/>
        <v>443200</v>
      </c>
      <c r="V140" s="41">
        <f t="shared" si="102"/>
        <v>0</v>
      </c>
      <c r="W140" s="41">
        <f t="shared" si="102"/>
        <v>0</v>
      </c>
      <c r="X140" s="41">
        <f t="shared" si="102"/>
        <v>0</v>
      </c>
      <c r="Y140" s="41">
        <f t="shared" si="102"/>
        <v>443200</v>
      </c>
      <c r="Z140" s="41">
        <f t="shared" si="102"/>
        <v>1893153</v>
      </c>
      <c r="AA140" s="42">
        <f t="shared" si="102"/>
        <v>1875553</v>
      </c>
    </row>
    <row r="141" spans="1:27" ht="76.5" customHeight="1" x14ac:dyDescent="0.25">
      <c r="A141" s="275" t="s">
        <v>197</v>
      </c>
      <c r="B141" s="21"/>
      <c r="C141" s="56"/>
      <c r="D141" s="2"/>
      <c r="E141" s="2"/>
      <c r="F141" s="3">
        <f>SUM(F142:F145)</f>
        <v>85600</v>
      </c>
      <c r="G141" s="3">
        <f t="shared" ref="G141:I141" si="103">SUM(G142:G145)</f>
        <v>0</v>
      </c>
      <c r="H141" s="3">
        <f t="shared" si="103"/>
        <v>0</v>
      </c>
      <c r="I141" s="3">
        <f t="shared" si="103"/>
        <v>0</v>
      </c>
      <c r="J141" s="3">
        <f>SUM(F141:I141)</f>
        <v>85600</v>
      </c>
      <c r="K141" s="3">
        <f>SUM(K142:K145)</f>
        <v>85600</v>
      </c>
      <c r="L141" s="3">
        <f t="shared" ref="L141:N141" si="104">SUM(L142:L145)</f>
        <v>0</v>
      </c>
      <c r="M141" s="3">
        <f t="shared" si="104"/>
        <v>0</v>
      </c>
      <c r="N141" s="3">
        <f t="shared" si="104"/>
        <v>0</v>
      </c>
      <c r="O141" s="3">
        <f>SUM(O142:O145)</f>
        <v>85600</v>
      </c>
      <c r="P141" s="3">
        <f>SUM(P142:P145)</f>
        <v>85600</v>
      </c>
      <c r="Q141" s="3">
        <f t="shared" ref="Q141:S141" si="105">SUM(Q142:Q145)</f>
        <v>0</v>
      </c>
      <c r="R141" s="3">
        <f t="shared" si="105"/>
        <v>0</v>
      </c>
      <c r="S141" s="3">
        <f t="shared" si="105"/>
        <v>0</v>
      </c>
      <c r="T141" s="3">
        <f>SUM(T142:T145)</f>
        <v>85600</v>
      </c>
      <c r="U141" s="3">
        <f>SUM(U142:U145)</f>
        <v>85600</v>
      </c>
      <c r="V141" s="3">
        <f t="shared" ref="V141:X141" si="106">SUM(V142:V145)</f>
        <v>0</v>
      </c>
      <c r="W141" s="3">
        <f t="shared" si="106"/>
        <v>0</v>
      </c>
      <c r="X141" s="3">
        <f t="shared" si="106"/>
        <v>0</v>
      </c>
      <c r="Y141" s="3">
        <f t="shared" si="96"/>
        <v>85600</v>
      </c>
      <c r="Z141" s="3">
        <f t="shared" si="94"/>
        <v>342400</v>
      </c>
      <c r="AA141" s="4">
        <f t="shared" si="92"/>
        <v>342400</v>
      </c>
    </row>
    <row r="142" spans="1:27" ht="39.75" customHeight="1" x14ac:dyDescent="0.25">
      <c r="A142" s="275"/>
      <c r="B142" s="50" t="s">
        <v>161</v>
      </c>
      <c r="C142" s="285" t="s">
        <v>190</v>
      </c>
      <c r="D142" s="43"/>
      <c r="E142" s="43"/>
      <c r="F142" s="7"/>
      <c r="G142" s="7"/>
      <c r="H142" s="7"/>
      <c r="I142" s="7"/>
      <c r="J142" s="7">
        <f t="shared" si="87"/>
        <v>0</v>
      </c>
      <c r="K142" s="7"/>
      <c r="L142" s="7"/>
      <c r="M142" s="7"/>
      <c r="N142" s="7"/>
      <c r="O142" s="7">
        <f t="shared" si="93"/>
        <v>0</v>
      </c>
      <c r="P142" s="7"/>
      <c r="Q142" s="7"/>
      <c r="R142" s="7"/>
      <c r="S142" s="7"/>
      <c r="T142" s="7">
        <f t="shared" si="95"/>
        <v>0</v>
      </c>
      <c r="U142" s="6"/>
      <c r="V142" s="6"/>
      <c r="W142" s="6"/>
      <c r="X142" s="6"/>
      <c r="Y142" s="6">
        <f t="shared" si="96"/>
        <v>0</v>
      </c>
      <c r="Z142" s="6">
        <f t="shared" si="94"/>
        <v>0</v>
      </c>
      <c r="AA142" s="9">
        <f t="shared" si="92"/>
        <v>0</v>
      </c>
    </row>
    <row r="143" spans="1:27" ht="45" x14ac:dyDescent="0.25">
      <c r="A143" s="275"/>
      <c r="B143" s="50" t="s">
        <v>162</v>
      </c>
      <c r="C143" s="285"/>
      <c r="D143" s="43"/>
      <c r="E143" s="43"/>
      <c r="F143" s="7"/>
      <c r="G143" s="7"/>
      <c r="H143" s="7"/>
      <c r="I143" s="7"/>
      <c r="J143" s="7">
        <f t="shared" si="87"/>
        <v>0</v>
      </c>
      <c r="K143" s="7"/>
      <c r="L143" s="7"/>
      <c r="M143" s="7"/>
      <c r="N143" s="7"/>
      <c r="O143" s="7">
        <f t="shared" si="93"/>
        <v>0</v>
      </c>
      <c r="P143" s="7"/>
      <c r="Q143" s="7"/>
      <c r="R143" s="7"/>
      <c r="S143" s="7"/>
      <c r="T143" s="7">
        <f t="shared" si="95"/>
        <v>0</v>
      </c>
      <c r="U143" s="6"/>
      <c r="V143" s="6"/>
      <c r="W143" s="6"/>
      <c r="X143" s="6"/>
      <c r="Y143" s="6">
        <f t="shared" si="96"/>
        <v>0</v>
      </c>
      <c r="Z143" s="6">
        <f t="shared" si="94"/>
        <v>0</v>
      </c>
      <c r="AA143" s="9">
        <f t="shared" si="92"/>
        <v>0</v>
      </c>
    </row>
    <row r="144" spans="1:27" ht="30" x14ac:dyDescent="0.25">
      <c r="A144" s="275"/>
      <c r="B144" s="50" t="s">
        <v>160</v>
      </c>
      <c r="C144" s="285"/>
      <c r="D144" s="43"/>
      <c r="E144" s="43"/>
      <c r="F144" s="7">
        <f>21100+2500+62000</f>
        <v>85600</v>
      </c>
      <c r="G144" s="7"/>
      <c r="H144" s="7"/>
      <c r="I144" s="7"/>
      <c r="J144" s="7">
        <f t="shared" si="87"/>
        <v>85600</v>
      </c>
      <c r="K144" s="7">
        <v>85600</v>
      </c>
      <c r="L144" s="7"/>
      <c r="M144" s="7"/>
      <c r="N144" s="7"/>
      <c r="O144" s="7">
        <f t="shared" si="93"/>
        <v>85600</v>
      </c>
      <c r="P144" s="7">
        <v>85600</v>
      </c>
      <c r="Q144" s="7"/>
      <c r="R144" s="7"/>
      <c r="S144" s="7"/>
      <c r="T144" s="7">
        <f t="shared" si="95"/>
        <v>85600</v>
      </c>
      <c r="U144" s="6">
        <v>85600</v>
      </c>
      <c r="V144" s="6"/>
      <c r="W144" s="6"/>
      <c r="X144" s="6"/>
      <c r="Y144" s="6">
        <f t="shared" si="96"/>
        <v>85600</v>
      </c>
      <c r="Z144" s="6">
        <f t="shared" si="94"/>
        <v>342400</v>
      </c>
      <c r="AA144" s="9">
        <f t="shared" si="92"/>
        <v>342400</v>
      </c>
    </row>
    <row r="145" spans="1:28" ht="42" customHeight="1" x14ac:dyDescent="0.25">
      <c r="A145" s="275"/>
      <c r="B145" s="50" t="s">
        <v>163</v>
      </c>
      <c r="C145" s="64" t="s">
        <v>188</v>
      </c>
      <c r="D145" s="44"/>
      <c r="E145" s="44"/>
      <c r="F145" s="7"/>
      <c r="G145" s="7"/>
      <c r="H145" s="7"/>
      <c r="I145" s="7"/>
      <c r="J145" s="7"/>
      <c r="K145" s="7"/>
      <c r="L145" s="7"/>
      <c r="M145" s="7"/>
      <c r="N145" s="7"/>
      <c r="O145" s="7"/>
      <c r="P145" s="7"/>
      <c r="Q145" s="7"/>
      <c r="R145" s="7"/>
      <c r="S145" s="7"/>
      <c r="T145" s="7"/>
      <c r="U145" s="6"/>
      <c r="V145" s="6"/>
      <c r="W145" s="6"/>
      <c r="X145" s="6"/>
      <c r="Y145" s="6"/>
      <c r="Z145" s="6">
        <f t="shared" si="94"/>
        <v>0</v>
      </c>
      <c r="AA145" s="9"/>
    </row>
    <row r="146" spans="1:28" ht="16.5" customHeight="1" x14ac:dyDescent="0.25">
      <c r="A146" s="275" t="s">
        <v>198</v>
      </c>
      <c r="B146" s="21"/>
      <c r="C146" s="56"/>
      <c r="D146" s="2"/>
      <c r="E146" s="2"/>
      <c r="F146" s="3">
        <f>SUM(F147:F151)</f>
        <v>44163</v>
      </c>
      <c r="G146" s="3">
        <f t="shared" ref="G146:I146" si="107">SUM(G147:G151)</f>
        <v>17600</v>
      </c>
      <c r="H146" s="3">
        <f t="shared" si="107"/>
        <v>0</v>
      </c>
      <c r="I146" s="3">
        <f t="shared" si="107"/>
        <v>0</v>
      </c>
      <c r="J146" s="3">
        <f t="shared" si="87"/>
        <v>61763</v>
      </c>
      <c r="K146" s="3">
        <f>SUM(K147:K151)</f>
        <v>216000</v>
      </c>
      <c r="L146" s="3">
        <f>SUM(L147:L151)</f>
        <v>0</v>
      </c>
      <c r="M146" s="3">
        <f>SUM(M147:M151)</f>
        <v>0</v>
      </c>
      <c r="N146" s="3">
        <f>SUM(N147:N151)</f>
        <v>0</v>
      </c>
      <c r="O146" s="3">
        <f t="shared" si="93"/>
        <v>216000</v>
      </c>
      <c r="P146" s="3">
        <f>SUM(P147:P151)</f>
        <v>200000</v>
      </c>
      <c r="Q146" s="3">
        <f t="shared" ref="Q146:S146" si="108">SUM(Q147:Q151)</f>
        <v>0</v>
      </c>
      <c r="R146" s="3">
        <f t="shared" si="108"/>
        <v>0</v>
      </c>
      <c r="S146" s="3">
        <f t="shared" si="108"/>
        <v>0</v>
      </c>
      <c r="T146" s="3">
        <f t="shared" si="95"/>
        <v>200000</v>
      </c>
      <c r="U146" s="3">
        <f>SUM(U147:U151)</f>
        <v>200000</v>
      </c>
      <c r="V146" s="3">
        <f t="shared" ref="V146:X146" si="109">SUM(V147:V151)</f>
        <v>0</v>
      </c>
      <c r="W146" s="3">
        <f t="shared" si="109"/>
        <v>0</v>
      </c>
      <c r="X146" s="3">
        <f t="shared" si="109"/>
        <v>0</v>
      </c>
      <c r="Y146" s="3">
        <f t="shared" si="96"/>
        <v>200000</v>
      </c>
      <c r="Z146" s="3">
        <f t="shared" si="94"/>
        <v>677763</v>
      </c>
      <c r="AA146" s="4">
        <f t="shared" si="92"/>
        <v>660163</v>
      </c>
    </row>
    <row r="147" spans="1:28" ht="19.5" customHeight="1" x14ac:dyDescent="0.25">
      <c r="A147" s="275"/>
      <c r="B147" s="33" t="s">
        <v>270</v>
      </c>
      <c r="C147" s="59"/>
      <c r="D147" s="14"/>
      <c r="E147" s="14"/>
      <c r="F147" s="7"/>
      <c r="G147" s="7"/>
      <c r="H147" s="7"/>
      <c r="I147" s="7"/>
      <c r="J147" s="7">
        <f t="shared" si="87"/>
        <v>0</v>
      </c>
      <c r="K147" s="7"/>
      <c r="L147" s="7"/>
      <c r="M147" s="7"/>
      <c r="N147" s="7"/>
      <c r="O147" s="7">
        <f t="shared" si="93"/>
        <v>0</v>
      </c>
      <c r="P147" s="7"/>
      <c r="Q147" s="7"/>
      <c r="R147" s="7"/>
      <c r="S147" s="7"/>
      <c r="T147" s="7">
        <f t="shared" si="95"/>
        <v>0</v>
      </c>
      <c r="U147" s="6"/>
      <c r="V147" s="6"/>
      <c r="W147" s="6"/>
      <c r="X147" s="6"/>
      <c r="Y147" s="6">
        <f t="shared" si="96"/>
        <v>0</v>
      </c>
      <c r="Z147" s="6">
        <f t="shared" si="94"/>
        <v>0</v>
      </c>
      <c r="AA147" s="9">
        <f t="shared" si="92"/>
        <v>0</v>
      </c>
    </row>
    <row r="148" spans="1:28" ht="21" customHeight="1" x14ac:dyDescent="0.25">
      <c r="A148" s="275"/>
      <c r="B148" s="33" t="s">
        <v>271</v>
      </c>
      <c r="C148" s="58" t="s">
        <v>65</v>
      </c>
      <c r="D148" s="5"/>
      <c r="E148" s="5"/>
      <c r="F148" s="7">
        <v>25000</v>
      </c>
      <c r="G148" s="7"/>
      <c r="H148" s="7"/>
      <c r="I148" s="7"/>
      <c r="J148" s="7">
        <f t="shared" si="87"/>
        <v>25000</v>
      </c>
      <c r="K148" s="7">
        <v>200000</v>
      </c>
      <c r="L148" s="7"/>
      <c r="M148" s="7"/>
      <c r="N148" s="7"/>
      <c r="O148" s="7">
        <f t="shared" si="93"/>
        <v>200000</v>
      </c>
      <c r="P148" s="7">
        <v>200000</v>
      </c>
      <c r="Q148" s="7"/>
      <c r="R148" s="7"/>
      <c r="S148" s="7"/>
      <c r="T148" s="7">
        <f t="shared" si="95"/>
        <v>200000</v>
      </c>
      <c r="U148" s="6">
        <v>200000</v>
      </c>
      <c r="V148" s="6"/>
      <c r="W148" s="6"/>
      <c r="X148" s="6"/>
      <c r="Y148" s="6">
        <f t="shared" si="96"/>
        <v>200000</v>
      </c>
      <c r="Z148" s="6">
        <f t="shared" si="94"/>
        <v>625000</v>
      </c>
      <c r="AA148" s="9">
        <f t="shared" si="92"/>
        <v>625000</v>
      </c>
    </row>
    <row r="149" spans="1:28" ht="15.75" customHeight="1" x14ac:dyDescent="0.25">
      <c r="A149" s="275"/>
      <c r="B149" s="51" t="s">
        <v>164</v>
      </c>
      <c r="C149" s="58" t="s">
        <v>66</v>
      </c>
      <c r="D149" s="5"/>
      <c r="E149" s="5"/>
      <c r="F149" s="7">
        <v>3163</v>
      </c>
      <c r="G149" s="7">
        <v>17600</v>
      </c>
      <c r="H149" s="7"/>
      <c r="I149" s="7"/>
      <c r="J149" s="7">
        <f t="shared" si="87"/>
        <v>20763</v>
      </c>
      <c r="K149" s="7"/>
      <c r="L149" s="7"/>
      <c r="M149" s="7"/>
      <c r="N149" s="7"/>
      <c r="O149" s="7">
        <f t="shared" si="93"/>
        <v>0</v>
      </c>
      <c r="P149" s="7"/>
      <c r="Q149" s="7"/>
      <c r="R149" s="7"/>
      <c r="S149" s="7"/>
      <c r="T149" s="7">
        <f t="shared" si="95"/>
        <v>0</v>
      </c>
      <c r="U149" s="6"/>
      <c r="V149" s="6"/>
      <c r="W149" s="6"/>
      <c r="X149" s="6"/>
      <c r="Y149" s="6">
        <f t="shared" si="96"/>
        <v>0</v>
      </c>
      <c r="Z149" s="6">
        <f t="shared" si="94"/>
        <v>20763</v>
      </c>
      <c r="AA149" s="9">
        <f t="shared" si="92"/>
        <v>3163</v>
      </c>
    </row>
    <row r="150" spans="1:28" ht="30" x14ac:dyDescent="0.25">
      <c r="A150" s="275"/>
      <c r="B150" s="51" t="s">
        <v>165</v>
      </c>
      <c r="C150" s="59"/>
      <c r="D150" s="14"/>
      <c r="E150" s="14"/>
      <c r="F150" s="7"/>
      <c r="G150" s="7"/>
      <c r="H150" s="7"/>
      <c r="I150" s="7"/>
      <c r="J150" s="7">
        <f t="shared" si="87"/>
        <v>0</v>
      </c>
      <c r="K150" s="7"/>
      <c r="L150" s="7"/>
      <c r="M150" s="7"/>
      <c r="N150" s="7"/>
      <c r="O150" s="7">
        <f t="shared" si="93"/>
        <v>0</v>
      </c>
      <c r="P150" s="7"/>
      <c r="Q150" s="7"/>
      <c r="R150" s="7"/>
      <c r="S150" s="7"/>
      <c r="T150" s="7">
        <f t="shared" si="95"/>
        <v>0</v>
      </c>
      <c r="U150" s="6"/>
      <c r="V150" s="6"/>
      <c r="W150" s="6"/>
      <c r="X150" s="6"/>
      <c r="Y150" s="6">
        <f t="shared" si="96"/>
        <v>0</v>
      </c>
      <c r="Z150" s="6">
        <f t="shared" si="94"/>
        <v>0</v>
      </c>
      <c r="AA150" s="9">
        <f t="shared" si="92"/>
        <v>0</v>
      </c>
    </row>
    <row r="151" spans="1:28" x14ac:dyDescent="0.25">
      <c r="A151" s="275"/>
      <c r="B151" s="33" t="s">
        <v>272</v>
      </c>
      <c r="C151" s="59"/>
      <c r="D151" s="14"/>
      <c r="E151" s="14"/>
      <c r="F151" s="7">
        <v>16000</v>
      </c>
      <c r="G151" s="7"/>
      <c r="H151" s="7"/>
      <c r="I151" s="7"/>
      <c r="J151" s="7">
        <f t="shared" si="87"/>
        <v>16000</v>
      </c>
      <c r="K151" s="7">
        <v>16000</v>
      </c>
      <c r="L151" s="7"/>
      <c r="M151" s="7"/>
      <c r="N151" s="7"/>
      <c r="O151" s="7">
        <f t="shared" si="93"/>
        <v>16000</v>
      </c>
      <c r="P151" s="7"/>
      <c r="Q151" s="7"/>
      <c r="R151" s="7"/>
      <c r="S151" s="7"/>
      <c r="T151" s="7">
        <f t="shared" si="95"/>
        <v>0</v>
      </c>
      <c r="U151" s="6"/>
      <c r="V151" s="6"/>
      <c r="W151" s="6"/>
      <c r="X151" s="6"/>
      <c r="Y151" s="6">
        <f t="shared" si="96"/>
        <v>0</v>
      </c>
      <c r="Z151" s="6">
        <f t="shared" si="94"/>
        <v>32000</v>
      </c>
      <c r="AA151" s="9">
        <f t="shared" si="92"/>
        <v>32000</v>
      </c>
    </row>
    <row r="152" spans="1:28" ht="27" customHeight="1" x14ac:dyDescent="0.25">
      <c r="A152" s="275" t="s">
        <v>199</v>
      </c>
      <c r="B152" s="21"/>
      <c r="C152" s="56"/>
      <c r="D152" s="2"/>
      <c r="E152" s="2"/>
      <c r="F152" s="3">
        <f>SUM(F153:F157)</f>
        <v>154690</v>
      </c>
      <c r="G152" s="3">
        <f t="shared" ref="G152:I152" si="110">SUM(G153:G157)</f>
        <v>0</v>
      </c>
      <c r="H152" s="3">
        <f t="shared" si="110"/>
        <v>0</v>
      </c>
      <c r="I152" s="3">
        <f t="shared" si="110"/>
        <v>0</v>
      </c>
      <c r="J152" s="3">
        <f t="shared" si="87"/>
        <v>154690</v>
      </c>
      <c r="K152" s="3">
        <f>SUM(K153:K157)</f>
        <v>153500</v>
      </c>
      <c r="L152" s="3">
        <f t="shared" ref="L152:N152" si="111">SUM(L153:L157)</f>
        <v>0</v>
      </c>
      <c r="M152" s="3">
        <f t="shared" si="111"/>
        <v>0</v>
      </c>
      <c r="N152" s="3">
        <f t="shared" si="111"/>
        <v>0</v>
      </c>
      <c r="O152" s="3">
        <f t="shared" si="93"/>
        <v>153500</v>
      </c>
      <c r="P152" s="3">
        <f>SUM(P153:P157)</f>
        <v>153500</v>
      </c>
      <c r="Q152" s="3">
        <f t="shared" ref="Q152:S152" si="112">SUM(Q153:Q157)</f>
        <v>0</v>
      </c>
      <c r="R152" s="3">
        <f t="shared" si="112"/>
        <v>0</v>
      </c>
      <c r="S152" s="3">
        <f t="shared" si="112"/>
        <v>0</v>
      </c>
      <c r="T152" s="3">
        <f t="shared" si="95"/>
        <v>153500</v>
      </c>
      <c r="U152" s="3">
        <f>SUM(U153:U157)</f>
        <v>153500</v>
      </c>
      <c r="V152" s="3">
        <f t="shared" ref="V152:X152" si="113">SUM(V153:V157)</f>
        <v>0</v>
      </c>
      <c r="W152" s="3">
        <f t="shared" si="113"/>
        <v>0</v>
      </c>
      <c r="X152" s="3">
        <f t="shared" si="113"/>
        <v>0</v>
      </c>
      <c r="Y152" s="3">
        <f t="shared" si="96"/>
        <v>153500</v>
      </c>
      <c r="Z152" s="3">
        <f t="shared" si="94"/>
        <v>615190</v>
      </c>
      <c r="AA152" s="4">
        <f t="shared" si="92"/>
        <v>615190</v>
      </c>
    </row>
    <row r="153" spans="1:28" ht="30" x14ac:dyDescent="0.25">
      <c r="A153" s="275"/>
      <c r="B153" s="33" t="s">
        <v>273</v>
      </c>
      <c r="C153" s="58" t="s">
        <v>189</v>
      </c>
      <c r="D153" s="5"/>
      <c r="E153" s="5"/>
      <c r="F153" s="7">
        <v>70000</v>
      </c>
      <c r="G153" s="7"/>
      <c r="H153" s="7"/>
      <c r="I153" s="7"/>
      <c r="J153" s="7">
        <f t="shared" si="87"/>
        <v>70000</v>
      </c>
      <c r="K153" s="7">
        <v>70000</v>
      </c>
      <c r="L153" s="7"/>
      <c r="M153" s="7"/>
      <c r="N153" s="7"/>
      <c r="O153" s="7">
        <f t="shared" si="93"/>
        <v>70000</v>
      </c>
      <c r="P153" s="7">
        <v>70000</v>
      </c>
      <c r="Q153" s="7"/>
      <c r="R153" s="7"/>
      <c r="S153" s="7"/>
      <c r="T153" s="7">
        <f t="shared" si="95"/>
        <v>70000</v>
      </c>
      <c r="U153" s="6">
        <v>70000</v>
      </c>
      <c r="V153" s="6"/>
      <c r="W153" s="6"/>
      <c r="X153" s="6"/>
      <c r="Y153" s="6">
        <f t="shared" si="96"/>
        <v>70000</v>
      </c>
      <c r="Z153" s="6">
        <f t="shared" si="94"/>
        <v>280000</v>
      </c>
      <c r="AA153" s="9">
        <f t="shared" si="92"/>
        <v>280000</v>
      </c>
    </row>
    <row r="154" spans="1:28" ht="30" x14ac:dyDescent="0.25">
      <c r="A154" s="275"/>
      <c r="B154" s="51" t="s">
        <v>166</v>
      </c>
      <c r="C154" s="58" t="s">
        <v>212</v>
      </c>
      <c r="D154" s="5"/>
      <c r="E154" s="5"/>
      <c r="F154" s="7">
        <f>10000+10500+1190</f>
        <v>21690</v>
      </c>
      <c r="G154" s="7"/>
      <c r="H154" s="7"/>
      <c r="I154" s="7"/>
      <c r="J154" s="7">
        <f t="shared" si="87"/>
        <v>21690</v>
      </c>
      <c r="K154" s="7">
        <v>20500</v>
      </c>
      <c r="L154" s="7"/>
      <c r="M154" s="7"/>
      <c r="N154" s="7"/>
      <c r="O154" s="7">
        <f t="shared" si="93"/>
        <v>20500</v>
      </c>
      <c r="P154" s="7">
        <v>20500</v>
      </c>
      <c r="Q154" s="7"/>
      <c r="R154" s="7"/>
      <c r="S154" s="7"/>
      <c r="T154" s="7">
        <f t="shared" si="95"/>
        <v>20500</v>
      </c>
      <c r="U154" s="6">
        <v>20500</v>
      </c>
      <c r="V154" s="6"/>
      <c r="W154" s="6"/>
      <c r="X154" s="6"/>
      <c r="Y154" s="6">
        <f t="shared" si="96"/>
        <v>20500</v>
      </c>
      <c r="Z154" s="6">
        <f t="shared" si="94"/>
        <v>83190</v>
      </c>
      <c r="AA154" s="9">
        <f t="shared" si="92"/>
        <v>83190</v>
      </c>
    </row>
    <row r="155" spans="1:28" ht="45" x14ac:dyDescent="0.25">
      <c r="A155" s="275"/>
      <c r="B155" s="33" t="s">
        <v>274</v>
      </c>
      <c r="C155" s="58" t="s">
        <v>45</v>
      </c>
      <c r="D155" s="5"/>
      <c r="E155" s="5"/>
      <c r="F155" s="7">
        <f>55000+8000</f>
        <v>63000</v>
      </c>
      <c r="G155" s="7"/>
      <c r="H155" s="7"/>
      <c r="I155" s="7"/>
      <c r="J155" s="7">
        <f t="shared" si="87"/>
        <v>63000</v>
      </c>
      <c r="K155" s="7">
        <v>63000</v>
      </c>
      <c r="L155" s="7"/>
      <c r="M155" s="7"/>
      <c r="N155" s="7"/>
      <c r="O155" s="7">
        <f t="shared" si="93"/>
        <v>63000</v>
      </c>
      <c r="P155" s="7">
        <v>63000</v>
      </c>
      <c r="Q155" s="7"/>
      <c r="R155" s="7"/>
      <c r="S155" s="7"/>
      <c r="T155" s="7">
        <f t="shared" si="95"/>
        <v>63000</v>
      </c>
      <c r="U155" s="6">
        <v>63000</v>
      </c>
      <c r="V155" s="6"/>
      <c r="W155" s="6"/>
      <c r="X155" s="6"/>
      <c r="Y155" s="6">
        <f t="shared" si="96"/>
        <v>63000</v>
      </c>
      <c r="Z155" s="6">
        <f t="shared" si="94"/>
        <v>252000</v>
      </c>
      <c r="AA155" s="9">
        <f t="shared" si="92"/>
        <v>252000</v>
      </c>
    </row>
    <row r="156" spans="1:28" ht="45" x14ac:dyDescent="0.25">
      <c r="A156" s="275"/>
      <c r="B156" s="52" t="s">
        <v>167</v>
      </c>
      <c r="C156" s="58" t="s">
        <v>11</v>
      </c>
      <c r="D156" s="5"/>
      <c r="E156" s="5"/>
      <c r="F156" s="7"/>
      <c r="G156" s="7"/>
      <c r="H156" s="7"/>
      <c r="I156" s="7"/>
      <c r="J156" s="7">
        <f t="shared" si="87"/>
        <v>0</v>
      </c>
      <c r="K156" s="7"/>
      <c r="L156" s="7"/>
      <c r="M156" s="7"/>
      <c r="N156" s="7"/>
      <c r="O156" s="7">
        <f t="shared" si="93"/>
        <v>0</v>
      </c>
      <c r="P156" s="7"/>
      <c r="Q156" s="7"/>
      <c r="R156" s="7"/>
      <c r="S156" s="7"/>
      <c r="T156" s="7">
        <f t="shared" si="95"/>
        <v>0</v>
      </c>
      <c r="U156" s="6"/>
      <c r="V156" s="6"/>
      <c r="W156" s="6"/>
      <c r="X156" s="6"/>
      <c r="Y156" s="6">
        <f t="shared" si="96"/>
        <v>0</v>
      </c>
      <c r="Z156" s="6">
        <f t="shared" si="94"/>
        <v>0</v>
      </c>
      <c r="AA156" s="9">
        <f t="shared" si="92"/>
        <v>0</v>
      </c>
    </row>
    <row r="157" spans="1:28" ht="15.75" customHeight="1" x14ac:dyDescent="0.25">
      <c r="A157" s="275"/>
      <c r="B157" s="50" t="s">
        <v>168</v>
      </c>
      <c r="C157" s="58"/>
      <c r="D157" s="5"/>
      <c r="E157" s="5"/>
      <c r="F157" s="7"/>
      <c r="G157" s="7"/>
      <c r="H157" s="7"/>
      <c r="I157" s="7"/>
      <c r="J157" s="7">
        <f t="shared" si="87"/>
        <v>0</v>
      </c>
      <c r="K157" s="7"/>
      <c r="L157" s="7"/>
      <c r="M157" s="7"/>
      <c r="N157" s="7"/>
      <c r="O157" s="7">
        <f t="shared" si="93"/>
        <v>0</v>
      </c>
      <c r="P157" s="7"/>
      <c r="Q157" s="7"/>
      <c r="R157" s="7"/>
      <c r="S157" s="7"/>
      <c r="T157" s="7">
        <f t="shared" si="95"/>
        <v>0</v>
      </c>
      <c r="U157" s="6"/>
      <c r="V157" s="6"/>
      <c r="W157" s="6"/>
      <c r="X157" s="6"/>
      <c r="Y157" s="6">
        <f t="shared" si="96"/>
        <v>0</v>
      </c>
      <c r="Z157" s="6">
        <f t="shared" si="94"/>
        <v>0</v>
      </c>
      <c r="AA157" s="9">
        <f t="shared" si="92"/>
        <v>0</v>
      </c>
    </row>
    <row r="158" spans="1:28" s="16" customFormat="1" ht="27" customHeight="1" x14ac:dyDescent="0.25">
      <c r="A158" s="275" t="s">
        <v>200</v>
      </c>
      <c r="B158" s="21"/>
      <c r="C158" s="60"/>
      <c r="D158" s="22"/>
      <c r="E158" s="22"/>
      <c r="F158" s="3">
        <f>SUM(F159)</f>
        <v>2500</v>
      </c>
      <c r="G158" s="3">
        <f t="shared" ref="G158:I158" si="114">SUM(G159)</f>
        <v>0</v>
      </c>
      <c r="H158" s="3">
        <f t="shared" si="114"/>
        <v>0</v>
      </c>
      <c r="I158" s="3">
        <f t="shared" si="114"/>
        <v>0</v>
      </c>
      <c r="J158" s="3">
        <f t="shared" si="87"/>
        <v>2500</v>
      </c>
      <c r="K158" s="3">
        <f>SUM(K159)</f>
        <v>244000</v>
      </c>
      <c r="L158" s="3">
        <f t="shared" ref="L158:N158" si="115">SUM(L159)</f>
        <v>0</v>
      </c>
      <c r="M158" s="3">
        <f t="shared" si="115"/>
        <v>0</v>
      </c>
      <c r="N158" s="3">
        <f t="shared" si="115"/>
        <v>0</v>
      </c>
      <c r="O158" s="3">
        <f t="shared" si="93"/>
        <v>244000</v>
      </c>
      <c r="P158" s="3">
        <f>SUM(P159:P159)</f>
        <v>2500</v>
      </c>
      <c r="Q158" s="3">
        <f>SUM(Q159:Q159)</f>
        <v>0</v>
      </c>
      <c r="R158" s="3">
        <f>SUM(R159:R159)</f>
        <v>0</v>
      </c>
      <c r="S158" s="3">
        <f>SUM(S159:S159)</f>
        <v>0</v>
      </c>
      <c r="T158" s="3">
        <f t="shared" si="95"/>
        <v>2500</v>
      </c>
      <c r="U158" s="3">
        <f>SUM(U159)</f>
        <v>2500</v>
      </c>
      <c r="V158" s="3"/>
      <c r="W158" s="3"/>
      <c r="X158" s="3"/>
      <c r="Y158" s="3">
        <f t="shared" si="96"/>
        <v>2500</v>
      </c>
      <c r="Z158" s="3">
        <f t="shared" si="94"/>
        <v>251500</v>
      </c>
      <c r="AA158" s="4">
        <f t="shared" si="92"/>
        <v>251500</v>
      </c>
      <c r="AB158" s="24"/>
    </row>
    <row r="159" spans="1:28" ht="15.75" customHeight="1" x14ac:dyDescent="0.25">
      <c r="A159" s="275"/>
      <c r="B159" s="51" t="s">
        <v>169</v>
      </c>
      <c r="C159" s="58" t="s">
        <v>46</v>
      </c>
      <c r="D159" s="5"/>
      <c r="E159" s="5"/>
      <c r="F159" s="7">
        <v>2500</v>
      </c>
      <c r="G159" s="7"/>
      <c r="H159" s="7"/>
      <c r="I159" s="7"/>
      <c r="J159" s="7">
        <f t="shared" si="87"/>
        <v>2500</v>
      </c>
      <c r="K159" s="7">
        <v>244000</v>
      </c>
      <c r="L159" s="7"/>
      <c r="M159" s="7"/>
      <c r="N159" s="7"/>
      <c r="O159" s="7">
        <f t="shared" si="93"/>
        <v>244000</v>
      </c>
      <c r="P159" s="7">
        <v>2500</v>
      </c>
      <c r="Q159" s="7"/>
      <c r="R159" s="7"/>
      <c r="S159" s="7"/>
      <c r="T159" s="7">
        <f t="shared" si="95"/>
        <v>2500</v>
      </c>
      <c r="U159" s="6">
        <v>2500</v>
      </c>
      <c r="V159" s="6"/>
      <c r="W159" s="6"/>
      <c r="X159" s="6"/>
      <c r="Y159" s="6">
        <f t="shared" si="96"/>
        <v>2500</v>
      </c>
      <c r="Z159" s="6">
        <f t="shared" si="94"/>
        <v>251500</v>
      </c>
      <c r="AA159" s="9">
        <f t="shared" si="92"/>
        <v>251500</v>
      </c>
    </row>
    <row r="160" spans="1:28" ht="27" customHeight="1" x14ac:dyDescent="0.25">
      <c r="A160" s="275" t="s">
        <v>201</v>
      </c>
      <c r="B160" s="21"/>
      <c r="C160" s="60"/>
      <c r="D160" s="22"/>
      <c r="E160" s="22"/>
      <c r="F160" s="3">
        <f>SUM(F161:F166)</f>
        <v>1500</v>
      </c>
      <c r="G160" s="3">
        <f t="shared" ref="G160:I160" si="116">SUM(G161:G166)</f>
        <v>0</v>
      </c>
      <c r="H160" s="3">
        <f t="shared" si="116"/>
        <v>0</v>
      </c>
      <c r="I160" s="3">
        <f t="shared" si="116"/>
        <v>0</v>
      </c>
      <c r="J160" s="3">
        <f t="shared" si="87"/>
        <v>1500</v>
      </c>
      <c r="K160" s="3">
        <f>SUM(K161:K166)</f>
        <v>1600</v>
      </c>
      <c r="L160" s="3">
        <f t="shared" ref="L160:N160" si="117">SUM(L161:L166)</f>
        <v>0</v>
      </c>
      <c r="M160" s="3">
        <f t="shared" si="117"/>
        <v>0</v>
      </c>
      <c r="N160" s="3">
        <f t="shared" si="117"/>
        <v>0</v>
      </c>
      <c r="O160" s="3">
        <f t="shared" si="93"/>
        <v>1600</v>
      </c>
      <c r="P160" s="3">
        <f>SUM(P161:P166)</f>
        <v>1600</v>
      </c>
      <c r="Q160" s="3">
        <f t="shared" ref="Q160:S160" si="118">SUM(Q161:Q166)</f>
        <v>0</v>
      </c>
      <c r="R160" s="3">
        <f t="shared" si="118"/>
        <v>0</v>
      </c>
      <c r="S160" s="3">
        <f t="shared" si="118"/>
        <v>0</v>
      </c>
      <c r="T160" s="3">
        <f>SUM(P160:S160)</f>
        <v>1600</v>
      </c>
      <c r="U160" s="3">
        <f>SUM(U161:U166)</f>
        <v>1600</v>
      </c>
      <c r="V160" s="3">
        <f t="shared" ref="V160:X160" si="119">SUM(V161:V166)</f>
        <v>0</v>
      </c>
      <c r="W160" s="3">
        <f t="shared" si="119"/>
        <v>0</v>
      </c>
      <c r="X160" s="3">
        <f t="shared" si="119"/>
        <v>0</v>
      </c>
      <c r="Y160" s="3">
        <f t="shared" si="96"/>
        <v>1600</v>
      </c>
      <c r="Z160" s="3">
        <f t="shared" si="94"/>
        <v>6300</v>
      </c>
      <c r="AA160" s="4">
        <f>F160+K160+P160+U160</f>
        <v>6300</v>
      </c>
    </row>
    <row r="161" spans="1:27" ht="30" x14ac:dyDescent="0.25">
      <c r="A161" s="275"/>
      <c r="B161" s="50" t="s">
        <v>170</v>
      </c>
      <c r="C161" s="59"/>
      <c r="D161" s="14"/>
      <c r="E161" s="14"/>
      <c r="F161" s="7"/>
      <c r="G161" s="7"/>
      <c r="H161" s="7"/>
      <c r="I161" s="7"/>
      <c r="J161" s="7">
        <f t="shared" si="87"/>
        <v>0</v>
      </c>
      <c r="K161" s="7"/>
      <c r="L161" s="7"/>
      <c r="M161" s="7"/>
      <c r="N161" s="7"/>
      <c r="O161" s="7">
        <f t="shared" si="93"/>
        <v>0</v>
      </c>
      <c r="P161" s="7"/>
      <c r="Q161" s="7"/>
      <c r="R161" s="7"/>
      <c r="S161" s="7"/>
      <c r="T161" s="7">
        <f t="shared" si="95"/>
        <v>0</v>
      </c>
      <c r="U161" s="6"/>
      <c r="V161" s="6"/>
      <c r="W161" s="6"/>
      <c r="X161" s="6"/>
      <c r="Y161" s="6">
        <f t="shared" si="96"/>
        <v>0</v>
      </c>
      <c r="Z161" s="6">
        <f t="shared" si="94"/>
        <v>0</v>
      </c>
      <c r="AA161" s="9">
        <f t="shared" si="92"/>
        <v>0</v>
      </c>
    </row>
    <row r="162" spans="1:27" x14ac:dyDescent="0.25">
      <c r="A162" s="275"/>
      <c r="B162" s="50" t="s">
        <v>175</v>
      </c>
      <c r="C162" s="59"/>
      <c r="D162" s="14"/>
      <c r="E162" s="14"/>
      <c r="F162" s="7"/>
      <c r="G162" s="7"/>
      <c r="H162" s="7"/>
      <c r="I162" s="7"/>
      <c r="J162" s="7">
        <f t="shared" si="87"/>
        <v>0</v>
      </c>
      <c r="K162" s="7"/>
      <c r="L162" s="7"/>
      <c r="M162" s="7"/>
      <c r="N162" s="7"/>
      <c r="O162" s="7">
        <f t="shared" si="93"/>
        <v>0</v>
      </c>
      <c r="P162" s="7"/>
      <c r="Q162" s="7"/>
      <c r="R162" s="7"/>
      <c r="S162" s="7"/>
      <c r="T162" s="7">
        <f t="shared" si="95"/>
        <v>0</v>
      </c>
      <c r="U162" s="6"/>
      <c r="V162" s="6"/>
      <c r="W162" s="6"/>
      <c r="X162" s="6"/>
      <c r="Y162" s="6">
        <f t="shared" si="96"/>
        <v>0</v>
      </c>
      <c r="Z162" s="6">
        <f t="shared" si="94"/>
        <v>0</v>
      </c>
      <c r="AA162" s="9">
        <f t="shared" si="92"/>
        <v>0</v>
      </c>
    </row>
    <row r="163" spans="1:27" ht="45" x14ac:dyDescent="0.25">
      <c r="A163" s="275"/>
      <c r="B163" s="50" t="s">
        <v>174</v>
      </c>
      <c r="C163" s="59"/>
      <c r="D163" s="14"/>
      <c r="E163" s="14"/>
      <c r="F163" s="7"/>
      <c r="G163" s="7"/>
      <c r="H163" s="7"/>
      <c r="I163" s="7"/>
      <c r="J163" s="7">
        <f t="shared" si="87"/>
        <v>0</v>
      </c>
      <c r="K163" s="7"/>
      <c r="L163" s="7"/>
      <c r="M163" s="7"/>
      <c r="N163" s="7"/>
      <c r="O163" s="7">
        <f t="shared" si="93"/>
        <v>0</v>
      </c>
      <c r="P163" s="7"/>
      <c r="Q163" s="7"/>
      <c r="R163" s="7"/>
      <c r="S163" s="7"/>
      <c r="T163" s="7">
        <f t="shared" si="95"/>
        <v>0</v>
      </c>
      <c r="U163" s="6"/>
      <c r="V163" s="6"/>
      <c r="W163" s="6"/>
      <c r="X163" s="6"/>
      <c r="Y163" s="6">
        <f t="shared" si="96"/>
        <v>0</v>
      </c>
      <c r="Z163" s="6">
        <f t="shared" si="94"/>
        <v>0</v>
      </c>
      <c r="AA163" s="9">
        <f t="shared" si="92"/>
        <v>0</v>
      </c>
    </row>
    <row r="164" spans="1:27" ht="15.75" customHeight="1" x14ac:dyDescent="0.25">
      <c r="A164" s="275"/>
      <c r="B164" s="50" t="s">
        <v>173</v>
      </c>
      <c r="C164" s="59"/>
      <c r="D164" s="14"/>
      <c r="E164" s="14"/>
      <c r="F164" s="7"/>
      <c r="G164" s="7"/>
      <c r="H164" s="7"/>
      <c r="I164" s="7"/>
      <c r="J164" s="7">
        <f t="shared" si="87"/>
        <v>0</v>
      </c>
      <c r="K164" s="7"/>
      <c r="L164" s="7"/>
      <c r="M164" s="7"/>
      <c r="N164" s="7"/>
      <c r="O164" s="7">
        <f t="shared" si="93"/>
        <v>0</v>
      </c>
      <c r="P164" s="7"/>
      <c r="Q164" s="7"/>
      <c r="R164" s="7"/>
      <c r="S164" s="7"/>
      <c r="T164" s="7">
        <f t="shared" si="95"/>
        <v>0</v>
      </c>
      <c r="U164" s="6"/>
      <c r="V164" s="6"/>
      <c r="W164" s="6"/>
      <c r="X164" s="6"/>
      <c r="Y164" s="6">
        <f t="shared" si="96"/>
        <v>0</v>
      </c>
      <c r="Z164" s="6">
        <f t="shared" si="94"/>
        <v>0</v>
      </c>
      <c r="AA164" s="9">
        <f t="shared" si="92"/>
        <v>0</v>
      </c>
    </row>
    <row r="165" spans="1:27" x14ac:dyDescent="0.25">
      <c r="A165" s="275"/>
      <c r="B165" s="50" t="s">
        <v>171</v>
      </c>
      <c r="C165" s="59"/>
      <c r="D165" s="14"/>
      <c r="E165" s="14"/>
      <c r="F165" s="7"/>
      <c r="G165" s="7"/>
      <c r="H165" s="7"/>
      <c r="I165" s="7"/>
      <c r="J165" s="7">
        <f t="shared" si="87"/>
        <v>0</v>
      </c>
      <c r="K165" s="7"/>
      <c r="L165" s="7"/>
      <c r="M165" s="7"/>
      <c r="N165" s="7"/>
      <c r="O165" s="7">
        <f t="shared" si="93"/>
        <v>0</v>
      </c>
      <c r="P165" s="7"/>
      <c r="Q165" s="7"/>
      <c r="R165" s="7"/>
      <c r="S165" s="7"/>
      <c r="T165" s="7">
        <f t="shared" si="95"/>
        <v>0</v>
      </c>
      <c r="U165" s="6"/>
      <c r="V165" s="6"/>
      <c r="W165" s="6"/>
      <c r="X165" s="6"/>
      <c r="Y165" s="6">
        <f t="shared" si="96"/>
        <v>0</v>
      </c>
      <c r="Z165" s="6">
        <f t="shared" si="94"/>
        <v>0</v>
      </c>
      <c r="AA165" s="9">
        <f t="shared" si="92"/>
        <v>0</v>
      </c>
    </row>
    <row r="166" spans="1:27" x14ac:dyDescent="0.25">
      <c r="A166" s="275"/>
      <c r="B166" s="50" t="s">
        <v>172</v>
      </c>
      <c r="C166" s="59" t="s">
        <v>217</v>
      </c>
      <c r="D166" s="14"/>
      <c r="E166" s="14"/>
      <c r="F166" s="7">
        <v>1500</v>
      </c>
      <c r="G166" s="7"/>
      <c r="H166" s="7"/>
      <c r="I166" s="7"/>
      <c r="J166" s="7">
        <f t="shared" si="87"/>
        <v>1500</v>
      </c>
      <c r="K166" s="7">
        <v>1600</v>
      </c>
      <c r="L166" s="7"/>
      <c r="M166" s="7"/>
      <c r="N166" s="7"/>
      <c r="O166" s="7">
        <f t="shared" si="93"/>
        <v>1600</v>
      </c>
      <c r="P166" s="7">
        <v>1600</v>
      </c>
      <c r="Q166" s="7"/>
      <c r="R166" s="7"/>
      <c r="S166" s="7"/>
      <c r="T166" s="7">
        <f t="shared" si="95"/>
        <v>1600</v>
      </c>
      <c r="U166" s="6">
        <v>1600</v>
      </c>
      <c r="V166" s="6"/>
      <c r="W166" s="6"/>
      <c r="X166" s="6"/>
      <c r="Y166" s="6">
        <f t="shared" si="96"/>
        <v>1600</v>
      </c>
      <c r="Z166" s="6">
        <f t="shared" si="94"/>
        <v>6300</v>
      </c>
      <c r="AA166" s="9">
        <f t="shared" si="92"/>
        <v>6300</v>
      </c>
    </row>
    <row r="167" spans="1:27" ht="39.75" customHeight="1" x14ac:dyDescent="0.25">
      <c r="A167" s="275" t="s">
        <v>176</v>
      </c>
      <c r="B167" s="21"/>
      <c r="C167" s="56"/>
      <c r="D167" s="2"/>
      <c r="E167" s="2"/>
      <c r="F167" s="3">
        <f>SUM(F168:F169)</f>
        <v>0</v>
      </c>
      <c r="G167" s="3">
        <f t="shared" ref="G167:I167" si="120">SUM(G168:G169)</f>
        <v>0</v>
      </c>
      <c r="H167" s="3">
        <f t="shared" si="120"/>
        <v>0</v>
      </c>
      <c r="I167" s="3">
        <f t="shared" si="120"/>
        <v>0</v>
      </c>
      <c r="J167" s="3">
        <f t="shared" si="87"/>
        <v>0</v>
      </c>
      <c r="K167" s="3">
        <f>SUM(K168:K169)</f>
        <v>0</v>
      </c>
      <c r="L167" s="3">
        <f t="shared" ref="L167:M167" si="121">SUM(L168:L169)</f>
        <v>0</v>
      </c>
      <c r="M167" s="3">
        <f t="shared" si="121"/>
        <v>0</v>
      </c>
      <c r="N167" s="3"/>
      <c r="O167" s="3">
        <f t="shared" si="93"/>
        <v>0</v>
      </c>
      <c r="P167" s="3">
        <f>SUM(P168:P169)</f>
        <v>0</v>
      </c>
      <c r="Q167" s="3">
        <f t="shared" ref="Q167:S167" si="122">SUM(Q168:Q169)</f>
        <v>0</v>
      </c>
      <c r="R167" s="3">
        <f t="shared" si="122"/>
        <v>0</v>
      </c>
      <c r="S167" s="3">
        <f t="shared" si="122"/>
        <v>0</v>
      </c>
      <c r="T167" s="3">
        <f t="shared" si="95"/>
        <v>0</v>
      </c>
      <c r="U167" s="3">
        <f>SUM(U168:U169)</f>
        <v>0</v>
      </c>
      <c r="V167" s="3">
        <f t="shared" ref="V167:X167" si="123">SUM(V168:V169)</f>
        <v>0</v>
      </c>
      <c r="W167" s="3">
        <f t="shared" si="123"/>
        <v>0</v>
      </c>
      <c r="X167" s="3">
        <f t="shared" si="123"/>
        <v>0</v>
      </c>
      <c r="Y167" s="3">
        <f t="shared" si="96"/>
        <v>0</v>
      </c>
      <c r="Z167" s="3">
        <f t="shared" si="94"/>
        <v>0</v>
      </c>
      <c r="AA167" s="4">
        <f t="shared" si="92"/>
        <v>0</v>
      </c>
    </row>
    <row r="168" spans="1:27" ht="30" x14ac:dyDescent="0.25">
      <c r="A168" s="275"/>
      <c r="B168" s="50" t="s">
        <v>177</v>
      </c>
      <c r="C168" s="55"/>
      <c r="D168" s="14"/>
      <c r="E168" s="14"/>
      <c r="F168" s="7"/>
      <c r="G168" s="7"/>
      <c r="H168" s="7"/>
      <c r="I168" s="7"/>
      <c r="J168" s="7">
        <f t="shared" si="87"/>
        <v>0</v>
      </c>
      <c r="K168" s="7"/>
      <c r="L168" s="7"/>
      <c r="M168" s="7"/>
      <c r="N168" s="7"/>
      <c r="O168" s="7">
        <f t="shared" si="93"/>
        <v>0</v>
      </c>
      <c r="P168" s="7"/>
      <c r="Q168" s="7"/>
      <c r="R168" s="7"/>
      <c r="S168" s="7"/>
      <c r="T168" s="7">
        <f t="shared" si="95"/>
        <v>0</v>
      </c>
      <c r="U168" s="6"/>
      <c r="V168" s="6"/>
      <c r="W168" s="6"/>
      <c r="X168" s="6"/>
      <c r="Y168" s="6">
        <f t="shared" si="96"/>
        <v>0</v>
      </c>
      <c r="Z168" s="6">
        <f t="shared" si="94"/>
        <v>0</v>
      </c>
      <c r="AA168" s="9">
        <f t="shared" si="92"/>
        <v>0</v>
      </c>
    </row>
    <row r="169" spans="1:27" ht="30" customHeight="1" x14ac:dyDescent="0.25">
      <c r="A169" s="275"/>
      <c r="B169" s="50" t="s">
        <v>178</v>
      </c>
      <c r="C169" s="55"/>
      <c r="D169" s="14"/>
      <c r="E169" s="14"/>
      <c r="F169" s="7"/>
      <c r="G169" s="7"/>
      <c r="H169" s="7"/>
      <c r="I169" s="7"/>
      <c r="J169" s="7">
        <f t="shared" si="87"/>
        <v>0</v>
      </c>
      <c r="K169" s="7"/>
      <c r="L169" s="7"/>
      <c r="M169" s="7"/>
      <c r="N169" s="7"/>
      <c r="O169" s="7">
        <f t="shared" si="93"/>
        <v>0</v>
      </c>
      <c r="P169" s="7"/>
      <c r="Q169" s="7"/>
      <c r="R169" s="7"/>
      <c r="S169" s="7"/>
      <c r="T169" s="7">
        <f t="shared" si="95"/>
        <v>0</v>
      </c>
      <c r="U169" s="6"/>
      <c r="V169" s="6"/>
      <c r="W169" s="6"/>
      <c r="X169" s="6"/>
      <c r="Y169" s="6">
        <f t="shared" si="96"/>
        <v>0</v>
      </c>
      <c r="Z169" s="6">
        <f t="shared" si="94"/>
        <v>0</v>
      </c>
      <c r="AA169" s="9">
        <f t="shared" si="92"/>
        <v>0</v>
      </c>
    </row>
    <row r="170" spans="1:27" ht="75" x14ac:dyDescent="0.25">
      <c r="A170" s="36" t="s">
        <v>179</v>
      </c>
      <c r="B170" s="27"/>
      <c r="C170" s="63"/>
      <c r="D170" s="28"/>
      <c r="E170" s="28"/>
      <c r="F170" s="41">
        <f t="shared" ref="F170:AA170" si="124">F171+F178+F182+F189</f>
        <v>0</v>
      </c>
      <c r="G170" s="41">
        <f t="shared" si="124"/>
        <v>0</v>
      </c>
      <c r="H170" s="41">
        <f t="shared" si="124"/>
        <v>0</v>
      </c>
      <c r="I170" s="41">
        <f t="shared" si="124"/>
        <v>0</v>
      </c>
      <c r="J170" s="41">
        <f t="shared" si="124"/>
        <v>0</v>
      </c>
      <c r="K170" s="41">
        <f t="shared" si="124"/>
        <v>0</v>
      </c>
      <c r="L170" s="41">
        <f t="shared" si="124"/>
        <v>0</v>
      </c>
      <c r="M170" s="41">
        <f t="shared" si="124"/>
        <v>0</v>
      </c>
      <c r="N170" s="41">
        <f t="shared" si="124"/>
        <v>0</v>
      </c>
      <c r="O170" s="41">
        <f t="shared" si="124"/>
        <v>0</v>
      </c>
      <c r="P170" s="41">
        <f t="shared" si="124"/>
        <v>0</v>
      </c>
      <c r="Q170" s="41">
        <f t="shared" si="124"/>
        <v>0</v>
      </c>
      <c r="R170" s="41">
        <f t="shared" si="124"/>
        <v>0</v>
      </c>
      <c r="S170" s="41">
        <f t="shared" si="124"/>
        <v>0</v>
      </c>
      <c r="T170" s="41">
        <f t="shared" si="124"/>
        <v>0</v>
      </c>
      <c r="U170" s="41">
        <f t="shared" si="124"/>
        <v>0</v>
      </c>
      <c r="V170" s="41">
        <f t="shared" si="124"/>
        <v>0</v>
      </c>
      <c r="W170" s="41">
        <f t="shared" si="124"/>
        <v>0</v>
      </c>
      <c r="X170" s="41">
        <f t="shared" si="124"/>
        <v>0</v>
      </c>
      <c r="Y170" s="41">
        <f t="shared" si="124"/>
        <v>0</v>
      </c>
      <c r="Z170" s="41">
        <f t="shared" si="124"/>
        <v>0</v>
      </c>
      <c r="AA170" s="42">
        <f t="shared" si="124"/>
        <v>0</v>
      </c>
    </row>
    <row r="171" spans="1:27" ht="38.25" customHeight="1" x14ac:dyDescent="0.25">
      <c r="A171" s="275" t="s">
        <v>202</v>
      </c>
      <c r="B171" s="21"/>
      <c r="C171" s="56"/>
      <c r="D171" s="2"/>
      <c r="E171" s="2"/>
      <c r="F171" s="3">
        <f>SUM(F173:F177)</f>
        <v>0</v>
      </c>
      <c r="G171" s="3">
        <f t="shared" ref="G171:I171" si="125">SUM(G173:G177)</f>
        <v>0</v>
      </c>
      <c r="H171" s="3">
        <f t="shared" si="125"/>
        <v>0</v>
      </c>
      <c r="I171" s="3">
        <f t="shared" si="125"/>
        <v>0</v>
      </c>
      <c r="J171" s="3">
        <f t="shared" ref="J171:J196" si="126">SUM(F171:I171)</f>
        <v>0</v>
      </c>
      <c r="K171" s="3">
        <f>SUM(K173:K177)</f>
        <v>0</v>
      </c>
      <c r="L171" s="3">
        <f t="shared" ref="L171:N171" si="127">SUM(L173:L177)</f>
        <v>0</v>
      </c>
      <c r="M171" s="3">
        <f t="shared" si="127"/>
        <v>0</v>
      </c>
      <c r="N171" s="3">
        <f t="shared" si="127"/>
        <v>0</v>
      </c>
      <c r="O171" s="3">
        <f t="shared" si="93"/>
        <v>0</v>
      </c>
      <c r="P171" s="3">
        <f>SUM(P173:P177)</f>
        <v>0</v>
      </c>
      <c r="Q171" s="3">
        <f t="shared" ref="Q171:S171" si="128">SUM(Q173:Q177)</f>
        <v>0</v>
      </c>
      <c r="R171" s="3">
        <f t="shared" si="128"/>
        <v>0</v>
      </c>
      <c r="S171" s="3">
        <f t="shared" si="128"/>
        <v>0</v>
      </c>
      <c r="T171" s="3">
        <f t="shared" si="95"/>
        <v>0</v>
      </c>
      <c r="U171" s="3">
        <f>SUM(U173:U177)</f>
        <v>0</v>
      </c>
      <c r="V171" s="3">
        <f t="shared" ref="V171:X171" si="129">SUM(V173:V177)</f>
        <v>0</v>
      </c>
      <c r="W171" s="3">
        <f t="shared" si="129"/>
        <v>0</v>
      </c>
      <c r="X171" s="3">
        <f t="shared" si="129"/>
        <v>0</v>
      </c>
      <c r="Y171" s="3">
        <f t="shared" si="96"/>
        <v>0</v>
      </c>
      <c r="Z171" s="3">
        <f t="shared" si="94"/>
        <v>0</v>
      </c>
      <c r="AA171" s="4">
        <f t="shared" ref="AA171:AA196" si="130">F171+K171+P171+U171</f>
        <v>0</v>
      </c>
    </row>
    <row r="172" spans="1:27" x14ac:dyDescent="0.25">
      <c r="A172" s="275"/>
      <c r="B172" s="51"/>
      <c r="C172" s="59"/>
      <c r="D172" s="14"/>
      <c r="E172" s="14"/>
      <c r="F172" s="7"/>
      <c r="G172" s="7"/>
      <c r="H172" s="7"/>
      <c r="I172" s="7"/>
      <c r="J172" s="7">
        <f t="shared" si="126"/>
        <v>0</v>
      </c>
      <c r="K172" s="7"/>
      <c r="L172" s="7"/>
      <c r="M172" s="7"/>
      <c r="N172" s="7"/>
      <c r="O172" s="7">
        <f t="shared" si="93"/>
        <v>0</v>
      </c>
      <c r="P172" s="7"/>
      <c r="Q172" s="7"/>
      <c r="R172" s="7"/>
      <c r="S172" s="7"/>
      <c r="T172" s="7">
        <f t="shared" si="95"/>
        <v>0</v>
      </c>
      <c r="U172" s="6"/>
      <c r="V172" s="6"/>
      <c r="W172" s="6"/>
      <c r="X172" s="6"/>
      <c r="Y172" s="6">
        <f t="shared" si="96"/>
        <v>0</v>
      </c>
      <c r="Z172" s="6">
        <f t="shared" si="94"/>
        <v>0</v>
      </c>
      <c r="AA172" s="9">
        <f t="shared" si="130"/>
        <v>0</v>
      </c>
    </row>
    <row r="173" spans="1:27" ht="60" x14ac:dyDescent="0.25">
      <c r="A173" s="275"/>
      <c r="B173" s="33" t="s">
        <v>275</v>
      </c>
      <c r="C173" s="59"/>
      <c r="D173" s="14"/>
      <c r="E173" s="14"/>
      <c r="F173" s="7"/>
      <c r="G173" s="7"/>
      <c r="H173" s="7"/>
      <c r="I173" s="7"/>
      <c r="J173" s="7">
        <f t="shared" si="126"/>
        <v>0</v>
      </c>
      <c r="K173" s="7"/>
      <c r="L173" s="7"/>
      <c r="M173" s="7"/>
      <c r="N173" s="7"/>
      <c r="O173" s="7">
        <f t="shared" si="93"/>
        <v>0</v>
      </c>
      <c r="P173" s="7"/>
      <c r="Q173" s="7"/>
      <c r="R173" s="7"/>
      <c r="S173" s="7"/>
      <c r="T173" s="7">
        <f t="shared" si="95"/>
        <v>0</v>
      </c>
      <c r="U173" s="6"/>
      <c r="V173" s="6"/>
      <c r="W173" s="6"/>
      <c r="X173" s="6"/>
      <c r="Y173" s="6">
        <f t="shared" si="96"/>
        <v>0</v>
      </c>
      <c r="Z173" s="6">
        <f t="shared" si="94"/>
        <v>0</v>
      </c>
      <c r="AA173" s="9">
        <f t="shared" si="130"/>
        <v>0</v>
      </c>
    </row>
    <row r="174" spans="1:27" ht="60" x14ac:dyDescent="0.25">
      <c r="A174" s="275"/>
      <c r="B174" s="33" t="s">
        <v>276</v>
      </c>
      <c r="C174" s="59"/>
      <c r="D174" s="14"/>
      <c r="E174" s="14"/>
      <c r="F174" s="7"/>
      <c r="G174" s="7"/>
      <c r="H174" s="7"/>
      <c r="I174" s="7"/>
      <c r="J174" s="7">
        <f t="shared" si="126"/>
        <v>0</v>
      </c>
      <c r="K174" s="7"/>
      <c r="L174" s="7"/>
      <c r="M174" s="7"/>
      <c r="N174" s="7"/>
      <c r="O174" s="7">
        <f t="shared" si="93"/>
        <v>0</v>
      </c>
      <c r="P174" s="7"/>
      <c r="Q174" s="7"/>
      <c r="R174" s="7"/>
      <c r="S174" s="7"/>
      <c r="T174" s="7">
        <f t="shared" si="95"/>
        <v>0</v>
      </c>
      <c r="U174" s="6"/>
      <c r="V174" s="6"/>
      <c r="W174" s="6"/>
      <c r="X174" s="6"/>
      <c r="Y174" s="6">
        <f t="shared" si="96"/>
        <v>0</v>
      </c>
      <c r="Z174" s="6">
        <f t="shared" si="94"/>
        <v>0</v>
      </c>
      <c r="AA174" s="9">
        <f t="shared" si="130"/>
        <v>0</v>
      </c>
    </row>
    <row r="175" spans="1:27" ht="39.75" customHeight="1" x14ac:dyDescent="0.25">
      <c r="A175" s="275"/>
      <c r="B175" s="33" t="s">
        <v>277</v>
      </c>
      <c r="C175" s="59"/>
      <c r="D175" s="14"/>
      <c r="E175" s="14"/>
      <c r="F175" s="7"/>
      <c r="G175" s="7"/>
      <c r="H175" s="7"/>
      <c r="I175" s="7"/>
      <c r="J175" s="7">
        <f t="shared" si="126"/>
        <v>0</v>
      </c>
      <c r="K175" s="7"/>
      <c r="L175" s="7"/>
      <c r="M175" s="7"/>
      <c r="N175" s="7"/>
      <c r="O175" s="7">
        <f t="shared" si="93"/>
        <v>0</v>
      </c>
      <c r="P175" s="7"/>
      <c r="Q175" s="7"/>
      <c r="R175" s="7"/>
      <c r="S175" s="7"/>
      <c r="T175" s="7">
        <f t="shared" si="95"/>
        <v>0</v>
      </c>
      <c r="U175" s="6"/>
      <c r="V175" s="6"/>
      <c r="W175" s="6"/>
      <c r="X175" s="6"/>
      <c r="Y175" s="6">
        <f t="shared" si="96"/>
        <v>0</v>
      </c>
      <c r="Z175" s="6">
        <f t="shared" si="94"/>
        <v>0</v>
      </c>
      <c r="AA175" s="9">
        <f t="shared" si="130"/>
        <v>0</v>
      </c>
    </row>
    <row r="176" spans="1:27" ht="55.5" customHeight="1" x14ac:dyDescent="0.25">
      <c r="A176" s="275"/>
      <c r="B176" s="33" t="s">
        <v>278</v>
      </c>
      <c r="C176" s="59"/>
      <c r="D176" s="14"/>
      <c r="E176" s="14"/>
      <c r="F176" s="7"/>
      <c r="G176" s="7"/>
      <c r="H176" s="7"/>
      <c r="I176" s="7"/>
      <c r="J176" s="7">
        <f t="shared" si="126"/>
        <v>0</v>
      </c>
      <c r="K176" s="7"/>
      <c r="L176" s="7"/>
      <c r="M176" s="7"/>
      <c r="N176" s="7"/>
      <c r="O176" s="7">
        <f t="shared" si="93"/>
        <v>0</v>
      </c>
      <c r="P176" s="7"/>
      <c r="Q176" s="7"/>
      <c r="R176" s="7"/>
      <c r="S176" s="7"/>
      <c r="T176" s="7">
        <f t="shared" si="95"/>
        <v>0</v>
      </c>
      <c r="U176" s="6"/>
      <c r="V176" s="6"/>
      <c r="W176" s="6"/>
      <c r="X176" s="6"/>
      <c r="Y176" s="6">
        <f t="shared" si="96"/>
        <v>0</v>
      </c>
      <c r="Z176" s="6">
        <f t="shared" si="94"/>
        <v>0</v>
      </c>
      <c r="AA176" s="9">
        <f t="shared" si="130"/>
        <v>0</v>
      </c>
    </row>
    <row r="177" spans="1:27" ht="30" x14ac:dyDescent="0.25">
      <c r="A177" s="275"/>
      <c r="B177" s="33" t="s">
        <v>279</v>
      </c>
      <c r="C177" s="59"/>
      <c r="D177" s="14"/>
      <c r="E177" s="14"/>
      <c r="F177" s="7"/>
      <c r="G177" s="7"/>
      <c r="H177" s="7"/>
      <c r="I177" s="7"/>
      <c r="J177" s="7">
        <f t="shared" si="126"/>
        <v>0</v>
      </c>
      <c r="K177" s="7"/>
      <c r="L177" s="7"/>
      <c r="M177" s="7"/>
      <c r="N177" s="7"/>
      <c r="O177" s="7">
        <f t="shared" si="93"/>
        <v>0</v>
      </c>
      <c r="P177" s="7"/>
      <c r="Q177" s="7"/>
      <c r="R177" s="7"/>
      <c r="S177" s="7"/>
      <c r="T177" s="7">
        <f t="shared" si="95"/>
        <v>0</v>
      </c>
      <c r="U177" s="6"/>
      <c r="V177" s="6"/>
      <c r="W177" s="6"/>
      <c r="X177" s="6"/>
      <c r="Y177" s="6">
        <f t="shared" si="96"/>
        <v>0</v>
      </c>
      <c r="Z177" s="6">
        <f t="shared" si="94"/>
        <v>0</v>
      </c>
      <c r="AA177" s="9">
        <f t="shared" si="130"/>
        <v>0</v>
      </c>
    </row>
    <row r="178" spans="1:27" ht="38.25" customHeight="1" x14ac:dyDescent="0.25">
      <c r="A178" s="275" t="s">
        <v>203</v>
      </c>
      <c r="B178" s="21"/>
      <c r="C178" s="56"/>
      <c r="D178" s="2"/>
      <c r="E178" s="2"/>
      <c r="F178" s="3">
        <f>SUM(F179:F181)</f>
        <v>0</v>
      </c>
      <c r="G178" s="3">
        <f t="shared" ref="G178:I178" si="131">SUM(G179:G181)</f>
        <v>0</v>
      </c>
      <c r="H178" s="3">
        <f t="shared" si="131"/>
        <v>0</v>
      </c>
      <c r="I178" s="3">
        <f t="shared" si="131"/>
        <v>0</v>
      </c>
      <c r="J178" s="3">
        <f t="shared" si="126"/>
        <v>0</v>
      </c>
      <c r="K178" s="3">
        <f>SUM(K179:K181)</f>
        <v>0</v>
      </c>
      <c r="L178" s="3">
        <f t="shared" ref="L178:N178" si="132">SUM(L179:L181)</f>
        <v>0</v>
      </c>
      <c r="M178" s="3">
        <f t="shared" si="132"/>
        <v>0</v>
      </c>
      <c r="N178" s="3">
        <f t="shared" si="132"/>
        <v>0</v>
      </c>
      <c r="O178" s="3">
        <f t="shared" si="93"/>
        <v>0</v>
      </c>
      <c r="P178" s="3">
        <f>SUM(P179:P181)</f>
        <v>0</v>
      </c>
      <c r="Q178" s="3">
        <f t="shared" ref="Q178:S178" si="133">SUM(Q179:Q181)</f>
        <v>0</v>
      </c>
      <c r="R178" s="3">
        <f t="shared" si="133"/>
        <v>0</v>
      </c>
      <c r="S178" s="3">
        <f t="shared" si="133"/>
        <v>0</v>
      </c>
      <c r="T178" s="3">
        <f t="shared" si="95"/>
        <v>0</v>
      </c>
      <c r="U178" s="3">
        <f>SUM(U179:U181)</f>
        <v>0</v>
      </c>
      <c r="V178" s="3">
        <f t="shared" ref="V178:X178" si="134">SUM(V179:V181)</f>
        <v>0</v>
      </c>
      <c r="W178" s="3">
        <f t="shared" si="134"/>
        <v>0</v>
      </c>
      <c r="X178" s="3">
        <f t="shared" si="134"/>
        <v>0</v>
      </c>
      <c r="Y178" s="3">
        <f t="shared" si="96"/>
        <v>0</v>
      </c>
      <c r="Z178" s="3">
        <f t="shared" si="94"/>
        <v>0</v>
      </c>
      <c r="AA178" s="4">
        <f t="shared" si="130"/>
        <v>0</v>
      </c>
    </row>
    <row r="179" spans="1:27" ht="75" x14ac:dyDescent="0.25">
      <c r="A179" s="275"/>
      <c r="B179" s="33" t="s">
        <v>280</v>
      </c>
      <c r="C179" s="59"/>
      <c r="D179" s="14"/>
      <c r="E179" s="14"/>
      <c r="F179" s="7"/>
      <c r="G179" s="7"/>
      <c r="H179" s="7"/>
      <c r="I179" s="7"/>
      <c r="J179" s="7">
        <f t="shared" si="126"/>
        <v>0</v>
      </c>
      <c r="K179" s="7"/>
      <c r="L179" s="7"/>
      <c r="M179" s="7"/>
      <c r="N179" s="7"/>
      <c r="O179" s="7">
        <f t="shared" si="93"/>
        <v>0</v>
      </c>
      <c r="P179" s="7"/>
      <c r="Q179" s="7"/>
      <c r="R179" s="7"/>
      <c r="S179" s="7"/>
      <c r="T179" s="7">
        <f t="shared" si="95"/>
        <v>0</v>
      </c>
      <c r="U179" s="6"/>
      <c r="V179" s="6"/>
      <c r="W179" s="6"/>
      <c r="X179" s="6"/>
      <c r="Y179" s="6">
        <f t="shared" si="96"/>
        <v>0</v>
      </c>
      <c r="Z179" s="6">
        <f t="shared" si="94"/>
        <v>0</v>
      </c>
      <c r="AA179" s="9">
        <f t="shared" si="130"/>
        <v>0</v>
      </c>
    </row>
    <row r="180" spans="1:27" ht="35.25" customHeight="1" x14ac:dyDescent="0.25">
      <c r="A180" s="275"/>
      <c r="B180" s="33" t="s">
        <v>281</v>
      </c>
      <c r="C180" s="59"/>
      <c r="D180" s="14"/>
      <c r="E180" s="14"/>
      <c r="F180" s="7"/>
      <c r="G180" s="7"/>
      <c r="H180" s="7"/>
      <c r="I180" s="7"/>
      <c r="J180" s="7">
        <f t="shared" si="126"/>
        <v>0</v>
      </c>
      <c r="K180" s="7"/>
      <c r="L180" s="7"/>
      <c r="M180" s="7"/>
      <c r="N180" s="7"/>
      <c r="O180" s="7">
        <f t="shared" si="93"/>
        <v>0</v>
      </c>
      <c r="P180" s="7"/>
      <c r="Q180" s="7"/>
      <c r="R180" s="7"/>
      <c r="S180" s="7"/>
      <c r="T180" s="7">
        <f t="shared" si="95"/>
        <v>0</v>
      </c>
      <c r="U180" s="6"/>
      <c r="V180" s="6"/>
      <c r="W180" s="6"/>
      <c r="X180" s="6"/>
      <c r="Y180" s="6">
        <f t="shared" si="96"/>
        <v>0</v>
      </c>
      <c r="Z180" s="6">
        <f t="shared" si="94"/>
        <v>0</v>
      </c>
      <c r="AA180" s="9">
        <f t="shared" si="130"/>
        <v>0</v>
      </c>
    </row>
    <row r="181" spans="1:27" ht="45" x14ac:dyDescent="0.25">
      <c r="A181" s="275"/>
      <c r="B181" s="33" t="s">
        <v>282</v>
      </c>
      <c r="C181" s="59"/>
      <c r="D181" s="14"/>
      <c r="E181" s="14"/>
      <c r="F181" s="7"/>
      <c r="G181" s="7"/>
      <c r="H181" s="7"/>
      <c r="I181" s="7"/>
      <c r="J181" s="7">
        <f t="shared" si="126"/>
        <v>0</v>
      </c>
      <c r="K181" s="7"/>
      <c r="L181" s="7"/>
      <c r="M181" s="7"/>
      <c r="N181" s="7"/>
      <c r="O181" s="7">
        <f t="shared" si="93"/>
        <v>0</v>
      </c>
      <c r="P181" s="7"/>
      <c r="Q181" s="7"/>
      <c r="R181" s="7"/>
      <c r="S181" s="7"/>
      <c r="T181" s="7">
        <f t="shared" si="95"/>
        <v>0</v>
      </c>
      <c r="U181" s="6"/>
      <c r="V181" s="6"/>
      <c r="W181" s="6"/>
      <c r="X181" s="6"/>
      <c r="Y181" s="6">
        <f t="shared" si="96"/>
        <v>0</v>
      </c>
      <c r="Z181" s="6">
        <f t="shared" si="94"/>
        <v>0</v>
      </c>
      <c r="AA181" s="9">
        <f t="shared" si="130"/>
        <v>0</v>
      </c>
    </row>
    <row r="182" spans="1:27" ht="30" customHeight="1" x14ac:dyDescent="0.25">
      <c r="A182" s="276" t="s">
        <v>241</v>
      </c>
      <c r="B182" s="21"/>
      <c r="C182" s="65"/>
      <c r="D182" s="3"/>
      <c r="E182" s="3"/>
      <c r="F182" s="3">
        <f>SUM(F183:F188)</f>
        <v>0</v>
      </c>
      <c r="G182" s="3">
        <f t="shared" ref="G182:I182" si="135">SUM(G183:G188)</f>
        <v>0</v>
      </c>
      <c r="H182" s="3">
        <f t="shared" si="135"/>
        <v>0</v>
      </c>
      <c r="I182" s="3">
        <f t="shared" si="135"/>
        <v>0</v>
      </c>
      <c r="J182" s="3">
        <f t="shared" si="126"/>
        <v>0</v>
      </c>
      <c r="K182" s="3">
        <f>SUM(K183:K188)</f>
        <v>0</v>
      </c>
      <c r="L182" s="3">
        <f t="shared" ref="L182:N182" si="136">SUM(L183:L188)</f>
        <v>0</v>
      </c>
      <c r="M182" s="3">
        <f t="shared" si="136"/>
        <v>0</v>
      </c>
      <c r="N182" s="3">
        <f t="shared" si="136"/>
        <v>0</v>
      </c>
      <c r="O182" s="3">
        <f t="shared" ref="O182:O196" si="137">SUM(K182:N182)</f>
        <v>0</v>
      </c>
      <c r="P182" s="3">
        <f>SUM(P183:P188)</f>
        <v>0</v>
      </c>
      <c r="Q182" s="3">
        <f t="shared" ref="Q182:S182" si="138">SUM(Q183:Q188)</f>
        <v>0</v>
      </c>
      <c r="R182" s="3">
        <f t="shared" si="138"/>
        <v>0</v>
      </c>
      <c r="S182" s="3">
        <f t="shared" si="138"/>
        <v>0</v>
      </c>
      <c r="T182" s="3">
        <f t="shared" si="95"/>
        <v>0</v>
      </c>
      <c r="U182" s="3">
        <f>SUM(U183:U188)</f>
        <v>0</v>
      </c>
      <c r="V182" s="3">
        <f t="shared" ref="V182:X182" si="139">SUM(V183:V188)</f>
        <v>0</v>
      </c>
      <c r="W182" s="3">
        <f t="shared" si="139"/>
        <v>0</v>
      </c>
      <c r="X182" s="3">
        <f t="shared" si="139"/>
        <v>0</v>
      </c>
      <c r="Y182" s="3">
        <f t="shared" si="96"/>
        <v>0</v>
      </c>
      <c r="Z182" s="3">
        <f t="shared" si="94"/>
        <v>0</v>
      </c>
      <c r="AA182" s="4">
        <f t="shared" si="130"/>
        <v>0</v>
      </c>
    </row>
    <row r="183" spans="1:27" ht="60" x14ac:dyDescent="0.25">
      <c r="A183" s="276"/>
      <c r="B183" s="33" t="s">
        <v>283</v>
      </c>
      <c r="C183" s="59"/>
      <c r="D183" s="14"/>
      <c r="E183" s="14"/>
      <c r="F183" s="7"/>
      <c r="G183" s="7"/>
      <c r="H183" s="7"/>
      <c r="I183" s="7"/>
      <c r="J183" s="7">
        <f t="shared" si="126"/>
        <v>0</v>
      </c>
      <c r="K183" s="7"/>
      <c r="L183" s="7"/>
      <c r="M183" s="7"/>
      <c r="N183" s="7"/>
      <c r="O183" s="7">
        <f t="shared" si="137"/>
        <v>0</v>
      </c>
      <c r="P183" s="7"/>
      <c r="Q183" s="7"/>
      <c r="R183" s="7"/>
      <c r="S183" s="7"/>
      <c r="T183" s="7">
        <f t="shared" si="95"/>
        <v>0</v>
      </c>
      <c r="U183" s="6"/>
      <c r="V183" s="6"/>
      <c r="W183" s="6"/>
      <c r="X183" s="6"/>
      <c r="Y183" s="6">
        <f t="shared" si="96"/>
        <v>0</v>
      </c>
      <c r="Z183" s="6">
        <f t="shared" ref="Z183:Z196" si="140">J183+O183+T183+Y183</f>
        <v>0</v>
      </c>
      <c r="AA183" s="9">
        <f t="shared" si="130"/>
        <v>0</v>
      </c>
    </row>
    <row r="184" spans="1:27" ht="30" x14ac:dyDescent="0.25">
      <c r="A184" s="276"/>
      <c r="B184" s="33" t="s">
        <v>284</v>
      </c>
      <c r="C184" s="59"/>
      <c r="D184" s="14"/>
      <c r="E184" s="14"/>
      <c r="F184" s="7"/>
      <c r="G184" s="7"/>
      <c r="H184" s="7"/>
      <c r="I184" s="7"/>
      <c r="J184" s="7">
        <f t="shared" si="126"/>
        <v>0</v>
      </c>
      <c r="K184" s="7"/>
      <c r="L184" s="7"/>
      <c r="M184" s="7"/>
      <c r="N184" s="7"/>
      <c r="O184" s="7">
        <f t="shared" si="137"/>
        <v>0</v>
      </c>
      <c r="P184" s="7"/>
      <c r="Q184" s="7"/>
      <c r="R184" s="7"/>
      <c r="S184" s="7"/>
      <c r="T184" s="7">
        <f t="shared" si="95"/>
        <v>0</v>
      </c>
      <c r="U184" s="6"/>
      <c r="V184" s="6"/>
      <c r="W184" s="6"/>
      <c r="X184" s="6"/>
      <c r="Y184" s="6">
        <f t="shared" si="96"/>
        <v>0</v>
      </c>
      <c r="Z184" s="6">
        <f t="shared" si="140"/>
        <v>0</v>
      </c>
      <c r="AA184" s="9">
        <f t="shared" si="130"/>
        <v>0</v>
      </c>
    </row>
    <row r="185" spans="1:27" ht="34.5" customHeight="1" x14ac:dyDescent="0.25">
      <c r="A185" s="276"/>
      <c r="B185" s="33" t="s">
        <v>285</v>
      </c>
      <c r="C185" s="59"/>
      <c r="D185" s="14"/>
      <c r="E185" s="14"/>
      <c r="F185" s="7"/>
      <c r="G185" s="7"/>
      <c r="H185" s="7"/>
      <c r="I185" s="7"/>
      <c r="J185" s="7">
        <f t="shared" si="126"/>
        <v>0</v>
      </c>
      <c r="K185" s="7"/>
      <c r="L185" s="7"/>
      <c r="M185" s="7"/>
      <c r="N185" s="7"/>
      <c r="O185" s="7">
        <f t="shared" si="137"/>
        <v>0</v>
      </c>
      <c r="P185" s="7"/>
      <c r="Q185" s="7"/>
      <c r="R185" s="7"/>
      <c r="S185" s="7"/>
      <c r="T185" s="7">
        <f t="shared" ref="T185:T196" si="141">SUM(P185:S185)</f>
        <v>0</v>
      </c>
      <c r="U185" s="6"/>
      <c r="V185" s="6"/>
      <c r="W185" s="6"/>
      <c r="X185" s="6"/>
      <c r="Y185" s="6">
        <f t="shared" ref="Y185:Y196" si="142">U185+V185+W185+X185</f>
        <v>0</v>
      </c>
      <c r="Z185" s="6">
        <f t="shared" si="140"/>
        <v>0</v>
      </c>
      <c r="AA185" s="9">
        <f t="shared" si="130"/>
        <v>0</v>
      </c>
    </row>
    <row r="186" spans="1:27" ht="75" x14ac:dyDescent="0.25">
      <c r="A186" s="276"/>
      <c r="B186" s="33" t="s">
        <v>277</v>
      </c>
      <c r="C186" s="59"/>
      <c r="D186" s="14"/>
      <c r="E186" s="14"/>
      <c r="F186" s="7"/>
      <c r="G186" s="7"/>
      <c r="H186" s="7"/>
      <c r="I186" s="7"/>
      <c r="J186" s="7">
        <f t="shared" si="126"/>
        <v>0</v>
      </c>
      <c r="K186" s="7"/>
      <c r="L186" s="7"/>
      <c r="M186" s="7"/>
      <c r="N186" s="7"/>
      <c r="O186" s="7">
        <f t="shared" si="137"/>
        <v>0</v>
      </c>
      <c r="P186" s="7"/>
      <c r="Q186" s="7"/>
      <c r="R186" s="7"/>
      <c r="S186" s="7"/>
      <c r="T186" s="7">
        <f t="shared" si="141"/>
        <v>0</v>
      </c>
      <c r="U186" s="6"/>
      <c r="V186" s="6"/>
      <c r="W186" s="6"/>
      <c r="X186" s="6"/>
      <c r="Y186" s="6">
        <f t="shared" si="142"/>
        <v>0</v>
      </c>
      <c r="Z186" s="6">
        <f t="shared" si="140"/>
        <v>0</v>
      </c>
      <c r="AA186" s="9">
        <f t="shared" si="130"/>
        <v>0</v>
      </c>
    </row>
    <row r="187" spans="1:27" ht="32.25" customHeight="1" x14ac:dyDescent="0.25">
      <c r="A187" s="276"/>
      <c r="B187" s="33" t="s">
        <v>286</v>
      </c>
      <c r="C187" s="59"/>
      <c r="D187" s="14"/>
      <c r="E187" s="14"/>
      <c r="F187" s="7"/>
      <c r="G187" s="7"/>
      <c r="H187" s="7"/>
      <c r="I187" s="7"/>
      <c r="J187" s="7">
        <f t="shared" si="126"/>
        <v>0</v>
      </c>
      <c r="K187" s="7"/>
      <c r="L187" s="7"/>
      <c r="M187" s="7"/>
      <c r="N187" s="7"/>
      <c r="O187" s="7">
        <f t="shared" si="137"/>
        <v>0</v>
      </c>
      <c r="P187" s="7"/>
      <c r="Q187" s="7"/>
      <c r="R187" s="7"/>
      <c r="S187" s="7"/>
      <c r="T187" s="7">
        <f t="shared" si="141"/>
        <v>0</v>
      </c>
      <c r="U187" s="6"/>
      <c r="V187" s="6"/>
      <c r="W187" s="6"/>
      <c r="X187" s="6"/>
      <c r="Y187" s="6">
        <f t="shared" si="142"/>
        <v>0</v>
      </c>
      <c r="Z187" s="6">
        <f t="shared" si="140"/>
        <v>0</v>
      </c>
      <c r="AA187" s="9">
        <f t="shared" si="130"/>
        <v>0</v>
      </c>
    </row>
    <row r="188" spans="1:27" ht="30" x14ac:dyDescent="0.25">
      <c r="A188" s="276"/>
      <c r="B188" s="33" t="s">
        <v>287</v>
      </c>
      <c r="C188" s="59"/>
      <c r="D188" s="14"/>
      <c r="E188" s="14"/>
      <c r="F188" s="7"/>
      <c r="G188" s="7"/>
      <c r="H188" s="7"/>
      <c r="I188" s="7"/>
      <c r="J188" s="7">
        <f t="shared" si="126"/>
        <v>0</v>
      </c>
      <c r="K188" s="7"/>
      <c r="L188" s="7"/>
      <c r="M188" s="7"/>
      <c r="N188" s="7"/>
      <c r="O188" s="7">
        <f t="shared" si="137"/>
        <v>0</v>
      </c>
      <c r="P188" s="7"/>
      <c r="Q188" s="7"/>
      <c r="R188" s="7"/>
      <c r="S188" s="7"/>
      <c r="T188" s="7">
        <f t="shared" si="141"/>
        <v>0</v>
      </c>
      <c r="U188" s="6"/>
      <c r="V188" s="6"/>
      <c r="W188" s="6"/>
      <c r="X188" s="6"/>
      <c r="Y188" s="6">
        <f t="shared" si="142"/>
        <v>0</v>
      </c>
      <c r="Z188" s="6">
        <f t="shared" si="140"/>
        <v>0</v>
      </c>
      <c r="AA188" s="9">
        <f t="shared" si="130"/>
        <v>0</v>
      </c>
    </row>
    <row r="189" spans="1:27" ht="51" customHeight="1" x14ac:dyDescent="0.25">
      <c r="A189" s="275" t="s">
        <v>226</v>
      </c>
      <c r="B189" s="21"/>
      <c r="C189" s="56"/>
      <c r="D189" s="2"/>
      <c r="E189" s="2"/>
      <c r="F189" s="3">
        <f>SUM(F190:F196)</f>
        <v>0</v>
      </c>
      <c r="G189" s="3">
        <f t="shared" ref="G189:I189" si="143">SUM(G190:G196)</f>
        <v>0</v>
      </c>
      <c r="H189" s="3">
        <f t="shared" si="143"/>
        <v>0</v>
      </c>
      <c r="I189" s="3">
        <f t="shared" si="143"/>
        <v>0</v>
      </c>
      <c r="J189" s="3">
        <f t="shared" si="126"/>
        <v>0</v>
      </c>
      <c r="K189" s="3">
        <f>SUM(K190:K196)</f>
        <v>0</v>
      </c>
      <c r="L189" s="3">
        <f t="shared" ref="L189:N189" si="144">SUM(L190:L196)</f>
        <v>0</v>
      </c>
      <c r="M189" s="3">
        <f t="shared" si="144"/>
        <v>0</v>
      </c>
      <c r="N189" s="3">
        <f t="shared" si="144"/>
        <v>0</v>
      </c>
      <c r="O189" s="3">
        <f t="shared" si="137"/>
        <v>0</v>
      </c>
      <c r="P189" s="3">
        <f>SUM(P190:P196)</f>
        <v>0</v>
      </c>
      <c r="Q189" s="3">
        <f t="shared" ref="Q189:S189" si="145">SUM(Q190:Q196)</f>
        <v>0</v>
      </c>
      <c r="R189" s="3">
        <f t="shared" si="145"/>
        <v>0</v>
      </c>
      <c r="S189" s="3">
        <f t="shared" si="145"/>
        <v>0</v>
      </c>
      <c r="T189" s="3">
        <f t="shared" si="141"/>
        <v>0</v>
      </c>
      <c r="U189" s="3">
        <f>SUM(U190:U196)</f>
        <v>0</v>
      </c>
      <c r="V189" s="3">
        <f t="shared" ref="V189:X189" si="146">SUM(V190:V196)</f>
        <v>0</v>
      </c>
      <c r="W189" s="3">
        <f t="shared" si="146"/>
        <v>0</v>
      </c>
      <c r="X189" s="3">
        <f t="shared" si="146"/>
        <v>0</v>
      </c>
      <c r="Y189" s="3">
        <f t="shared" si="142"/>
        <v>0</v>
      </c>
      <c r="Z189" s="3">
        <f t="shared" si="140"/>
        <v>0</v>
      </c>
      <c r="AA189" s="4">
        <f t="shared" si="130"/>
        <v>0</v>
      </c>
    </row>
    <row r="190" spans="1:27" ht="34.5" customHeight="1" x14ac:dyDescent="0.25">
      <c r="A190" s="275"/>
      <c r="B190" s="51" t="s">
        <v>185</v>
      </c>
      <c r="C190" s="59"/>
      <c r="D190" s="14"/>
      <c r="E190" s="14"/>
      <c r="F190" s="7"/>
      <c r="G190" s="7"/>
      <c r="H190" s="7"/>
      <c r="I190" s="7"/>
      <c r="J190" s="7">
        <f t="shared" si="126"/>
        <v>0</v>
      </c>
      <c r="K190" s="7"/>
      <c r="L190" s="7"/>
      <c r="M190" s="7"/>
      <c r="N190" s="7"/>
      <c r="O190" s="7">
        <f t="shared" si="137"/>
        <v>0</v>
      </c>
      <c r="P190" s="7"/>
      <c r="Q190" s="7"/>
      <c r="R190" s="7"/>
      <c r="S190" s="7"/>
      <c r="T190" s="7">
        <f t="shared" si="141"/>
        <v>0</v>
      </c>
      <c r="U190" s="6"/>
      <c r="V190" s="6"/>
      <c r="W190" s="6"/>
      <c r="X190" s="6"/>
      <c r="Y190" s="6">
        <f t="shared" si="142"/>
        <v>0</v>
      </c>
      <c r="Z190" s="6">
        <f t="shared" si="140"/>
        <v>0</v>
      </c>
      <c r="AA190" s="9">
        <f t="shared" si="130"/>
        <v>0</v>
      </c>
    </row>
    <row r="191" spans="1:27" ht="30" x14ac:dyDescent="0.25">
      <c r="A191" s="275"/>
      <c r="B191" s="51" t="s">
        <v>180</v>
      </c>
      <c r="C191" s="59"/>
      <c r="D191" s="14"/>
      <c r="E191" s="14"/>
      <c r="F191" s="7"/>
      <c r="G191" s="7"/>
      <c r="H191" s="7"/>
      <c r="I191" s="7"/>
      <c r="J191" s="7">
        <f t="shared" si="126"/>
        <v>0</v>
      </c>
      <c r="K191" s="7"/>
      <c r="L191" s="7"/>
      <c r="M191" s="7"/>
      <c r="N191" s="7"/>
      <c r="O191" s="7">
        <f t="shared" si="137"/>
        <v>0</v>
      </c>
      <c r="P191" s="7"/>
      <c r="Q191" s="7"/>
      <c r="R191" s="7"/>
      <c r="S191" s="7"/>
      <c r="T191" s="7">
        <f t="shared" si="141"/>
        <v>0</v>
      </c>
      <c r="U191" s="6"/>
      <c r="V191" s="6"/>
      <c r="W191" s="6"/>
      <c r="X191" s="6"/>
      <c r="Y191" s="6">
        <f t="shared" si="142"/>
        <v>0</v>
      </c>
      <c r="Z191" s="6">
        <f t="shared" si="140"/>
        <v>0</v>
      </c>
      <c r="AA191" s="9">
        <f t="shared" si="130"/>
        <v>0</v>
      </c>
    </row>
    <row r="192" spans="1:27" ht="45" x14ac:dyDescent="0.25">
      <c r="A192" s="275"/>
      <c r="B192" s="51" t="s">
        <v>181</v>
      </c>
      <c r="C192" s="59"/>
      <c r="D192" s="14"/>
      <c r="E192" s="14"/>
      <c r="F192" s="7"/>
      <c r="G192" s="7"/>
      <c r="H192" s="7"/>
      <c r="I192" s="7"/>
      <c r="J192" s="7">
        <f t="shared" si="126"/>
        <v>0</v>
      </c>
      <c r="K192" s="7"/>
      <c r="L192" s="7"/>
      <c r="M192" s="7"/>
      <c r="N192" s="7"/>
      <c r="O192" s="7">
        <f t="shared" si="137"/>
        <v>0</v>
      </c>
      <c r="P192" s="7"/>
      <c r="Q192" s="7"/>
      <c r="R192" s="7"/>
      <c r="S192" s="7"/>
      <c r="T192" s="7">
        <f t="shared" si="141"/>
        <v>0</v>
      </c>
      <c r="U192" s="6"/>
      <c r="V192" s="6"/>
      <c r="W192" s="6"/>
      <c r="X192" s="6"/>
      <c r="Y192" s="6">
        <f t="shared" si="142"/>
        <v>0</v>
      </c>
      <c r="Z192" s="6">
        <f t="shared" si="140"/>
        <v>0</v>
      </c>
      <c r="AA192" s="9">
        <f t="shared" si="130"/>
        <v>0</v>
      </c>
    </row>
    <row r="193" spans="1:116" ht="30" x14ac:dyDescent="0.25">
      <c r="A193" s="275"/>
      <c r="B193" s="51" t="s">
        <v>182</v>
      </c>
      <c r="C193" s="59"/>
      <c r="D193" s="14"/>
      <c r="E193" s="14"/>
      <c r="F193" s="7"/>
      <c r="G193" s="7"/>
      <c r="H193" s="7"/>
      <c r="I193" s="7"/>
      <c r="J193" s="7">
        <f t="shared" si="126"/>
        <v>0</v>
      </c>
      <c r="K193" s="7"/>
      <c r="L193" s="7"/>
      <c r="M193" s="7"/>
      <c r="N193" s="7"/>
      <c r="O193" s="7">
        <f t="shared" si="137"/>
        <v>0</v>
      </c>
      <c r="P193" s="7"/>
      <c r="Q193" s="7"/>
      <c r="R193" s="7"/>
      <c r="S193" s="7"/>
      <c r="T193" s="7">
        <f t="shared" si="141"/>
        <v>0</v>
      </c>
      <c r="U193" s="6"/>
      <c r="V193" s="6"/>
      <c r="W193" s="6"/>
      <c r="X193" s="6"/>
      <c r="Y193" s="6">
        <f t="shared" si="142"/>
        <v>0</v>
      </c>
      <c r="Z193" s="6">
        <f t="shared" si="140"/>
        <v>0</v>
      </c>
      <c r="AA193" s="9">
        <f t="shared" si="130"/>
        <v>0</v>
      </c>
    </row>
    <row r="194" spans="1:116" ht="45" x14ac:dyDescent="0.25">
      <c r="A194" s="275"/>
      <c r="B194" s="51" t="s">
        <v>183</v>
      </c>
      <c r="C194" s="59"/>
      <c r="D194" s="14"/>
      <c r="E194" s="14"/>
      <c r="F194" s="7"/>
      <c r="G194" s="7"/>
      <c r="H194" s="7"/>
      <c r="I194" s="7"/>
      <c r="J194" s="7">
        <f t="shared" si="126"/>
        <v>0</v>
      </c>
      <c r="K194" s="7"/>
      <c r="L194" s="7"/>
      <c r="M194" s="7"/>
      <c r="N194" s="7"/>
      <c r="O194" s="7">
        <f t="shared" si="137"/>
        <v>0</v>
      </c>
      <c r="P194" s="7"/>
      <c r="Q194" s="7"/>
      <c r="R194" s="7"/>
      <c r="S194" s="7"/>
      <c r="T194" s="7">
        <f t="shared" si="141"/>
        <v>0</v>
      </c>
      <c r="U194" s="6"/>
      <c r="V194" s="6"/>
      <c r="W194" s="6"/>
      <c r="X194" s="6"/>
      <c r="Y194" s="6">
        <f t="shared" si="142"/>
        <v>0</v>
      </c>
      <c r="Z194" s="6">
        <f t="shared" si="140"/>
        <v>0</v>
      </c>
      <c r="AA194" s="9">
        <f t="shared" si="130"/>
        <v>0</v>
      </c>
    </row>
    <row r="195" spans="1:116" ht="45" x14ac:dyDescent="0.25">
      <c r="A195" s="275"/>
      <c r="B195" s="51" t="s">
        <v>184</v>
      </c>
      <c r="C195" s="59"/>
      <c r="D195" s="14"/>
      <c r="E195" s="14"/>
      <c r="F195" s="7"/>
      <c r="G195" s="7"/>
      <c r="H195" s="7"/>
      <c r="I195" s="7"/>
      <c r="J195" s="7">
        <f t="shared" si="126"/>
        <v>0</v>
      </c>
      <c r="K195" s="7"/>
      <c r="L195" s="7"/>
      <c r="M195" s="7"/>
      <c r="N195" s="7"/>
      <c r="O195" s="7">
        <f t="shared" si="137"/>
        <v>0</v>
      </c>
      <c r="P195" s="7"/>
      <c r="Q195" s="7"/>
      <c r="R195" s="7"/>
      <c r="S195" s="7"/>
      <c r="T195" s="7">
        <f t="shared" si="141"/>
        <v>0</v>
      </c>
      <c r="U195" s="6"/>
      <c r="V195" s="6"/>
      <c r="W195" s="6"/>
      <c r="X195" s="6"/>
      <c r="Y195" s="6">
        <f t="shared" si="142"/>
        <v>0</v>
      </c>
      <c r="Z195" s="6">
        <f t="shared" si="140"/>
        <v>0</v>
      </c>
      <c r="AA195" s="9">
        <f t="shared" si="130"/>
        <v>0</v>
      </c>
    </row>
    <row r="196" spans="1:116" ht="45" x14ac:dyDescent="0.25">
      <c r="A196" s="275"/>
      <c r="B196" s="33" t="s">
        <v>288</v>
      </c>
      <c r="C196" s="59"/>
      <c r="D196" s="14"/>
      <c r="E196" s="14"/>
      <c r="F196" s="7"/>
      <c r="G196" s="7"/>
      <c r="H196" s="7"/>
      <c r="I196" s="7"/>
      <c r="J196" s="7">
        <f t="shared" si="126"/>
        <v>0</v>
      </c>
      <c r="K196" s="7"/>
      <c r="L196" s="7"/>
      <c r="M196" s="7"/>
      <c r="N196" s="7"/>
      <c r="O196" s="7">
        <f t="shared" si="137"/>
        <v>0</v>
      </c>
      <c r="P196" s="7"/>
      <c r="Q196" s="7"/>
      <c r="R196" s="7"/>
      <c r="S196" s="7"/>
      <c r="T196" s="7">
        <f t="shared" si="141"/>
        <v>0</v>
      </c>
      <c r="U196" s="6"/>
      <c r="V196" s="6"/>
      <c r="W196" s="6"/>
      <c r="X196" s="6"/>
      <c r="Y196" s="6">
        <f t="shared" si="142"/>
        <v>0</v>
      </c>
      <c r="Z196" s="6">
        <f t="shared" si="140"/>
        <v>0</v>
      </c>
      <c r="AA196" s="9">
        <f t="shared" si="130"/>
        <v>0</v>
      </c>
    </row>
    <row r="197" spans="1:116" ht="19.5" thickBot="1" x14ac:dyDescent="0.3">
      <c r="A197" s="73"/>
      <c r="B197" s="53"/>
      <c r="C197" s="45"/>
      <c r="D197" s="46"/>
      <c r="E197" s="46"/>
      <c r="F197" s="46"/>
      <c r="G197" s="46"/>
      <c r="H197" s="46"/>
      <c r="I197" s="46"/>
      <c r="J197" s="46"/>
      <c r="K197" s="46"/>
      <c r="L197" s="46"/>
      <c r="M197" s="46"/>
      <c r="N197" s="46"/>
      <c r="O197" s="46"/>
      <c r="P197" s="46"/>
      <c r="Q197" s="46"/>
      <c r="R197" s="46"/>
      <c r="S197" s="46"/>
      <c r="T197" s="46"/>
      <c r="U197" s="46"/>
      <c r="V197" s="46"/>
      <c r="W197" s="46"/>
      <c r="X197" s="46"/>
      <c r="Y197" s="46"/>
      <c r="Z197" s="46"/>
      <c r="AA197" s="74"/>
      <c r="DL197" s="1" t="s">
        <v>214</v>
      </c>
    </row>
  </sheetData>
  <mergeCells count="43">
    <mergeCell ref="A1:A2"/>
    <mergeCell ref="P1:T1"/>
    <mergeCell ref="U1:Y1"/>
    <mergeCell ref="C15:C17"/>
    <mergeCell ref="C142:C144"/>
    <mergeCell ref="B1:B2"/>
    <mergeCell ref="F1:J1"/>
    <mergeCell ref="K1:O1"/>
    <mergeCell ref="E1:E2"/>
    <mergeCell ref="A71:A78"/>
    <mergeCell ref="A79:A83"/>
    <mergeCell ref="A84:A91"/>
    <mergeCell ref="A92:A96"/>
    <mergeCell ref="A98:A103"/>
    <mergeCell ref="A171:A177"/>
    <mergeCell ref="A133:A139"/>
    <mergeCell ref="A141:A145"/>
    <mergeCell ref="A146:A151"/>
    <mergeCell ref="A104:A109"/>
    <mergeCell ref="A110:A113"/>
    <mergeCell ref="A114:A119"/>
    <mergeCell ref="A120:A125"/>
    <mergeCell ref="A126:A132"/>
    <mergeCell ref="A167:A169"/>
    <mergeCell ref="A152:A157"/>
    <mergeCell ref="A158:A159"/>
    <mergeCell ref="A160:A166"/>
    <mergeCell ref="A178:A181"/>
    <mergeCell ref="A182:A188"/>
    <mergeCell ref="A189:A196"/>
    <mergeCell ref="C1:C2"/>
    <mergeCell ref="D1:D2"/>
    <mergeCell ref="A4:A7"/>
    <mergeCell ref="A8:A13"/>
    <mergeCell ref="A14:A17"/>
    <mergeCell ref="A18:A28"/>
    <mergeCell ref="A29:A37"/>
    <mergeCell ref="A38:A40"/>
    <mergeCell ref="A41:A46"/>
    <mergeCell ref="A47:A51"/>
    <mergeCell ref="A52:A60"/>
    <mergeCell ref="A62:A66"/>
    <mergeCell ref="A67:A70"/>
  </mergeCells>
  <pageMargins left="0.16" right="0.11" top="0.2" bottom="0.28999999999999998" header="0.3" footer="0.3"/>
  <colBreaks count="1" manualBreakCount="1">
    <brk id="10" max="1048575" man="1"/>
  </colBreaks>
  <legacy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267"/>
  <sheetViews>
    <sheetView workbookViewId="0">
      <pane xSplit="4" ySplit="2" topLeftCell="F208" activePane="bottomRight" state="frozen"/>
      <selection pane="topRight" activeCell="E1" sqref="E1"/>
      <selection pane="bottomLeft" activeCell="A3" sqref="A3"/>
      <selection pane="bottomRight" activeCell="G210" sqref="G210:X210"/>
    </sheetView>
  </sheetViews>
  <sheetFormatPr defaultColWidth="8.85546875" defaultRowHeight="15" x14ac:dyDescent="0.25"/>
  <cols>
    <col min="1" max="1" width="9.42578125" customWidth="1"/>
    <col min="2" max="2" width="34.140625" hidden="1" customWidth="1"/>
    <col min="3" max="3" width="47.42578125" style="174" customWidth="1"/>
    <col min="4" max="4" width="2.42578125" style="85" hidden="1" customWidth="1"/>
    <col min="5" max="5" width="17.140625" customWidth="1"/>
    <col min="6" max="6" width="9.85546875" customWidth="1"/>
    <col min="7" max="8" width="7.85546875" customWidth="1"/>
    <col min="9" max="9" width="10.85546875" customWidth="1"/>
    <col min="10" max="10" width="11.140625" customWidth="1"/>
    <col min="11" max="11" width="12.42578125" customWidth="1"/>
    <col min="12" max="15" width="7.85546875" customWidth="1"/>
    <col min="16" max="16" width="9.42578125" customWidth="1"/>
    <col min="17" max="23" width="7.85546875" customWidth="1"/>
    <col min="24" max="24" width="9.42578125" customWidth="1"/>
    <col min="25" max="25" width="10.140625" customWidth="1"/>
    <col min="26" max="26" width="11.42578125" customWidth="1"/>
    <col min="30" max="30" width="63.42578125" customWidth="1"/>
  </cols>
  <sheetData>
    <row r="1" spans="1:27" ht="21.75" customHeight="1" x14ac:dyDescent="0.25">
      <c r="A1" s="85"/>
      <c r="B1" s="85"/>
      <c r="C1" s="86" t="s">
        <v>354</v>
      </c>
      <c r="D1" s="87">
        <v>2017</v>
      </c>
      <c r="E1" s="290">
        <v>2018</v>
      </c>
      <c r="F1" s="291"/>
      <c r="G1" s="291"/>
      <c r="H1" s="291"/>
      <c r="I1" s="292"/>
      <c r="J1" s="290">
        <v>2019</v>
      </c>
      <c r="K1" s="291"/>
      <c r="L1" s="291"/>
      <c r="M1" s="291"/>
      <c r="N1" s="292"/>
      <c r="O1" s="290">
        <v>2020</v>
      </c>
      <c r="P1" s="291"/>
      <c r="Q1" s="291"/>
      <c r="R1" s="291"/>
      <c r="S1" s="292"/>
      <c r="T1" s="290">
        <v>2021</v>
      </c>
      <c r="U1" s="291"/>
      <c r="V1" s="291"/>
      <c r="W1" s="291"/>
      <c r="X1" s="292"/>
    </row>
    <row r="2" spans="1:27" ht="40.5" customHeight="1" x14ac:dyDescent="0.25">
      <c r="A2" s="88" t="s">
        <v>15</v>
      </c>
      <c r="B2" s="89" t="s">
        <v>16</v>
      </c>
      <c r="C2" s="90"/>
      <c r="D2" s="91" t="s">
        <v>355</v>
      </c>
      <c r="E2" s="92" t="s">
        <v>31</v>
      </c>
      <c r="F2" s="91" t="s">
        <v>205</v>
      </c>
      <c r="G2" s="91" t="s">
        <v>206</v>
      </c>
      <c r="H2" s="91" t="s">
        <v>207</v>
      </c>
      <c r="I2" s="91" t="s">
        <v>18</v>
      </c>
      <c r="J2" s="91" t="s">
        <v>17</v>
      </c>
      <c r="K2" s="91" t="s">
        <v>205</v>
      </c>
      <c r="L2" s="91" t="s">
        <v>206</v>
      </c>
      <c r="M2" s="91" t="s">
        <v>207</v>
      </c>
      <c r="N2" s="91" t="s">
        <v>18</v>
      </c>
      <c r="O2" s="91" t="s">
        <v>17</v>
      </c>
      <c r="P2" s="91" t="s">
        <v>205</v>
      </c>
      <c r="Q2" s="91" t="s">
        <v>206</v>
      </c>
      <c r="R2" s="91" t="s">
        <v>207</v>
      </c>
      <c r="S2" s="91" t="s">
        <v>18</v>
      </c>
      <c r="T2" s="91" t="s">
        <v>17</v>
      </c>
      <c r="U2" s="91" t="s">
        <v>205</v>
      </c>
      <c r="V2" s="91" t="s">
        <v>206</v>
      </c>
      <c r="W2" s="91" t="s">
        <v>207</v>
      </c>
      <c r="X2" s="91" t="s">
        <v>18</v>
      </c>
      <c r="Y2" s="91" t="s">
        <v>14</v>
      </c>
      <c r="Z2" s="93" t="s">
        <v>33</v>
      </c>
    </row>
    <row r="3" spans="1:27" ht="32.25" customHeight="1" x14ac:dyDescent="0.25">
      <c r="A3" s="85"/>
      <c r="B3" s="85"/>
      <c r="C3" s="94" t="s">
        <v>356</v>
      </c>
      <c r="E3" s="95">
        <f t="shared" ref="E3:Z3" si="0">E4+E9+E16+E21+E33+E43+E47+E54+E60</f>
        <v>1021697</v>
      </c>
      <c r="F3" s="95">
        <f t="shared" si="0"/>
        <v>1277818</v>
      </c>
      <c r="G3" s="95">
        <f t="shared" si="0"/>
        <v>0</v>
      </c>
      <c r="H3" s="95">
        <f t="shared" si="0"/>
        <v>79639.658750000002</v>
      </c>
      <c r="I3" s="95">
        <f t="shared" si="0"/>
        <v>2379154.6587499999</v>
      </c>
      <c r="J3" s="96">
        <f t="shared" si="0"/>
        <v>1177801</v>
      </c>
      <c r="K3" s="96">
        <f t="shared" si="0"/>
        <v>2032520</v>
      </c>
      <c r="L3" s="96">
        <f t="shared" si="0"/>
        <v>0</v>
      </c>
      <c r="M3" s="96">
        <f t="shared" si="0"/>
        <v>73667</v>
      </c>
      <c r="N3" s="96">
        <f t="shared" si="0"/>
        <v>3283988</v>
      </c>
      <c r="O3" s="96">
        <f t="shared" si="0"/>
        <v>1363924</v>
      </c>
      <c r="P3" s="96">
        <f t="shared" si="0"/>
        <v>2004083</v>
      </c>
      <c r="Q3" s="96">
        <f t="shared" si="0"/>
        <v>0</v>
      </c>
      <c r="R3" s="96">
        <f t="shared" si="0"/>
        <v>69767</v>
      </c>
      <c r="S3" s="96">
        <f t="shared" si="0"/>
        <v>3437774</v>
      </c>
      <c r="T3" s="96">
        <f t="shared" si="0"/>
        <v>828026</v>
      </c>
      <c r="U3" s="96">
        <f t="shared" si="0"/>
        <v>586201</v>
      </c>
      <c r="V3" s="96">
        <f t="shared" si="0"/>
        <v>0</v>
      </c>
      <c r="W3" s="96">
        <f t="shared" si="0"/>
        <v>69967</v>
      </c>
      <c r="X3" s="95">
        <f t="shared" si="0"/>
        <v>1484194</v>
      </c>
      <c r="Y3" s="95">
        <f t="shared" si="0"/>
        <v>10585110.658749999</v>
      </c>
      <c r="Z3" s="95">
        <f t="shared" si="0"/>
        <v>4391448</v>
      </c>
    </row>
    <row r="4" spans="1:27" ht="25.5" x14ac:dyDescent="0.25">
      <c r="A4" s="85"/>
      <c r="B4" s="85"/>
      <c r="C4" s="97" t="s">
        <v>357</v>
      </c>
      <c r="E4" s="98">
        <f>SUM(E6:E8)</f>
        <v>527900</v>
      </c>
      <c r="F4" s="98">
        <f t="shared" ref="F4:H4" si="1">SUM(F6:F8)</f>
        <v>810600</v>
      </c>
      <c r="G4" s="98">
        <f t="shared" si="1"/>
        <v>0</v>
      </c>
      <c r="H4" s="98">
        <f t="shared" si="1"/>
        <v>0</v>
      </c>
      <c r="I4" s="98">
        <f>SUM(E4:H4)</f>
        <v>1338500</v>
      </c>
      <c r="J4" s="98">
        <f>SUM(J6:J8)</f>
        <v>766445</v>
      </c>
      <c r="K4" s="98">
        <f t="shared" ref="K4:M4" si="2">SUM(K6:K8)</f>
        <v>1515850</v>
      </c>
      <c r="L4" s="98">
        <f t="shared" si="2"/>
        <v>0</v>
      </c>
      <c r="M4" s="98">
        <f t="shared" si="2"/>
        <v>0</v>
      </c>
      <c r="N4" s="98">
        <f>SUM(J4:M4)</f>
        <v>2282295</v>
      </c>
      <c r="O4" s="98">
        <f>SUM(O6:O8)</f>
        <v>924000</v>
      </c>
      <c r="P4" s="98">
        <f t="shared" ref="P4:R4" si="3">SUM(P6:P8)</f>
        <v>1813000</v>
      </c>
      <c r="Q4" s="98">
        <f t="shared" si="3"/>
        <v>0</v>
      </c>
      <c r="R4" s="98">
        <f t="shared" si="3"/>
        <v>0</v>
      </c>
      <c r="S4" s="98">
        <f>SUM(O4:R4)</f>
        <v>2737000</v>
      </c>
      <c r="T4" s="98">
        <f>SUM(T6:T8)</f>
        <v>592000</v>
      </c>
      <c r="U4" s="98">
        <f t="shared" ref="U4:V4" si="4">SUM(U6:U8)</f>
        <v>375000</v>
      </c>
      <c r="V4" s="98">
        <f t="shared" si="4"/>
        <v>0</v>
      </c>
      <c r="W4" s="98">
        <f>SUM(W6:W8)</f>
        <v>0</v>
      </c>
      <c r="X4" s="98">
        <f>SUM(T4:W4)</f>
        <v>967000</v>
      </c>
      <c r="Y4" s="98">
        <f>X4+S4+N4+I4</f>
        <v>7324795</v>
      </c>
      <c r="Z4" s="98">
        <f>E4+J4+O4+T4</f>
        <v>2810345</v>
      </c>
    </row>
    <row r="5" spans="1:27" ht="15" customHeight="1" x14ac:dyDescent="0.25">
      <c r="A5" s="85"/>
      <c r="B5" s="99"/>
      <c r="C5" s="100" t="s">
        <v>358</v>
      </c>
      <c r="E5" s="101"/>
      <c r="F5" s="101"/>
      <c r="G5" s="101"/>
      <c r="H5" s="101"/>
      <c r="I5" s="102">
        <f t="shared" ref="I5:I68" si="5">SUM(E5:H5)</f>
        <v>0</v>
      </c>
      <c r="J5" s="101"/>
      <c r="K5" s="101"/>
      <c r="L5" s="101"/>
      <c r="M5" s="101"/>
      <c r="N5" s="101">
        <f>SUM(J5:M5)</f>
        <v>0</v>
      </c>
      <c r="O5" s="101"/>
      <c r="P5" s="101"/>
      <c r="Q5" s="101"/>
      <c r="R5" s="101"/>
      <c r="S5" s="101">
        <f>SUM(O5:R5)</f>
        <v>0</v>
      </c>
      <c r="T5" s="101"/>
      <c r="U5" s="101"/>
      <c r="V5" s="101"/>
      <c r="W5" s="101"/>
      <c r="X5" s="101">
        <f>SUM(T5:W5)</f>
        <v>0</v>
      </c>
      <c r="Y5" s="101">
        <f>I5+N5+S5+X5</f>
        <v>0</v>
      </c>
      <c r="Z5" s="101">
        <f t="shared" ref="Z5:Z68" si="6">E5+J5+O5+T5</f>
        <v>0</v>
      </c>
    </row>
    <row r="6" spans="1:27" ht="75" customHeight="1" x14ac:dyDescent="0.3">
      <c r="A6" s="103" t="s">
        <v>4</v>
      </c>
      <c r="B6" s="104" t="s">
        <v>4</v>
      </c>
      <c r="C6" s="105" t="s">
        <v>359</v>
      </c>
      <c r="D6"/>
      <c r="E6" s="101">
        <v>164100</v>
      </c>
      <c r="F6" s="101">
        <v>635900</v>
      </c>
      <c r="G6" s="101"/>
      <c r="H6" s="101"/>
      <c r="I6" s="102">
        <f t="shared" si="5"/>
        <v>800000</v>
      </c>
      <c r="J6" s="101">
        <v>388875</v>
      </c>
      <c r="K6" s="101">
        <v>1369125</v>
      </c>
      <c r="L6" s="101"/>
      <c r="M6" s="106"/>
      <c r="N6" s="101">
        <f>J6+K6</f>
        <v>1758000</v>
      </c>
      <c r="O6" s="101">
        <v>412000</v>
      </c>
      <c r="P6" s="101">
        <v>1755000</v>
      </c>
      <c r="Q6" s="101"/>
      <c r="R6" s="101"/>
      <c r="S6" s="101">
        <f>O6+P6</f>
        <v>2167000</v>
      </c>
      <c r="T6" s="101">
        <v>152000</v>
      </c>
      <c r="U6" s="101">
        <v>375000</v>
      </c>
      <c r="V6" s="101"/>
      <c r="W6" s="101"/>
      <c r="X6" s="101">
        <f>T6+U6</f>
        <v>527000</v>
      </c>
      <c r="Y6" s="101">
        <f>I6+N6+S6+X6</f>
        <v>5252000</v>
      </c>
      <c r="Z6" s="101">
        <f t="shared" si="6"/>
        <v>1116975</v>
      </c>
    </row>
    <row r="7" spans="1:27" ht="51" customHeight="1" x14ac:dyDescent="0.3">
      <c r="A7" s="107" t="s">
        <v>57</v>
      </c>
      <c r="B7" s="293" t="s">
        <v>360</v>
      </c>
      <c r="C7" s="108" t="s">
        <v>361</v>
      </c>
      <c r="D7"/>
      <c r="E7" s="101">
        <f>363000</f>
        <v>363000</v>
      </c>
      <c r="F7" s="101">
        <f>127000+1000+12500+30000</f>
        <v>170500</v>
      </c>
      <c r="G7" s="101"/>
      <c r="H7" s="101"/>
      <c r="I7" s="102">
        <f t="shared" si="5"/>
        <v>533500</v>
      </c>
      <c r="J7" s="101">
        <v>376000</v>
      </c>
      <c r="K7" s="101">
        <v>138000</v>
      </c>
      <c r="L7" s="101"/>
      <c r="M7" s="101"/>
      <c r="N7" s="101">
        <f t="shared" ref="N7" si="7">J7+K7</f>
        <v>514000</v>
      </c>
      <c r="O7" s="101">
        <v>512000</v>
      </c>
      <c r="P7" s="101">
        <v>58000</v>
      </c>
      <c r="Q7" s="101"/>
      <c r="R7" s="101"/>
      <c r="S7" s="101">
        <f t="shared" ref="S7:S8" si="8">O7+P7</f>
        <v>570000</v>
      </c>
      <c r="T7" s="101">
        <v>440000</v>
      </c>
      <c r="U7" s="101"/>
      <c r="V7" s="101"/>
      <c r="W7" s="101"/>
      <c r="X7" s="101">
        <f t="shared" ref="X7:X8" si="9">T7+U7</f>
        <v>440000</v>
      </c>
      <c r="Y7" s="101">
        <f t="shared" ref="Y7:Y11" si="10">I7+N7+S7+X7</f>
        <v>2057500</v>
      </c>
      <c r="Z7" s="101">
        <f t="shared" si="6"/>
        <v>1691000</v>
      </c>
    </row>
    <row r="8" spans="1:27" ht="20.25" customHeight="1" x14ac:dyDescent="0.35">
      <c r="A8" s="109" t="s">
        <v>3</v>
      </c>
      <c r="B8" s="294"/>
      <c r="C8" s="108" t="s">
        <v>362</v>
      </c>
      <c r="D8" s="110"/>
      <c r="E8" s="111">
        <v>800</v>
      </c>
      <c r="F8" s="101">
        <v>4200</v>
      </c>
      <c r="G8" s="101"/>
      <c r="H8" s="101"/>
      <c r="I8" s="102">
        <f>SUM(E8:H8)</f>
        <v>5000</v>
      </c>
      <c r="J8" s="101">
        <v>1570</v>
      </c>
      <c r="K8" s="101">
        <v>8725</v>
      </c>
      <c r="L8" s="101"/>
      <c r="M8" s="101"/>
      <c r="N8" s="101">
        <f>SUM(J8:M8)</f>
        <v>10295</v>
      </c>
      <c r="O8" s="101"/>
      <c r="P8" s="101"/>
      <c r="Q8" s="101"/>
      <c r="R8" s="101"/>
      <c r="S8" s="101">
        <f t="shared" si="8"/>
        <v>0</v>
      </c>
      <c r="T8" s="101"/>
      <c r="U8" s="101">
        <v>0</v>
      </c>
      <c r="V8" s="101"/>
      <c r="W8" s="101"/>
      <c r="X8" s="112">
        <f t="shared" si="9"/>
        <v>0</v>
      </c>
      <c r="Y8" s="101">
        <f t="shared" si="10"/>
        <v>15295</v>
      </c>
      <c r="Z8" s="101">
        <f t="shared" si="6"/>
        <v>2370</v>
      </c>
    </row>
    <row r="9" spans="1:27" ht="25.5" x14ac:dyDescent="0.25">
      <c r="A9" s="85"/>
      <c r="B9" s="113"/>
      <c r="C9" s="97" t="s">
        <v>363</v>
      </c>
      <c r="D9" s="114"/>
      <c r="E9" s="98">
        <f>SUM(E11:E15)</f>
        <v>21000</v>
      </c>
      <c r="F9" s="98">
        <f t="shared" ref="F9:H9" si="11">SUM(F11:F15)</f>
        <v>0</v>
      </c>
      <c r="G9" s="98">
        <f t="shared" si="11"/>
        <v>0</v>
      </c>
      <c r="H9" s="98">
        <f t="shared" si="11"/>
        <v>64377.658750000002</v>
      </c>
      <c r="I9" s="98">
        <f t="shared" si="5"/>
        <v>85377.658750000002</v>
      </c>
      <c r="J9" s="98">
        <f>SUM(J11:J15)</f>
        <v>150000</v>
      </c>
      <c r="K9" s="98">
        <f t="shared" ref="K9:M9" si="12">SUM(K11:K15)</f>
        <v>0</v>
      </c>
      <c r="L9" s="98">
        <f t="shared" si="12"/>
        <v>0</v>
      </c>
      <c r="M9" s="98">
        <f t="shared" si="12"/>
        <v>64167</v>
      </c>
      <c r="N9" s="98">
        <f>SUM(J9:M9)</f>
        <v>214167</v>
      </c>
      <c r="O9" s="98">
        <f>SUM(O11:O15)</f>
        <v>220000</v>
      </c>
      <c r="P9" s="98">
        <f t="shared" ref="P9:R9" si="13">SUM(P11:P15)</f>
        <v>0</v>
      </c>
      <c r="Q9" s="98">
        <f t="shared" si="13"/>
        <v>0</v>
      </c>
      <c r="R9" s="98">
        <f t="shared" si="13"/>
        <v>59967</v>
      </c>
      <c r="S9" s="98">
        <f>SUM(O9:R9)</f>
        <v>279967</v>
      </c>
      <c r="T9" s="98">
        <f>SUM(T11:T15)</f>
        <v>0</v>
      </c>
      <c r="U9" s="98">
        <f>SUM(U11:U15)</f>
        <v>0</v>
      </c>
      <c r="V9" s="98">
        <f>SUM(V11:V15)</f>
        <v>0</v>
      </c>
      <c r="W9" s="98">
        <f>SUM(W11:W15)</f>
        <v>59967</v>
      </c>
      <c r="X9" s="98">
        <f>SUM(T9:W9)</f>
        <v>59967</v>
      </c>
      <c r="Y9" s="98">
        <f t="shared" si="10"/>
        <v>639478.65874999994</v>
      </c>
      <c r="Z9" s="98">
        <f t="shared" si="6"/>
        <v>391000</v>
      </c>
    </row>
    <row r="10" spans="1:27" x14ac:dyDescent="0.25">
      <c r="A10" s="85"/>
      <c r="B10" s="113"/>
      <c r="C10" s="100" t="s">
        <v>358</v>
      </c>
      <c r="D10" s="115"/>
      <c r="E10" s="101"/>
      <c r="F10" s="101"/>
      <c r="G10" s="101"/>
      <c r="H10" s="101"/>
      <c r="I10" s="102">
        <f t="shared" si="5"/>
        <v>0</v>
      </c>
      <c r="J10" s="101"/>
      <c r="K10" s="101"/>
      <c r="L10" s="101"/>
      <c r="M10" s="101"/>
      <c r="N10" s="101">
        <f>SUM(J10:M10)</f>
        <v>0</v>
      </c>
      <c r="O10" s="101"/>
      <c r="P10" s="101"/>
      <c r="Q10" s="101"/>
      <c r="R10" s="101"/>
      <c r="S10" s="101">
        <f>SUM(O10:R10)</f>
        <v>0</v>
      </c>
      <c r="T10" s="101"/>
      <c r="U10" s="101"/>
      <c r="V10" s="101"/>
      <c r="W10" s="101"/>
      <c r="X10" s="101">
        <f>SUM(T10:W10)</f>
        <v>0</v>
      </c>
      <c r="Y10" s="101">
        <f t="shared" si="10"/>
        <v>0</v>
      </c>
      <c r="Z10" s="101">
        <f t="shared" si="6"/>
        <v>0</v>
      </c>
    </row>
    <row r="11" spans="1:27" ht="52.5" customHeight="1" x14ac:dyDescent="0.25">
      <c r="A11" s="116"/>
      <c r="B11" s="117" t="s">
        <v>364</v>
      </c>
      <c r="C11" s="118" t="s">
        <v>365</v>
      </c>
      <c r="D11" s="119"/>
      <c r="E11" s="101"/>
      <c r="F11" s="101"/>
      <c r="G11" s="101"/>
      <c r="H11" s="101">
        <f>84555*2.657/4</f>
        <v>56165.658750000002</v>
      </c>
      <c r="I11" s="102">
        <f t="shared" si="5"/>
        <v>56165.658750000002</v>
      </c>
      <c r="J11" s="101"/>
      <c r="K11" s="101"/>
      <c r="L11" s="101"/>
      <c r="M11" s="101">
        <v>56167</v>
      </c>
      <c r="N11" s="101">
        <f t="shared" ref="N11:N15" si="14">SUM(J11:M11)</f>
        <v>56167</v>
      </c>
      <c r="O11" s="101"/>
      <c r="P11" s="101"/>
      <c r="Q11" s="101"/>
      <c r="R11" s="101">
        <v>56167</v>
      </c>
      <c r="S11" s="101">
        <f t="shared" ref="S11:S15" si="15">SUM(O11:R11)</f>
        <v>56167</v>
      </c>
      <c r="T11" s="101"/>
      <c r="U11" s="101"/>
      <c r="V11" s="101"/>
      <c r="W11" s="101">
        <v>56167</v>
      </c>
      <c r="X11" s="101">
        <f t="shared" ref="X11:X15" si="16">SUM(T11:W11)</f>
        <v>56167</v>
      </c>
      <c r="Y11" s="101">
        <f t="shared" si="10"/>
        <v>224666.65875</v>
      </c>
      <c r="Z11" s="101">
        <f t="shared" si="6"/>
        <v>0</v>
      </c>
    </row>
    <row r="12" spans="1:27" ht="24" thickBot="1" x14ac:dyDescent="0.3">
      <c r="A12" s="103" t="s">
        <v>2</v>
      </c>
      <c r="B12" s="117"/>
      <c r="C12" s="118" t="s">
        <v>366</v>
      </c>
      <c r="D12" s="120">
        <f>I12</f>
        <v>11000</v>
      </c>
      <c r="E12" s="121">
        <v>11000</v>
      </c>
      <c r="F12" s="121"/>
      <c r="G12" s="121"/>
      <c r="H12" s="122">
        <v>0</v>
      </c>
      <c r="I12" s="102">
        <f t="shared" si="5"/>
        <v>11000</v>
      </c>
      <c r="J12" s="101">
        <v>150000</v>
      </c>
      <c r="K12" s="101"/>
      <c r="L12" s="101"/>
      <c r="M12" s="101"/>
      <c r="N12" s="101">
        <f t="shared" si="14"/>
        <v>150000</v>
      </c>
      <c r="O12" s="101">
        <v>220000</v>
      </c>
      <c r="P12" s="101"/>
      <c r="Q12" s="101"/>
      <c r="R12" s="101"/>
      <c r="S12" s="101">
        <f t="shared" si="15"/>
        <v>220000</v>
      </c>
      <c r="T12" s="101">
        <v>0</v>
      </c>
      <c r="U12" s="101"/>
      <c r="V12" s="101"/>
      <c r="W12" s="101"/>
      <c r="X12" s="101">
        <f t="shared" si="16"/>
        <v>0</v>
      </c>
      <c r="Y12" s="101">
        <f>I12+N12+S12+X12</f>
        <v>381000</v>
      </c>
      <c r="Z12" s="101">
        <f t="shared" si="6"/>
        <v>381000</v>
      </c>
    </row>
    <row r="13" spans="1:27" ht="23.25" x14ac:dyDescent="0.25">
      <c r="A13" s="116" t="s">
        <v>26</v>
      </c>
      <c r="B13" s="104"/>
      <c r="C13" s="118" t="s">
        <v>367</v>
      </c>
      <c r="D13" s="119"/>
      <c r="E13" s="101"/>
      <c r="F13" s="101"/>
      <c r="G13" s="101"/>
      <c r="H13" s="101"/>
      <c r="I13" s="102">
        <f t="shared" si="5"/>
        <v>0</v>
      </c>
      <c r="J13" s="101"/>
      <c r="K13" s="101"/>
      <c r="L13" s="101"/>
      <c r="M13" s="101"/>
      <c r="N13" s="101">
        <f t="shared" si="14"/>
        <v>0</v>
      </c>
      <c r="O13" s="101"/>
      <c r="P13" s="101"/>
      <c r="Q13" s="101"/>
      <c r="R13" s="101"/>
      <c r="S13" s="101">
        <f t="shared" si="15"/>
        <v>0</v>
      </c>
      <c r="T13" s="101"/>
      <c r="U13" s="101"/>
      <c r="V13" s="101"/>
      <c r="W13" s="101"/>
      <c r="X13" s="101">
        <f t="shared" si="16"/>
        <v>0</v>
      </c>
      <c r="Y13" s="101">
        <f t="shared" ref="Y13:Y77" si="17">I13+N13+S13+X13</f>
        <v>0</v>
      </c>
      <c r="Z13" s="101">
        <f t="shared" si="6"/>
        <v>0</v>
      </c>
    </row>
    <row r="14" spans="1:27" ht="24" thickBot="1" x14ac:dyDescent="0.3">
      <c r="A14" s="116" t="s">
        <v>5</v>
      </c>
      <c r="B14" s="117" t="s">
        <v>368</v>
      </c>
      <c r="C14" s="118" t="s">
        <v>369</v>
      </c>
      <c r="D14" s="120">
        <v>10000</v>
      </c>
      <c r="E14" s="101">
        <v>10000</v>
      </c>
      <c r="F14" s="101"/>
      <c r="G14" s="101"/>
      <c r="H14" s="101">
        <v>4500</v>
      </c>
      <c r="I14" s="102">
        <f t="shared" si="5"/>
        <v>14500</v>
      </c>
      <c r="J14" s="101"/>
      <c r="K14" s="101"/>
      <c r="L14" s="101"/>
      <c r="M14" s="101">
        <v>4500</v>
      </c>
      <c r="N14" s="101">
        <f t="shared" si="14"/>
        <v>4500</v>
      </c>
      <c r="O14" s="101"/>
      <c r="P14" s="101"/>
      <c r="Q14" s="101"/>
      <c r="R14" s="101"/>
      <c r="S14" s="101">
        <f t="shared" si="15"/>
        <v>0</v>
      </c>
      <c r="T14" s="101"/>
      <c r="U14" s="101"/>
      <c r="V14" s="101"/>
      <c r="W14" s="101"/>
      <c r="X14" s="101">
        <f t="shared" si="16"/>
        <v>0</v>
      </c>
      <c r="Y14" s="101">
        <f t="shared" si="17"/>
        <v>19000</v>
      </c>
      <c r="Z14" s="101">
        <f t="shared" si="6"/>
        <v>10000</v>
      </c>
    </row>
    <row r="15" spans="1:27" ht="24" thickBot="1" x14ac:dyDescent="0.3">
      <c r="A15" s="116" t="s">
        <v>6</v>
      </c>
      <c r="B15" s="104" t="s">
        <v>370</v>
      </c>
      <c r="C15" s="123" t="s">
        <v>371</v>
      </c>
      <c r="D15" s="120">
        <v>258812</v>
      </c>
      <c r="E15" s="101"/>
      <c r="F15" s="101"/>
      <c r="G15" s="101"/>
      <c r="H15" s="101">
        <v>3712</v>
      </c>
      <c r="I15" s="102">
        <f t="shared" si="5"/>
        <v>3712</v>
      </c>
      <c r="J15" s="101"/>
      <c r="K15" s="101"/>
      <c r="L15" s="101"/>
      <c r="M15" s="101">
        <v>3500</v>
      </c>
      <c r="N15" s="101">
        <f t="shared" si="14"/>
        <v>3500</v>
      </c>
      <c r="O15" s="101"/>
      <c r="P15" s="101"/>
      <c r="Q15" s="101"/>
      <c r="R15" s="101">
        <v>3800</v>
      </c>
      <c r="S15" s="101">
        <f t="shared" si="15"/>
        <v>3800</v>
      </c>
      <c r="T15" s="101"/>
      <c r="U15" s="101"/>
      <c r="V15" s="101"/>
      <c r="W15" s="101">
        <v>3800</v>
      </c>
      <c r="X15" s="101">
        <f t="shared" si="16"/>
        <v>3800</v>
      </c>
      <c r="Y15" s="101">
        <f t="shared" si="17"/>
        <v>14812</v>
      </c>
      <c r="Z15" s="101">
        <f t="shared" si="6"/>
        <v>0</v>
      </c>
      <c r="AA15" t="s">
        <v>581</v>
      </c>
    </row>
    <row r="16" spans="1:27" ht="26.25" thickBot="1" x14ac:dyDescent="0.3">
      <c r="A16" s="85"/>
      <c r="B16" s="104"/>
      <c r="C16" s="97" t="s">
        <v>372</v>
      </c>
      <c r="D16" s="120">
        <f>D18+D19+D20</f>
        <v>42439</v>
      </c>
      <c r="E16" s="98">
        <f>SUM(E18:E20)</f>
        <v>0</v>
      </c>
      <c r="F16" s="98">
        <f t="shared" ref="F16:H16" si="18">SUM(F18:F20)</f>
        <v>8900</v>
      </c>
      <c r="G16" s="98">
        <f t="shared" si="18"/>
        <v>0</v>
      </c>
      <c r="H16" s="98">
        <f t="shared" si="18"/>
        <v>0</v>
      </c>
      <c r="I16" s="98">
        <f t="shared" si="5"/>
        <v>8900</v>
      </c>
      <c r="J16" s="98">
        <f>SUM(J18:J20)</f>
        <v>0</v>
      </c>
      <c r="K16" s="98">
        <f t="shared" ref="K16:M16" si="19">SUM(K18:K20)</f>
        <v>20300</v>
      </c>
      <c r="L16" s="98">
        <f t="shared" si="19"/>
        <v>0</v>
      </c>
      <c r="M16" s="98">
        <f t="shared" si="19"/>
        <v>0</v>
      </c>
      <c r="N16" s="98">
        <f>SUM(J16:M16)</f>
        <v>20300</v>
      </c>
      <c r="O16" s="98">
        <f>SUM(O18:O20)</f>
        <v>0</v>
      </c>
      <c r="P16" s="98">
        <f t="shared" ref="P16:R16" si="20">SUM(P18:P20)</f>
        <v>20300</v>
      </c>
      <c r="Q16" s="98">
        <f t="shared" si="20"/>
        <v>0</v>
      </c>
      <c r="R16" s="98">
        <f t="shared" si="20"/>
        <v>0</v>
      </c>
      <c r="S16" s="98">
        <f>SUM(O16:R16)</f>
        <v>20300</v>
      </c>
      <c r="T16" s="98">
        <f>SUM(T17:T20)</f>
        <v>0</v>
      </c>
      <c r="U16" s="98">
        <f t="shared" ref="U16:W16" si="21">SUM(U17:U20)</f>
        <v>25900</v>
      </c>
      <c r="V16" s="98">
        <f t="shared" si="21"/>
        <v>0</v>
      </c>
      <c r="W16" s="98">
        <f t="shared" si="21"/>
        <v>0</v>
      </c>
      <c r="X16" s="98">
        <f>T16+U16+V16+W16</f>
        <v>25900</v>
      </c>
      <c r="Y16" s="98">
        <f t="shared" si="17"/>
        <v>75400</v>
      </c>
      <c r="Z16" s="98">
        <f t="shared" si="6"/>
        <v>0</v>
      </c>
    </row>
    <row r="17" spans="1:26" x14ac:dyDescent="0.25">
      <c r="A17" s="85"/>
      <c r="B17" s="117"/>
      <c r="C17" s="100" t="s">
        <v>354</v>
      </c>
      <c r="D17" s="115"/>
      <c r="E17" s="101"/>
      <c r="F17" s="101"/>
      <c r="G17" s="101"/>
      <c r="H17" s="101"/>
      <c r="I17" s="102">
        <f t="shared" si="5"/>
        <v>0</v>
      </c>
      <c r="J17" s="102"/>
      <c r="K17" s="102"/>
      <c r="L17" s="102"/>
      <c r="M17" s="102"/>
      <c r="N17" s="102">
        <f t="shared" ref="N17:N69" si="22">SUM(J17:M17)</f>
        <v>0</v>
      </c>
      <c r="O17" s="101"/>
      <c r="P17" s="101"/>
      <c r="Q17" s="101"/>
      <c r="R17" s="101"/>
      <c r="S17" s="102">
        <f t="shared" ref="S17:S72" si="23">SUM(O17:R17)</f>
        <v>0</v>
      </c>
      <c r="T17" s="101"/>
      <c r="U17" s="101"/>
      <c r="V17" s="101"/>
      <c r="W17" s="101"/>
      <c r="X17" s="101">
        <f t="shared" ref="X17:X72" si="24">T17+U17+V17+W17</f>
        <v>0</v>
      </c>
      <c r="Y17" s="101">
        <f t="shared" si="17"/>
        <v>0</v>
      </c>
      <c r="Z17" s="101">
        <f t="shared" si="6"/>
        <v>0</v>
      </c>
    </row>
    <row r="18" spans="1:26" ht="136.5" thickBot="1" x14ac:dyDescent="0.3">
      <c r="A18" s="124" t="s">
        <v>582</v>
      </c>
      <c r="B18" s="104"/>
      <c r="C18" s="118" t="s">
        <v>373</v>
      </c>
      <c r="D18" s="120">
        <f>13272+10020+10020+9127</f>
        <v>42439</v>
      </c>
      <c r="E18" s="101"/>
      <c r="F18" s="80">
        <v>2500</v>
      </c>
      <c r="G18" s="80"/>
      <c r="H18" s="80"/>
      <c r="I18" s="81">
        <f t="shared" si="5"/>
        <v>2500</v>
      </c>
      <c r="J18" s="81"/>
      <c r="K18" s="81">
        <v>6100</v>
      </c>
      <c r="L18" s="81"/>
      <c r="M18" s="81"/>
      <c r="N18" s="81">
        <f t="shared" ref="N18" si="25">SUM(J18:M18)</f>
        <v>6100</v>
      </c>
      <c r="O18" s="80"/>
      <c r="P18" s="80">
        <v>6100</v>
      </c>
      <c r="Q18" s="80"/>
      <c r="R18" s="80"/>
      <c r="S18" s="81">
        <f t="shared" si="23"/>
        <v>6100</v>
      </c>
      <c r="T18" s="80"/>
      <c r="U18" s="80">
        <v>8200</v>
      </c>
      <c r="V18" s="80"/>
      <c r="W18" s="80"/>
      <c r="X18" s="80">
        <f t="shared" si="24"/>
        <v>8200</v>
      </c>
      <c r="Y18" s="101">
        <f t="shared" si="17"/>
        <v>22900</v>
      </c>
      <c r="Z18" s="101">
        <f t="shared" si="6"/>
        <v>0</v>
      </c>
    </row>
    <row r="19" spans="1:26" ht="90.75" x14ac:dyDescent="0.25">
      <c r="A19" s="126" t="s">
        <v>578</v>
      </c>
      <c r="B19" s="117"/>
      <c r="C19" s="198" t="s">
        <v>579</v>
      </c>
      <c r="D19" s="115"/>
      <c r="E19" s="80"/>
      <c r="F19" s="80">
        <v>3900</v>
      </c>
      <c r="G19" s="80"/>
      <c r="H19" s="80"/>
      <c r="I19" s="81">
        <f t="shared" si="5"/>
        <v>3900</v>
      </c>
      <c r="J19" s="81"/>
      <c r="K19" s="81">
        <v>8100</v>
      </c>
      <c r="L19" s="81"/>
      <c r="M19" s="81"/>
      <c r="N19" s="81">
        <f t="shared" ref="N19" si="26">SUM(J19:M19)</f>
        <v>8100</v>
      </c>
      <c r="O19" s="80"/>
      <c r="P19" s="80">
        <v>8100</v>
      </c>
      <c r="Q19" s="80"/>
      <c r="R19" s="80"/>
      <c r="S19" s="81">
        <f t="shared" si="23"/>
        <v>8100</v>
      </c>
      <c r="T19" s="80"/>
      <c r="U19" s="80">
        <v>9500</v>
      </c>
      <c r="V19" s="101"/>
      <c r="W19" s="101"/>
      <c r="X19" s="101">
        <f t="shared" si="24"/>
        <v>9500</v>
      </c>
      <c r="Y19" s="101">
        <f t="shared" si="17"/>
        <v>29600</v>
      </c>
      <c r="Z19" s="101">
        <f t="shared" si="6"/>
        <v>0</v>
      </c>
    </row>
    <row r="20" spans="1:26" ht="90.75" x14ac:dyDescent="0.25">
      <c r="A20" s="126" t="s">
        <v>578</v>
      </c>
      <c r="B20" s="104"/>
      <c r="C20" s="118" t="s">
        <v>580</v>
      </c>
      <c r="D20" s="115"/>
      <c r="E20" s="80"/>
      <c r="F20" s="80">
        <v>2500</v>
      </c>
      <c r="G20" s="80"/>
      <c r="H20" s="80"/>
      <c r="I20" s="81">
        <f t="shared" si="5"/>
        <v>2500</v>
      </c>
      <c r="J20" s="81"/>
      <c r="K20" s="81">
        <v>6100</v>
      </c>
      <c r="L20" s="81"/>
      <c r="M20" s="81"/>
      <c r="N20" s="81">
        <f t="shared" ref="N20" si="27">SUM(J20:M20)</f>
        <v>6100</v>
      </c>
      <c r="O20" s="80"/>
      <c r="P20" s="80">
        <v>6100</v>
      </c>
      <c r="Q20" s="80"/>
      <c r="R20" s="80"/>
      <c r="S20" s="81">
        <f t="shared" si="23"/>
        <v>6100</v>
      </c>
      <c r="T20" s="80"/>
      <c r="U20" s="80">
        <v>8200</v>
      </c>
      <c r="V20" s="80"/>
      <c r="W20" s="80"/>
      <c r="X20" s="80">
        <f t="shared" si="24"/>
        <v>8200</v>
      </c>
      <c r="Y20" s="101">
        <f t="shared" si="17"/>
        <v>22900</v>
      </c>
      <c r="Z20" s="101">
        <f t="shared" si="6"/>
        <v>0</v>
      </c>
    </row>
    <row r="21" spans="1:26" ht="38.25" x14ac:dyDescent="0.25">
      <c r="A21" s="125"/>
      <c r="C21" s="97" t="s">
        <v>374</v>
      </c>
      <c r="D21" s="114">
        <f>SUM(D23:D32)</f>
        <v>202143</v>
      </c>
      <c r="E21" s="98">
        <f>SUM(E23:E32)</f>
        <v>10050</v>
      </c>
      <c r="F21" s="98">
        <f t="shared" ref="F21:H21" si="28">SUM(F23:F32)</f>
        <v>107900</v>
      </c>
      <c r="G21" s="98">
        <f t="shared" si="28"/>
        <v>0</v>
      </c>
      <c r="H21" s="98">
        <f t="shared" si="28"/>
        <v>0</v>
      </c>
      <c r="I21" s="98">
        <f t="shared" si="5"/>
        <v>117950</v>
      </c>
      <c r="J21" s="98">
        <f>SUM(J23:J32)</f>
        <v>39000</v>
      </c>
      <c r="K21" s="98">
        <f t="shared" ref="K21:M21" si="29">SUM(K23:K32)</f>
        <v>154130</v>
      </c>
      <c r="L21" s="98">
        <f t="shared" si="29"/>
        <v>0</v>
      </c>
      <c r="M21" s="98">
        <f t="shared" si="29"/>
        <v>0</v>
      </c>
      <c r="N21" s="98">
        <f t="shared" si="22"/>
        <v>193130</v>
      </c>
      <c r="O21" s="98">
        <f>SUM(O23:O32)</f>
        <v>39000</v>
      </c>
      <c r="P21" s="98">
        <f>SUM(P23:P32)</f>
        <v>125040</v>
      </c>
      <c r="Q21" s="98">
        <f t="shared" ref="Q21:R21" si="30">SUM(Q23:Q28)</f>
        <v>0</v>
      </c>
      <c r="R21" s="98">
        <f t="shared" si="30"/>
        <v>0</v>
      </c>
      <c r="S21" s="98">
        <f t="shared" si="23"/>
        <v>164040</v>
      </c>
      <c r="T21" s="98">
        <f>SUM(T23:T32)</f>
        <v>39000</v>
      </c>
      <c r="U21" s="98">
        <f>SUM(U23:U32)</f>
        <v>111300</v>
      </c>
      <c r="V21" s="98">
        <f t="shared" ref="V21:W21" si="31">SUM(V23:V32)</f>
        <v>0</v>
      </c>
      <c r="W21" s="98">
        <f t="shared" si="31"/>
        <v>0</v>
      </c>
      <c r="X21" s="98">
        <f t="shared" si="24"/>
        <v>150300</v>
      </c>
      <c r="Y21" s="98">
        <f t="shared" si="17"/>
        <v>625420</v>
      </c>
      <c r="Z21" s="98">
        <f t="shared" si="6"/>
        <v>127050</v>
      </c>
    </row>
    <row r="22" spans="1:26" x14ac:dyDescent="0.25">
      <c r="A22" s="126"/>
      <c r="B22" s="127"/>
      <c r="C22" s="100" t="s">
        <v>354</v>
      </c>
      <c r="D22" s="128"/>
      <c r="E22" s="101"/>
      <c r="F22" s="101"/>
      <c r="G22" s="101"/>
      <c r="H22" s="101"/>
      <c r="I22" s="102">
        <f t="shared" si="5"/>
        <v>0</v>
      </c>
      <c r="J22" s="102"/>
      <c r="K22" s="102"/>
      <c r="L22" s="102"/>
      <c r="M22" s="102"/>
      <c r="N22" s="102">
        <f t="shared" si="22"/>
        <v>0</v>
      </c>
      <c r="O22" s="101"/>
      <c r="P22" s="101"/>
      <c r="Q22" s="101"/>
      <c r="R22" s="101"/>
      <c r="S22" s="102">
        <f t="shared" si="23"/>
        <v>0</v>
      </c>
      <c r="T22" s="101"/>
      <c r="U22" s="101"/>
      <c r="V22" s="101"/>
      <c r="W22" s="101"/>
      <c r="X22" s="101">
        <f t="shared" si="24"/>
        <v>0</v>
      </c>
      <c r="Y22" s="101"/>
      <c r="Z22" s="101">
        <f t="shared" si="6"/>
        <v>0</v>
      </c>
    </row>
    <row r="23" spans="1:26" ht="39.75" customHeight="1" x14ac:dyDescent="0.25">
      <c r="A23" s="126" t="s">
        <v>9</v>
      </c>
      <c r="B23" s="129"/>
      <c r="C23" s="118" t="s">
        <v>375</v>
      </c>
      <c r="D23" s="115"/>
      <c r="E23" s="101">
        <f>1000-1000</f>
        <v>0</v>
      </c>
      <c r="F23" s="101">
        <f>32000-7000</f>
        <v>25000</v>
      </c>
      <c r="G23" s="101"/>
      <c r="H23" s="101"/>
      <c r="I23" s="102">
        <f>SUM(E23:H23)</f>
        <v>25000</v>
      </c>
      <c r="J23" s="102"/>
      <c r="K23" s="102">
        <v>35000</v>
      </c>
      <c r="L23" s="102"/>
      <c r="M23" s="102"/>
      <c r="N23" s="102">
        <f>SUM(J23:M23)</f>
        <v>35000</v>
      </c>
      <c r="O23" s="101"/>
      <c r="P23" s="101">
        <v>35000</v>
      </c>
      <c r="Q23" s="101"/>
      <c r="R23" s="101"/>
      <c r="S23" s="102">
        <f>SUM(P23:R23)</f>
        <v>35000</v>
      </c>
      <c r="T23" s="101"/>
      <c r="U23" s="101">
        <v>35000</v>
      </c>
      <c r="V23" s="101"/>
      <c r="W23" s="101"/>
      <c r="X23" s="101">
        <f>SUM(T23:W23)</f>
        <v>35000</v>
      </c>
      <c r="Y23" s="101">
        <f t="shared" si="17"/>
        <v>130000</v>
      </c>
      <c r="Z23" s="101">
        <f t="shared" si="6"/>
        <v>0</v>
      </c>
    </row>
    <row r="24" spans="1:26" x14ac:dyDescent="0.25">
      <c r="A24" s="126" t="s">
        <v>8</v>
      </c>
      <c r="B24" t="s">
        <v>8</v>
      </c>
      <c r="C24" s="130" t="s">
        <v>376</v>
      </c>
      <c r="D24" s="115">
        <v>74733</v>
      </c>
      <c r="E24" s="101"/>
      <c r="F24" s="101"/>
      <c r="G24" s="101"/>
      <c r="H24" s="101"/>
      <c r="I24" s="102">
        <f t="shared" si="5"/>
        <v>0</v>
      </c>
      <c r="J24" s="102">
        <v>30000</v>
      </c>
      <c r="K24" s="102"/>
      <c r="L24" s="102"/>
      <c r="M24" s="102"/>
      <c r="N24" s="102">
        <f t="shared" si="22"/>
        <v>30000</v>
      </c>
      <c r="O24" s="101">
        <v>30000</v>
      </c>
      <c r="P24" s="101"/>
      <c r="Q24" s="101"/>
      <c r="R24" s="101"/>
      <c r="S24" s="102">
        <f t="shared" si="23"/>
        <v>30000</v>
      </c>
      <c r="T24" s="101">
        <v>30000</v>
      </c>
      <c r="U24" s="101"/>
      <c r="V24" s="101"/>
      <c r="W24" s="101"/>
      <c r="X24" s="101">
        <f t="shared" si="24"/>
        <v>30000</v>
      </c>
      <c r="Y24" s="101">
        <f t="shared" si="17"/>
        <v>90000</v>
      </c>
      <c r="Z24" s="101">
        <f t="shared" si="6"/>
        <v>90000</v>
      </c>
    </row>
    <row r="25" spans="1:26" ht="22.5" customHeight="1" x14ac:dyDescent="0.25">
      <c r="A25" s="126" t="s">
        <v>20</v>
      </c>
      <c r="C25" s="130" t="s">
        <v>377</v>
      </c>
      <c r="D25" s="115">
        <v>47210</v>
      </c>
      <c r="E25" s="101">
        <v>1050</v>
      </c>
      <c r="F25" s="101">
        <v>18650</v>
      </c>
      <c r="G25" s="101"/>
      <c r="H25" s="101"/>
      <c r="I25" s="102">
        <f t="shared" si="5"/>
        <v>19700</v>
      </c>
      <c r="J25" s="102"/>
      <c r="K25" s="102">
        <v>23860</v>
      </c>
      <c r="L25" s="102"/>
      <c r="M25" s="102"/>
      <c r="N25" s="102">
        <f t="shared" si="22"/>
        <v>23860</v>
      </c>
      <c r="O25" s="101"/>
      <c r="P25" s="101"/>
      <c r="Q25" s="101"/>
      <c r="R25" s="101"/>
      <c r="S25" s="102">
        <f t="shared" si="23"/>
        <v>0</v>
      </c>
      <c r="T25" s="101"/>
      <c r="U25" s="101"/>
      <c r="V25" s="101"/>
      <c r="W25" s="101"/>
      <c r="X25" s="101">
        <f t="shared" si="24"/>
        <v>0</v>
      </c>
      <c r="Y25" s="101">
        <f t="shared" si="17"/>
        <v>43560</v>
      </c>
      <c r="Z25" s="101">
        <f t="shared" si="6"/>
        <v>1050</v>
      </c>
    </row>
    <row r="26" spans="1:26" ht="23.25" x14ac:dyDescent="0.25">
      <c r="A26" s="126" t="s">
        <v>19</v>
      </c>
      <c r="B26" t="s">
        <v>19</v>
      </c>
      <c r="C26" s="130" t="s">
        <v>378</v>
      </c>
      <c r="D26" s="115">
        <v>32520</v>
      </c>
      <c r="E26" s="101"/>
      <c r="F26" s="101">
        <v>25000</v>
      </c>
      <c r="G26" s="101"/>
      <c r="H26" s="101"/>
      <c r="I26" s="102">
        <f>SUM(E26:H26)</f>
        <v>25000</v>
      </c>
      <c r="J26" s="102"/>
      <c r="K26" s="102"/>
      <c r="L26" s="102"/>
      <c r="M26" s="102"/>
      <c r="N26" s="102">
        <f t="shared" si="22"/>
        <v>0</v>
      </c>
      <c r="O26" s="101"/>
      <c r="P26" s="101"/>
      <c r="Q26" s="101"/>
      <c r="R26" s="101"/>
      <c r="S26" s="102">
        <f t="shared" si="23"/>
        <v>0</v>
      </c>
      <c r="T26" s="101"/>
      <c r="U26" s="101"/>
      <c r="V26" s="101"/>
      <c r="W26" s="101"/>
      <c r="X26" s="101">
        <f t="shared" si="24"/>
        <v>0</v>
      </c>
      <c r="Y26" s="101">
        <f t="shared" si="17"/>
        <v>25000</v>
      </c>
      <c r="Z26" s="101">
        <f t="shared" si="6"/>
        <v>0</v>
      </c>
    </row>
    <row r="27" spans="1:26" ht="23.25" x14ac:dyDescent="0.25">
      <c r="A27" s="126" t="s">
        <v>10</v>
      </c>
      <c r="B27" t="s">
        <v>10</v>
      </c>
      <c r="C27" s="130" t="s">
        <v>379</v>
      </c>
      <c r="D27" s="115">
        <v>14000</v>
      </c>
      <c r="E27" s="101">
        <v>1000</v>
      </c>
      <c r="F27" s="101">
        <v>7000</v>
      </c>
      <c r="G27" s="101"/>
      <c r="H27" s="101"/>
      <c r="I27" s="102">
        <f t="shared" si="5"/>
        <v>8000</v>
      </c>
      <c r="J27" s="102">
        <v>1000</v>
      </c>
      <c r="K27" s="102">
        <v>9000</v>
      </c>
      <c r="L27" s="102"/>
      <c r="M27" s="102"/>
      <c r="N27" s="102">
        <f t="shared" si="22"/>
        <v>10000</v>
      </c>
      <c r="O27" s="101">
        <v>1000</v>
      </c>
      <c r="P27" s="101">
        <v>9000</v>
      </c>
      <c r="Q27" s="101"/>
      <c r="R27" s="101"/>
      <c r="S27" s="102">
        <f t="shared" si="23"/>
        <v>10000</v>
      </c>
      <c r="T27" s="101">
        <v>1000</v>
      </c>
      <c r="U27" s="101">
        <v>9000</v>
      </c>
      <c r="V27" s="101"/>
      <c r="W27" s="101"/>
      <c r="X27" s="101">
        <f t="shared" si="24"/>
        <v>10000</v>
      </c>
      <c r="Y27" s="101">
        <f t="shared" si="17"/>
        <v>38000</v>
      </c>
      <c r="Z27" s="101">
        <f t="shared" si="6"/>
        <v>4000</v>
      </c>
    </row>
    <row r="28" spans="1:26" ht="23.25" customHeight="1" x14ac:dyDescent="0.25">
      <c r="A28" s="131"/>
      <c r="C28" s="130"/>
      <c r="D28"/>
      <c r="E28" s="101"/>
      <c r="F28" s="101"/>
      <c r="G28" s="101"/>
      <c r="H28" s="101"/>
      <c r="I28" s="102"/>
      <c r="J28" s="102"/>
      <c r="K28" s="102"/>
      <c r="L28" s="102"/>
      <c r="M28" s="102"/>
      <c r="N28" s="102"/>
      <c r="O28" s="101"/>
      <c r="P28" s="101"/>
      <c r="Q28" s="101"/>
      <c r="R28" s="101"/>
      <c r="S28" s="102"/>
      <c r="T28" s="101"/>
      <c r="U28" s="101"/>
      <c r="V28" s="101"/>
      <c r="W28" s="101"/>
      <c r="X28" s="101"/>
      <c r="Y28" s="101"/>
      <c r="Z28" s="101"/>
    </row>
    <row r="29" spans="1:26" ht="34.5" x14ac:dyDescent="0.25">
      <c r="A29" s="126" t="s">
        <v>11</v>
      </c>
      <c r="C29" s="118" t="s">
        <v>380</v>
      </c>
      <c r="D29">
        <v>6670</v>
      </c>
      <c r="E29" s="101">
        <v>8000</v>
      </c>
      <c r="F29" s="101"/>
      <c r="G29" s="101"/>
      <c r="H29" s="101"/>
      <c r="I29" s="102">
        <f t="shared" si="5"/>
        <v>8000</v>
      </c>
      <c r="J29" s="102">
        <v>8000</v>
      </c>
      <c r="K29" s="102"/>
      <c r="L29" s="102"/>
      <c r="M29" s="102"/>
      <c r="N29" s="102">
        <f t="shared" si="22"/>
        <v>8000</v>
      </c>
      <c r="O29" s="101">
        <v>8000</v>
      </c>
      <c r="P29" s="101"/>
      <c r="Q29" s="101"/>
      <c r="R29" s="101"/>
      <c r="S29" s="102">
        <f t="shared" si="23"/>
        <v>8000</v>
      </c>
      <c r="T29" s="101">
        <v>8000</v>
      </c>
      <c r="U29" s="101"/>
      <c r="V29" s="101"/>
      <c r="W29" s="101"/>
      <c r="X29" s="101">
        <f t="shared" si="24"/>
        <v>8000</v>
      </c>
      <c r="Y29" s="101">
        <f t="shared" si="17"/>
        <v>32000</v>
      </c>
      <c r="Z29" s="101">
        <f t="shared" si="6"/>
        <v>32000</v>
      </c>
    </row>
    <row r="30" spans="1:26" ht="33" customHeight="1" x14ac:dyDescent="0.25">
      <c r="A30" s="126" t="s">
        <v>12</v>
      </c>
      <c r="C30" s="118" t="s">
        <v>381</v>
      </c>
      <c r="D30">
        <v>15590</v>
      </c>
      <c r="E30" s="132"/>
      <c r="F30" s="101">
        <v>21600</v>
      </c>
      <c r="G30" s="101"/>
      <c r="H30" s="101"/>
      <c r="I30" s="102">
        <f>SUM(F30:H30)</f>
        <v>21600</v>
      </c>
      <c r="J30" s="132"/>
      <c r="K30" s="102">
        <v>37530</v>
      </c>
      <c r="L30" s="102"/>
      <c r="M30" s="102"/>
      <c r="N30" s="102">
        <f>SUM(K30:M30)</f>
        <v>37530</v>
      </c>
      <c r="O30" s="132"/>
      <c r="P30" s="101">
        <v>16740</v>
      </c>
      <c r="Q30" s="133"/>
      <c r="R30" s="133"/>
      <c r="S30" s="102">
        <f>SUM(P30:R30)</f>
        <v>16740</v>
      </c>
      <c r="T30" s="132">
        <v>0</v>
      </c>
      <c r="U30" s="134">
        <v>18600</v>
      </c>
      <c r="V30" s="133"/>
      <c r="W30" s="133"/>
      <c r="X30" s="101">
        <f>T30+U30+V30+W30</f>
        <v>18600</v>
      </c>
      <c r="Y30" s="101">
        <f t="shared" si="17"/>
        <v>94470</v>
      </c>
      <c r="Z30" s="101">
        <f>F30+K30+P30+U30</f>
        <v>94470</v>
      </c>
    </row>
    <row r="31" spans="1:26" ht="33" customHeight="1" x14ac:dyDescent="0.25">
      <c r="A31" s="126"/>
      <c r="C31" s="135" t="s">
        <v>382</v>
      </c>
      <c r="D31" s="136">
        <f>7500+1700+1720+500</f>
        <v>11420</v>
      </c>
      <c r="E31" s="137"/>
      <c r="F31" s="134"/>
      <c r="G31" s="134"/>
      <c r="H31" s="134"/>
      <c r="I31" s="137"/>
      <c r="J31" s="137"/>
      <c r="K31" s="137">
        <v>45740</v>
      </c>
      <c r="L31" s="137"/>
      <c r="M31" s="137"/>
      <c r="N31" s="137">
        <f t="shared" ref="N31" si="32">SUM(J31:M31)</f>
        <v>45740</v>
      </c>
      <c r="O31" s="134"/>
      <c r="P31" s="134">
        <v>61300</v>
      </c>
      <c r="Q31" s="138"/>
      <c r="R31" s="139"/>
      <c r="S31" s="137">
        <f t="shared" si="23"/>
        <v>61300</v>
      </c>
      <c r="T31" s="137"/>
      <c r="U31" s="134">
        <v>45700</v>
      </c>
      <c r="V31" s="134"/>
      <c r="W31" s="140"/>
      <c r="X31" s="134">
        <f t="shared" ref="X31" si="33">SUM(T31:W31)</f>
        <v>45700</v>
      </c>
      <c r="Y31" s="134">
        <f t="shared" si="17"/>
        <v>152740</v>
      </c>
      <c r="Z31" s="101"/>
    </row>
    <row r="32" spans="1:26" ht="30.75" customHeight="1" x14ac:dyDescent="0.25">
      <c r="A32" s="116" t="s">
        <v>58</v>
      </c>
      <c r="C32" s="118" t="s">
        <v>383</v>
      </c>
      <c r="D32"/>
      <c r="E32" s="101"/>
      <c r="F32" s="101">
        <f>3550*3</f>
        <v>10650</v>
      </c>
      <c r="G32" s="101"/>
      <c r="H32" s="101"/>
      <c r="I32" s="102">
        <f t="shared" si="5"/>
        <v>10650</v>
      </c>
      <c r="J32" s="102"/>
      <c r="K32" s="102">
        <v>3000</v>
      </c>
      <c r="L32" s="102"/>
      <c r="M32" s="102"/>
      <c r="N32" s="102">
        <f t="shared" si="22"/>
        <v>3000</v>
      </c>
      <c r="O32" s="101"/>
      <c r="P32" s="101">
        <v>3000</v>
      </c>
      <c r="Q32" s="101"/>
      <c r="R32" s="101"/>
      <c r="S32" s="102">
        <f t="shared" si="23"/>
        <v>3000</v>
      </c>
      <c r="T32" s="101"/>
      <c r="U32" s="101">
        <v>3000</v>
      </c>
      <c r="V32" s="101"/>
      <c r="W32" s="101"/>
      <c r="X32" s="101">
        <f t="shared" si="24"/>
        <v>3000</v>
      </c>
      <c r="Y32" s="101">
        <f t="shared" si="17"/>
        <v>19650</v>
      </c>
      <c r="Z32" s="101">
        <f t="shared" si="6"/>
        <v>0</v>
      </c>
    </row>
    <row r="33" spans="1:26" ht="25.5" x14ac:dyDescent="0.25">
      <c r="A33" s="116"/>
      <c r="B33" s="113"/>
      <c r="C33" s="97" t="s">
        <v>384</v>
      </c>
      <c r="D33" s="114">
        <f>SUM(D35:D42)</f>
        <v>134733</v>
      </c>
      <c r="E33" s="98">
        <f t="shared" ref="E33:W33" si="34">SUM(E35:E42)</f>
        <v>260880</v>
      </c>
      <c r="F33" s="98">
        <f t="shared" si="34"/>
        <v>10984</v>
      </c>
      <c r="G33" s="98">
        <f t="shared" si="34"/>
        <v>0</v>
      </c>
      <c r="H33" s="98">
        <f t="shared" si="34"/>
        <v>9433</v>
      </c>
      <c r="I33" s="98">
        <f>SUM(E33:H33)</f>
        <v>281297</v>
      </c>
      <c r="J33" s="98">
        <f t="shared" si="34"/>
        <v>111900</v>
      </c>
      <c r="K33" s="98">
        <f t="shared" si="34"/>
        <v>0</v>
      </c>
      <c r="L33" s="98">
        <f t="shared" si="34"/>
        <v>0</v>
      </c>
      <c r="M33" s="98">
        <f t="shared" si="34"/>
        <v>9500</v>
      </c>
      <c r="N33" s="98">
        <f t="shared" si="22"/>
        <v>121400</v>
      </c>
      <c r="O33" s="98">
        <f t="shared" si="34"/>
        <v>121400</v>
      </c>
      <c r="P33" s="98">
        <f t="shared" si="34"/>
        <v>0</v>
      </c>
      <c r="Q33" s="98">
        <f t="shared" si="34"/>
        <v>0</v>
      </c>
      <c r="R33" s="98">
        <f t="shared" si="34"/>
        <v>9800</v>
      </c>
      <c r="S33" s="98">
        <f t="shared" si="23"/>
        <v>131200</v>
      </c>
      <c r="T33" s="98">
        <f t="shared" si="34"/>
        <v>126400</v>
      </c>
      <c r="U33" s="98">
        <f t="shared" si="34"/>
        <v>0</v>
      </c>
      <c r="V33" s="98">
        <f t="shared" si="34"/>
        <v>0</v>
      </c>
      <c r="W33" s="98">
        <f t="shared" si="34"/>
        <v>10000</v>
      </c>
      <c r="X33" s="98">
        <f t="shared" si="24"/>
        <v>136400</v>
      </c>
      <c r="Y33" s="98">
        <f t="shared" si="17"/>
        <v>670297</v>
      </c>
      <c r="Z33" s="98">
        <f t="shared" si="6"/>
        <v>620580</v>
      </c>
    </row>
    <row r="34" spans="1:26" x14ac:dyDescent="0.25">
      <c r="A34" s="116"/>
      <c r="B34" s="113"/>
      <c r="C34" s="100" t="s">
        <v>358</v>
      </c>
      <c r="D34" s="115"/>
      <c r="E34" s="101"/>
      <c r="F34" s="101"/>
      <c r="G34" s="101"/>
      <c r="H34" s="101"/>
      <c r="I34" s="102">
        <f t="shared" si="5"/>
        <v>0</v>
      </c>
      <c r="J34" s="102"/>
      <c r="K34" s="102"/>
      <c r="L34" s="102"/>
      <c r="M34" s="102"/>
      <c r="N34" s="102">
        <f t="shared" si="22"/>
        <v>0</v>
      </c>
      <c r="O34" s="101"/>
      <c r="P34" s="101"/>
      <c r="Q34" s="101"/>
      <c r="R34" s="101"/>
      <c r="S34" s="102">
        <f t="shared" si="23"/>
        <v>0</v>
      </c>
      <c r="T34" s="101"/>
      <c r="U34" s="101"/>
      <c r="V34" s="101"/>
      <c r="W34" s="101"/>
      <c r="X34" s="101">
        <f t="shared" si="24"/>
        <v>0</v>
      </c>
      <c r="Y34" s="101">
        <f t="shared" si="17"/>
        <v>0</v>
      </c>
      <c r="Z34" s="101">
        <f t="shared" si="6"/>
        <v>0</v>
      </c>
    </row>
    <row r="35" spans="1:26" s="85" customFormat="1" ht="36.75" thickBot="1" x14ac:dyDescent="0.3">
      <c r="A35" s="141" t="s">
        <v>59</v>
      </c>
      <c r="B35" s="142" t="s">
        <v>385</v>
      </c>
      <c r="C35" s="118" t="s">
        <v>386</v>
      </c>
      <c r="D35" s="143">
        <f>19000+10000+15000+20000</f>
        <v>64000</v>
      </c>
      <c r="E35" s="121">
        <f>19000+12974-10984</f>
        <v>20990</v>
      </c>
      <c r="F35" s="101">
        <v>10984</v>
      </c>
      <c r="G35" s="101"/>
      <c r="H35" s="101"/>
      <c r="I35" s="102">
        <f t="shared" si="5"/>
        <v>31974</v>
      </c>
      <c r="J35" s="102">
        <v>10000</v>
      </c>
      <c r="K35" s="102"/>
      <c r="L35" s="102"/>
      <c r="M35" s="102"/>
      <c r="N35" s="102">
        <f t="shared" si="22"/>
        <v>10000</v>
      </c>
      <c r="O35" s="101">
        <v>15000</v>
      </c>
      <c r="P35" s="101"/>
      <c r="Q35" s="101"/>
      <c r="R35" s="101"/>
      <c r="S35" s="102">
        <f t="shared" si="23"/>
        <v>15000</v>
      </c>
      <c r="T35" s="101">
        <v>20000</v>
      </c>
      <c r="U35" s="101"/>
      <c r="V35" s="101"/>
      <c r="W35" s="101"/>
      <c r="X35" s="101">
        <f t="shared" si="24"/>
        <v>20000</v>
      </c>
      <c r="Y35" s="101">
        <f t="shared" si="17"/>
        <v>76974</v>
      </c>
      <c r="Z35" s="101">
        <f t="shared" si="6"/>
        <v>65990</v>
      </c>
    </row>
    <row r="36" spans="1:26" ht="24" x14ac:dyDescent="0.25">
      <c r="A36" s="141" t="s">
        <v>1</v>
      </c>
      <c r="B36" s="142" t="s">
        <v>387</v>
      </c>
      <c r="C36" s="118" t="s">
        <v>388</v>
      </c>
      <c r="D36" s="115">
        <v>32000</v>
      </c>
      <c r="E36" s="101">
        <v>8000</v>
      </c>
      <c r="F36" s="101"/>
      <c r="G36" s="101"/>
      <c r="H36" s="101"/>
      <c r="I36" s="102">
        <f t="shared" si="5"/>
        <v>8000</v>
      </c>
      <c r="J36" s="102">
        <v>8000</v>
      </c>
      <c r="K36" s="102"/>
      <c r="L36" s="102"/>
      <c r="M36" s="102"/>
      <c r="N36" s="102">
        <f t="shared" si="22"/>
        <v>8000</v>
      </c>
      <c r="O36" s="101">
        <v>8000</v>
      </c>
      <c r="P36" s="101"/>
      <c r="Q36" s="101"/>
      <c r="R36" s="101"/>
      <c r="S36" s="102">
        <f t="shared" si="23"/>
        <v>8000</v>
      </c>
      <c r="T36" s="101">
        <v>8000</v>
      </c>
      <c r="U36" s="101"/>
      <c r="V36" s="101"/>
      <c r="W36" s="101"/>
      <c r="X36" s="101">
        <f t="shared" si="24"/>
        <v>8000</v>
      </c>
      <c r="Y36" s="101">
        <f t="shared" si="17"/>
        <v>32000</v>
      </c>
      <c r="Z36" s="101">
        <f t="shared" si="6"/>
        <v>32000</v>
      </c>
    </row>
    <row r="37" spans="1:26" ht="48" x14ac:dyDescent="0.25">
      <c r="A37" s="295" t="s">
        <v>13</v>
      </c>
      <c r="B37" s="142" t="s">
        <v>389</v>
      </c>
      <c r="C37" s="118" t="s">
        <v>390</v>
      </c>
      <c r="D37" s="115">
        <f>9433+9500+9800+10000</f>
        <v>38733</v>
      </c>
      <c r="E37" s="101"/>
      <c r="F37" s="101"/>
      <c r="G37" s="101"/>
      <c r="H37" s="101">
        <v>9433</v>
      </c>
      <c r="I37" s="102">
        <f t="shared" si="5"/>
        <v>9433</v>
      </c>
      <c r="J37" s="102"/>
      <c r="K37" s="102"/>
      <c r="L37" s="102"/>
      <c r="M37" s="102">
        <v>9500</v>
      </c>
      <c r="N37" s="102">
        <f t="shared" si="22"/>
        <v>9500</v>
      </c>
      <c r="O37" s="101"/>
      <c r="P37" s="101"/>
      <c r="Q37" s="101"/>
      <c r="R37" s="101">
        <v>9800</v>
      </c>
      <c r="S37" s="102">
        <f t="shared" si="23"/>
        <v>9800</v>
      </c>
      <c r="T37" s="101"/>
      <c r="U37" s="101"/>
      <c r="V37" s="101"/>
      <c r="W37" s="101">
        <v>10000</v>
      </c>
      <c r="X37" s="101">
        <f t="shared" si="24"/>
        <v>10000</v>
      </c>
      <c r="Y37" s="101">
        <f t="shared" si="17"/>
        <v>38733</v>
      </c>
      <c r="Z37" s="101">
        <f t="shared" si="6"/>
        <v>0</v>
      </c>
    </row>
    <row r="38" spans="1:26" ht="49.5" customHeight="1" x14ac:dyDescent="0.25">
      <c r="A38" s="296"/>
      <c r="B38" s="142" t="s">
        <v>391</v>
      </c>
      <c r="C38" s="130" t="s">
        <v>392</v>
      </c>
      <c r="D38" s="115"/>
      <c r="E38" s="101"/>
      <c r="F38" s="101"/>
      <c r="G38" s="101"/>
      <c r="H38" s="101"/>
      <c r="I38" s="102">
        <f t="shared" si="5"/>
        <v>0</v>
      </c>
      <c r="J38" s="102"/>
      <c r="K38" s="102"/>
      <c r="L38" s="102"/>
      <c r="M38" s="102"/>
      <c r="N38" s="102">
        <f t="shared" si="22"/>
        <v>0</v>
      </c>
      <c r="O38" s="101"/>
      <c r="P38" s="101"/>
      <c r="Q38" s="101"/>
      <c r="R38" s="101"/>
      <c r="S38" s="102">
        <f t="shared" si="23"/>
        <v>0</v>
      </c>
      <c r="T38" s="101"/>
      <c r="U38" s="101"/>
      <c r="V38" s="101"/>
      <c r="W38" s="101"/>
      <c r="X38" s="101">
        <f t="shared" si="24"/>
        <v>0</v>
      </c>
      <c r="Y38" s="101">
        <f t="shared" si="17"/>
        <v>0</v>
      </c>
      <c r="Z38" s="101">
        <f t="shared" si="6"/>
        <v>0</v>
      </c>
    </row>
    <row r="39" spans="1:26" ht="45.75" x14ac:dyDescent="0.25">
      <c r="A39" s="296"/>
      <c r="B39" s="113"/>
      <c r="C39" s="130" t="s">
        <v>393</v>
      </c>
      <c r="D39" s="115"/>
      <c r="E39" s="101"/>
      <c r="F39" s="101"/>
      <c r="G39" s="101"/>
      <c r="H39" s="101"/>
      <c r="I39" s="102">
        <f t="shared" si="5"/>
        <v>0</v>
      </c>
      <c r="J39" s="102"/>
      <c r="K39" s="102"/>
      <c r="L39" s="102"/>
      <c r="M39" s="102"/>
      <c r="N39" s="102">
        <f t="shared" si="22"/>
        <v>0</v>
      </c>
      <c r="O39" s="101"/>
      <c r="P39" s="101"/>
      <c r="Q39" s="101"/>
      <c r="R39" s="101"/>
      <c r="S39" s="102">
        <f t="shared" si="23"/>
        <v>0</v>
      </c>
      <c r="T39" s="101"/>
      <c r="U39" s="101"/>
      <c r="V39" s="101"/>
      <c r="W39" s="101"/>
      <c r="X39" s="101">
        <f t="shared" si="24"/>
        <v>0</v>
      </c>
      <c r="Y39" s="101">
        <f t="shared" si="17"/>
        <v>0</v>
      </c>
      <c r="Z39" s="101">
        <f t="shared" si="6"/>
        <v>0</v>
      </c>
    </row>
    <row r="40" spans="1:26" ht="23.25" x14ac:dyDescent="0.25">
      <c r="A40" s="297"/>
      <c r="B40" s="113"/>
      <c r="C40" s="130" t="s">
        <v>394</v>
      </c>
      <c r="D40" s="115"/>
      <c r="E40" s="101"/>
      <c r="F40" s="101"/>
      <c r="G40" s="101"/>
      <c r="H40" s="101"/>
      <c r="I40" s="102">
        <f t="shared" si="5"/>
        <v>0</v>
      </c>
      <c r="J40" s="102"/>
      <c r="K40" s="102"/>
      <c r="L40" s="102"/>
      <c r="M40" s="102"/>
      <c r="N40" s="102">
        <f t="shared" si="22"/>
        <v>0</v>
      </c>
      <c r="O40" s="101"/>
      <c r="P40" s="101"/>
      <c r="Q40" s="101"/>
      <c r="R40" s="101"/>
      <c r="S40" s="102">
        <f t="shared" si="23"/>
        <v>0</v>
      </c>
      <c r="T40" s="101"/>
      <c r="U40" s="101"/>
      <c r="V40" s="101"/>
      <c r="W40" s="101"/>
      <c r="X40" s="101">
        <f t="shared" si="24"/>
        <v>0</v>
      </c>
      <c r="Y40" s="101">
        <f t="shared" si="17"/>
        <v>0</v>
      </c>
      <c r="Z40" s="101">
        <f t="shared" si="6"/>
        <v>0</v>
      </c>
    </row>
    <row r="41" spans="1:26" ht="57" x14ac:dyDescent="0.25">
      <c r="A41" s="116" t="s">
        <v>13</v>
      </c>
      <c r="B41" s="113" t="s">
        <v>395</v>
      </c>
      <c r="C41" s="118" t="s">
        <v>396</v>
      </c>
      <c r="D41" s="115"/>
      <c r="E41" s="144">
        <f>134600+14750</f>
        <v>149350</v>
      </c>
      <c r="F41" s="101"/>
      <c r="G41" s="101"/>
      <c r="H41" s="101"/>
      <c r="I41" s="102">
        <f t="shared" si="5"/>
        <v>149350</v>
      </c>
      <c r="J41" s="102"/>
      <c r="K41" s="102"/>
      <c r="L41" s="102"/>
      <c r="M41" s="102"/>
      <c r="N41" s="102">
        <f t="shared" si="22"/>
        <v>0</v>
      </c>
      <c r="O41" s="101"/>
      <c r="P41" s="101"/>
      <c r="Q41" s="101"/>
      <c r="R41" s="101"/>
      <c r="S41" s="102">
        <f t="shared" si="23"/>
        <v>0</v>
      </c>
      <c r="T41" s="101"/>
      <c r="U41" s="101"/>
      <c r="V41" s="101"/>
      <c r="W41" s="101"/>
      <c r="X41" s="101">
        <f t="shared" si="24"/>
        <v>0</v>
      </c>
      <c r="Y41" s="101">
        <f t="shared" si="17"/>
        <v>149350</v>
      </c>
      <c r="Z41" s="101">
        <f t="shared" si="6"/>
        <v>149350</v>
      </c>
    </row>
    <row r="42" spans="1:26" ht="23.25" x14ac:dyDescent="0.25">
      <c r="A42" s="116" t="s">
        <v>21</v>
      </c>
      <c r="B42" s="113"/>
      <c r="C42" s="118" t="s">
        <v>397</v>
      </c>
      <c r="D42" s="115"/>
      <c r="E42" s="101">
        <v>82540</v>
      </c>
      <c r="F42" s="101"/>
      <c r="G42" s="101"/>
      <c r="H42" s="101"/>
      <c r="I42" s="102">
        <f t="shared" si="5"/>
        <v>82540</v>
      </c>
      <c r="J42" s="102">
        <v>93900</v>
      </c>
      <c r="K42" s="102"/>
      <c r="L42" s="102"/>
      <c r="M42" s="102"/>
      <c r="N42" s="102">
        <f t="shared" si="22"/>
        <v>93900</v>
      </c>
      <c r="O42" s="101">
        <v>98400</v>
      </c>
      <c r="P42" s="101"/>
      <c r="Q42" s="101"/>
      <c r="R42" s="101"/>
      <c r="S42" s="102">
        <f t="shared" si="23"/>
        <v>98400</v>
      </c>
      <c r="T42" s="101">
        <v>98400</v>
      </c>
      <c r="U42" s="101"/>
      <c r="V42" s="101"/>
      <c r="W42" s="101"/>
      <c r="X42" s="101">
        <f t="shared" si="24"/>
        <v>98400</v>
      </c>
      <c r="Y42" s="101">
        <f t="shared" si="17"/>
        <v>373240</v>
      </c>
      <c r="Z42" s="101">
        <f t="shared" si="6"/>
        <v>373240</v>
      </c>
    </row>
    <row r="43" spans="1:26" ht="25.5" x14ac:dyDescent="0.25">
      <c r="A43" s="116"/>
      <c r="B43" s="113"/>
      <c r="C43" s="97" t="s">
        <v>398</v>
      </c>
      <c r="D43" s="114">
        <f>SUM(D45:D46)</f>
        <v>987736</v>
      </c>
      <c r="E43" s="98">
        <f>SUM(E45:E46)</f>
        <v>80840</v>
      </c>
      <c r="F43" s="98">
        <f>SUM(F45:F46)</f>
        <v>311230</v>
      </c>
      <c r="G43" s="98"/>
      <c r="H43" s="98"/>
      <c r="I43" s="98">
        <f t="shared" si="5"/>
        <v>392070</v>
      </c>
      <c r="J43" s="98">
        <f>SUM(J45:J46)</f>
        <v>79574</v>
      </c>
      <c r="K43" s="98">
        <f t="shared" ref="K43:M43" si="35">SUM(K45:K46)</f>
        <v>334893</v>
      </c>
      <c r="L43" s="98">
        <f t="shared" si="35"/>
        <v>0</v>
      </c>
      <c r="M43" s="98">
        <f t="shared" si="35"/>
        <v>0</v>
      </c>
      <c r="N43" s="98">
        <f t="shared" si="22"/>
        <v>414467</v>
      </c>
      <c r="O43" s="98">
        <f>SUM(O45:O46)</f>
        <v>28627</v>
      </c>
      <c r="P43" s="98">
        <f>SUM(P45:P46)</f>
        <v>39743</v>
      </c>
      <c r="Q43" s="98">
        <f t="shared" ref="Q43:R43" si="36">SUM(Q45:Q46)</f>
        <v>0</v>
      </c>
      <c r="R43" s="98">
        <f t="shared" si="36"/>
        <v>0</v>
      </c>
      <c r="S43" s="98">
        <f>SUM(O43:R43)</f>
        <v>68370</v>
      </c>
      <c r="T43" s="98">
        <f>SUM(T45:T46)</f>
        <v>34829</v>
      </c>
      <c r="U43" s="98">
        <f>SUM(U45:U46)</f>
        <v>68001</v>
      </c>
      <c r="V43" s="98">
        <f t="shared" ref="V43:W43" si="37">SUM(V45:V46)</f>
        <v>0</v>
      </c>
      <c r="W43" s="98">
        <f t="shared" si="37"/>
        <v>0</v>
      </c>
      <c r="X43" s="98">
        <f t="shared" si="24"/>
        <v>102830</v>
      </c>
      <c r="Y43" s="98">
        <f t="shared" si="17"/>
        <v>977737</v>
      </c>
      <c r="Z43" s="98">
        <f t="shared" si="6"/>
        <v>223870</v>
      </c>
    </row>
    <row r="44" spans="1:26" x14ac:dyDescent="0.25">
      <c r="A44" s="116"/>
      <c r="B44" s="142"/>
      <c r="C44" s="100" t="s">
        <v>358</v>
      </c>
      <c r="D44" s="145"/>
      <c r="E44" s="102"/>
      <c r="F44" s="102"/>
      <c r="G44" s="102"/>
      <c r="H44" s="102"/>
      <c r="I44" s="102">
        <f t="shared" si="5"/>
        <v>0</v>
      </c>
      <c r="J44" s="102"/>
      <c r="K44" s="102"/>
      <c r="L44" s="102"/>
      <c r="M44" s="102"/>
      <c r="N44" s="102">
        <f t="shared" si="22"/>
        <v>0</v>
      </c>
      <c r="O44" s="102"/>
      <c r="P44" s="102"/>
      <c r="Q44" s="102"/>
      <c r="R44" s="102"/>
      <c r="S44" s="102">
        <f t="shared" si="23"/>
        <v>0</v>
      </c>
      <c r="T44" s="101"/>
      <c r="U44" s="101"/>
      <c r="V44" s="101"/>
      <c r="W44" s="101"/>
      <c r="X44" s="101">
        <f t="shared" si="24"/>
        <v>0</v>
      </c>
      <c r="Y44" s="101">
        <f t="shared" si="17"/>
        <v>0</v>
      </c>
      <c r="Z44" s="101">
        <f t="shared" si="6"/>
        <v>0</v>
      </c>
    </row>
    <row r="45" spans="1:26" ht="23.25" x14ac:dyDescent="0.25">
      <c r="A45" s="116" t="s">
        <v>60</v>
      </c>
      <c r="B45" s="142" t="s">
        <v>399</v>
      </c>
      <c r="C45" s="118" t="s">
        <v>400</v>
      </c>
      <c r="D45" s="145">
        <f>300284+305000+21000+21000</f>
        <v>647284</v>
      </c>
      <c r="E45" s="102">
        <v>57659</v>
      </c>
      <c r="F45" s="102">
        <v>242625</v>
      </c>
      <c r="G45" s="102"/>
      <c r="H45" s="102"/>
      <c r="I45" s="102">
        <f t="shared" si="5"/>
        <v>300284</v>
      </c>
      <c r="J45" s="102">
        <v>60338</v>
      </c>
      <c r="K45" s="102">
        <v>244663</v>
      </c>
      <c r="L45" s="102"/>
      <c r="M45" s="102"/>
      <c r="N45" s="102">
        <f t="shared" si="22"/>
        <v>305001</v>
      </c>
      <c r="O45" s="102">
        <v>21000</v>
      </c>
      <c r="P45" s="102">
        <v>5000</v>
      </c>
      <c r="Q45" s="102"/>
      <c r="R45" s="102"/>
      <c r="S45" s="102">
        <f t="shared" si="23"/>
        <v>26000</v>
      </c>
      <c r="T45" s="101">
        <v>21000</v>
      </c>
      <c r="U45" s="101">
        <v>5000</v>
      </c>
      <c r="V45" s="101"/>
      <c r="W45" s="101"/>
      <c r="X45" s="101">
        <f t="shared" si="24"/>
        <v>26000</v>
      </c>
      <c r="Y45" s="101">
        <f t="shared" si="17"/>
        <v>657285</v>
      </c>
      <c r="Z45" s="101">
        <f t="shared" si="6"/>
        <v>159997</v>
      </c>
    </row>
    <row r="46" spans="1:26" ht="23.25" x14ac:dyDescent="0.25">
      <c r="A46" s="116" t="s">
        <v>61</v>
      </c>
      <c r="B46" s="142"/>
      <c r="C46" s="118" t="s">
        <v>401</v>
      </c>
      <c r="D46" s="114">
        <f>87786+118466+52370+81830</f>
        <v>340452</v>
      </c>
      <c r="E46" s="102">
        <f>23181</f>
        <v>23181</v>
      </c>
      <c r="F46" s="102">
        <f>64605+4000</f>
        <v>68605</v>
      </c>
      <c r="G46" s="102"/>
      <c r="H46" s="102"/>
      <c r="I46" s="102">
        <f t="shared" si="5"/>
        <v>91786</v>
      </c>
      <c r="J46" s="102">
        <f>28236-9000</f>
        <v>19236</v>
      </c>
      <c r="K46" s="102">
        <v>90230</v>
      </c>
      <c r="L46" s="102"/>
      <c r="M46" s="102"/>
      <c r="N46" s="102">
        <f t="shared" si="22"/>
        <v>109466</v>
      </c>
      <c r="O46" s="102">
        <f>17627-10000</f>
        <v>7627</v>
      </c>
      <c r="P46" s="102">
        <v>34743</v>
      </c>
      <c r="Q46" s="102"/>
      <c r="R46" s="102"/>
      <c r="S46" s="102">
        <f t="shared" si="23"/>
        <v>42370</v>
      </c>
      <c r="T46" s="101">
        <f>18829-5000</f>
        <v>13829</v>
      </c>
      <c r="U46" s="101">
        <v>63001</v>
      </c>
      <c r="V46" s="101"/>
      <c r="W46" s="101"/>
      <c r="X46" s="101">
        <f t="shared" si="24"/>
        <v>76830</v>
      </c>
      <c r="Y46" s="101">
        <f t="shared" si="17"/>
        <v>320452</v>
      </c>
      <c r="Z46" s="101">
        <f t="shared" si="6"/>
        <v>63873</v>
      </c>
    </row>
    <row r="47" spans="1:26" ht="25.5" x14ac:dyDescent="0.25">
      <c r="A47" s="116"/>
      <c r="B47" s="142"/>
      <c r="C47" s="97" t="s">
        <v>402</v>
      </c>
      <c r="D47" s="114">
        <f>SUM(D49:D53)</f>
        <v>149230</v>
      </c>
      <c r="E47" s="98">
        <f>SUM(E49:E53)</f>
        <v>24630</v>
      </c>
      <c r="F47" s="98">
        <f>SUM(F49:F53)</f>
        <v>0</v>
      </c>
      <c r="G47" s="98">
        <f t="shared" ref="G47:H47" si="38">SUM(G49:G53)</f>
        <v>0</v>
      </c>
      <c r="H47" s="98">
        <f t="shared" si="38"/>
        <v>5829</v>
      </c>
      <c r="I47" s="98">
        <f>SUM(E47:H47)</f>
        <v>30459</v>
      </c>
      <c r="J47" s="98">
        <f>SUM(J49:J53)</f>
        <v>30007</v>
      </c>
      <c r="K47" s="98">
        <f t="shared" ref="K47:M47" si="39">SUM(K49:K53)</f>
        <v>0</v>
      </c>
      <c r="L47" s="98">
        <f t="shared" si="39"/>
        <v>0</v>
      </c>
      <c r="M47" s="98">
        <f t="shared" si="39"/>
        <v>0</v>
      </c>
      <c r="N47" s="98">
        <f t="shared" si="22"/>
        <v>30007</v>
      </c>
      <c r="O47" s="98">
        <f>SUM(O49:O53)</f>
        <v>30147</v>
      </c>
      <c r="P47" s="98">
        <f t="shared" ref="P47:R47" si="40">SUM(P49:P53)</f>
        <v>0</v>
      </c>
      <c r="Q47" s="98">
        <f t="shared" si="40"/>
        <v>0</v>
      </c>
      <c r="R47" s="98">
        <f t="shared" si="40"/>
        <v>0</v>
      </c>
      <c r="S47" s="98">
        <f>SUM(O47:R47)</f>
        <v>30147</v>
      </c>
      <c r="T47" s="98">
        <f>SUM(T49:T53)</f>
        <v>30347</v>
      </c>
      <c r="U47" s="98">
        <f t="shared" ref="U47:W47" si="41">SUM(U49:U53)</f>
        <v>0</v>
      </c>
      <c r="V47" s="98">
        <f t="shared" si="41"/>
        <v>0</v>
      </c>
      <c r="W47" s="98">
        <f t="shared" si="41"/>
        <v>0</v>
      </c>
      <c r="X47" s="98">
        <f t="shared" si="24"/>
        <v>30347</v>
      </c>
      <c r="Y47" s="98">
        <f t="shared" si="17"/>
        <v>120960</v>
      </c>
      <c r="Z47" s="98">
        <f t="shared" si="6"/>
        <v>115131</v>
      </c>
    </row>
    <row r="48" spans="1:26" x14ac:dyDescent="0.25">
      <c r="A48" s="116"/>
      <c r="B48" s="142"/>
      <c r="C48" s="100" t="s">
        <v>358</v>
      </c>
      <c r="D48" s="115"/>
      <c r="E48" s="102"/>
      <c r="F48" s="102"/>
      <c r="G48" s="102"/>
      <c r="H48" s="102"/>
      <c r="I48" s="102">
        <f t="shared" si="5"/>
        <v>0</v>
      </c>
      <c r="J48" s="102"/>
      <c r="K48" s="102"/>
      <c r="L48" s="102"/>
      <c r="M48" s="102"/>
      <c r="N48" s="102">
        <f t="shared" si="22"/>
        <v>0</v>
      </c>
      <c r="O48" s="102"/>
      <c r="P48" s="102"/>
      <c r="Q48" s="102"/>
      <c r="R48" s="102"/>
      <c r="S48" s="102">
        <f t="shared" si="23"/>
        <v>0</v>
      </c>
      <c r="T48" s="101"/>
      <c r="U48" s="101"/>
      <c r="V48" s="101"/>
      <c r="W48" s="101"/>
      <c r="X48" s="101">
        <f t="shared" si="24"/>
        <v>0</v>
      </c>
      <c r="Y48" s="101">
        <f t="shared" si="17"/>
        <v>0</v>
      </c>
      <c r="Z48" s="101">
        <f t="shared" si="6"/>
        <v>0</v>
      </c>
    </row>
    <row r="49" spans="1:26" ht="48" x14ac:dyDescent="0.3">
      <c r="A49" s="116" t="s">
        <v>22</v>
      </c>
      <c r="B49" s="142" t="s">
        <v>403</v>
      </c>
      <c r="C49" s="118" t="s">
        <v>404</v>
      </c>
      <c r="D49" s="115">
        <f>27830+20795+20935+21135</f>
        <v>90695</v>
      </c>
      <c r="E49" s="146">
        <f>22001-2795</f>
        <v>19206</v>
      </c>
      <c r="F49" s="146"/>
      <c r="G49" s="102"/>
      <c r="H49" s="102">
        <v>5829</v>
      </c>
      <c r="I49" s="102">
        <f t="shared" si="5"/>
        <v>25035</v>
      </c>
      <c r="J49" s="102">
        <v>20795</v>
      </c>
      <c r="K49" s="102"/>
      <c r="L49" s="102"/>
      <c r="M49" s="102"/>
      <c r="N49" s="102">
        <f t="shared" si="22"/>
        <v>20795</v>
      </c>
      <c r="O49" s="102">
        <v>20935</v>
      </c>
      <c r="P49" s="102"/>
      <c r="Q49" s="102"/>
      <c r="R49" s="102"/>
      <c r="S49" s="102">
        <f t="shared" si="23"/>
        <v>20935</v>
      </c>
      <c r="T49" s="101">
        <v>21135</v>
      </c>
      <c r="U49" s="101"/>
      <c r="V49" s="101"/>
      <c r="W49" s="101"/>
      <c r="X49" s="101">
        <f t="shared" si="24"/>
        <v>21135</v>
      </c>
      <c r="Y49" s="101">
        <f t="shared" si="17"/>
        <v>87900</v>
      </c>
      <c r="Z49" s="101">
        <f t="shared" si="6"/>
        <v>82071</v>
      </c>
    </row>
    <row r="50" spans="1:26" ht="30" x14ac:dyDescent="0.3">
      <c r="A50" s="116" t="s">
        <v>216</v>
      </c>
      <c r="B50" s="113"/>
      <c r="C50" s="118" t="s">
        <v>405</v>
      </c>
      <c r="D50" s="115"/>
      <c r="E50" s="102">
        <v>3904</v>
      </c>
      <c r="F50" s="147"/>
      <c r="G50" s="147"/>
      <c r="H50" s="102"/>
      <c r="I50" s="102">
        <f t="shared" si="5"/>
        <v>3904</v>
      </c>
      <c r="J50" s="102">
        <v>7695</v>
      </c>
      <c r="K50" s="102"/>
      <c r="L50" s="102"/>
      <c r="M50" s="102"/>
      <c r="N50" s="102">
        <f>SUM(J50:M50)</f>
        <v>7695</v>
      </c>
      <c r="O50" s="102">
        <v>7695</v>
      </c>
      <c r="P50" s="102"/>
      <c r="Q50" s="102"/>
      <c r="R50" s="102"/>
      <c r="S50" s="102">
        <f>SUM(O50:R50)</f>
        <v>7695</v>
      </c>
      <c r="T50" s="101">
        <v>7695</v>
      </c>
      <c r="U50" s="101"/>
      <c r="V50" s="101"/>
      <c r="W50" s="101"/>
      <c r="X50" s="101">
        <f>SUM(T50:W50)</f>
        <v>7695</v>
      </c>
      <c r="Y50" s="101">
        <f t="shared" si="17"/>
        <v>26989</v>
      </c>
      <c r="Z50" s="101">
        <f>T50+O50+J50+E50</f>
        <v>26989</v>
      </c>
    </row>
    <row r="51" spans="1:26" ht="60" x14ac:dyDescent="0.3">
      <c r="A51" s="148"/>
      <c r="B51" s="113"/>
      <c r="C51" s="118" t="s">
        <v>406</v>
      </c>
      <c r="D51" s="115"/>
      <c r="E51" s="102"/>
      <c r="F51" s="102"/>
      <c r="G51" s="102"/>
      <c r="H51" s="102"/>
      <c r="I51" s="102"/>
      <c r="J51" s="132"/>
      <c r="K51" s="102"/>
      <c r="L51" s="102"/>
      <c r="M51" s="102"/>
      <c r="N51" s="102">
        <f t="shared" si="22"/>
        <v>0</v>
      </c>
      <c r="O51" s="132"/>
      <c r="P51" s="102"/>
      <c r="Q51" s="102"/>
      <c r="R51" s="102"/>
      <c r="S51" s="102">
        <f t="shared" si="23"/>
        <v>0</v>
      </c>
      <c r="T51" s="132"/>
      <c r="U51" s="101"/>
      <c r="V51" s="101"/>
      <c r="W51" s="101"/>
      <c r="X51" s="101">
        <f>T50+U51+V51+W51</f>
        <v>7695</v>
      </c>
      <c r="Y51" s="101">
        <f t="shared" si="17"/>
        <v>7695</v>
      </c>
      <c r="Z51" s="101">
        <f>E51+J50+O50+T50</f>
        <v>23085</v>
      </c>
    </row>
    <row r="52" spans="1:26" ht="90" x14ac:dyDescent="0.3">
      <c r="A52" s="148" t="s">
        <v>215</v>
      </c>
      <c r="B52" s="113"/>
      <c r="C52" s="118" t="s">
        <v>407</v>
      </c>
      <c r="D52" s="115"/>
      <c r="E52" s="102">
        <v>1520</v>
      </c>
      <c r="F52" s="102"/>
      <c r="G52" s="102"/>
      <c r="H52" s="102"/>
      <c r="I52" s="102">
        <f t="shared" si="5"/>
        <v>1520</v>
      </c>
      <c r="J52" s="102">
        <v>1517</v>
      </c>
      <c r="K52" s="102"/>
      <c r="L52" s="102"/>
      <c r="M52" s="102"/>
      <c r="N52" s="102">
        <f t="shared" si="22"/>
        <v>1517</v>
      </c>
      <c r="O52" s="102">
        <v>1517</v>
      </c>
      <c r="P52" s="102"/>
      <c r="Q52" s="102"/>
      <c r="R52" s="102"/>
      <c r="S52" s="102">
        <f t="shared" si="23"/>
        <v>1517</v>
      </c>
      <c r="T52" s="101">
        <v>1517</v>
      </c>
      <c r="U52" s="101"/>
      <c r="V52" s="101"/>
      <c r="W52" s="101"/>
      <c r="X52" s="101">
        <f t="shared" si="24"/>
        <v>1517</v>
      </c>
      <c r="Y52" s="101">
        <f t="shared" si="17"/>
        <v>6071</v>
      </c>
      <c r="Z52" s="101">
        <f t="shared" si="6"/>
        <v>6071</v>
      </c>
    </row>
    <row r="53" spans="1:26" x14ac:dyDescent="0.25">
      <c r="A53" s="116"/>
      <c r="B53" s="113"/>
      <c r="C53" s="149"/>
      <c r="D53" s="114">
        <f>SUM(D55:D59)</f>
        <v>58535</v>
      </c>
      <c r="E53" s="102"/>
      <c r="F53" s="102"/>
      <c r="G53" s="102"/>
      <c r="H53" s="102"/>
      <c r="I53" s="102">
        <f t="shared" si="5"/>
        <v>0</v>
      </c>
      <c r="J53" s="102"/>
      <c r="K53" s="102"/>
      <c r="L53" s="102"/>
      <c r="M53" s="102"/>
      <c r="N53" s="102">
        <f t="shared" si="22"/>
        <v>0</v>
      </c>
      <c r="O53" s="102"/>
      <c r="P53" s="102"/>
      <c r="Q53" s="102"/>
      <c r="R53" s="102"/>
      <c r="S53" s="102">
        <f t="shared" si="23"/>
        <v>0</v>
      </c>
      <c r="T53" s="101"/>
      <c r="U53" s="101"/>
      <c r="V53" s="101"/>
      <c r="W53" s="101"/>
      <c r="X53" s="101">
        <f t="shared" si="24"/>
        <v>0</v>
      </c>
      <c r="Y53" s="101">
        <f t="shared" si="17"/>
        <v>0</v>
      </c>
      <c r="Z53" s="101">
        <f t="shared" si="6"/>
        <v>0</v>
      </c>
    </row>
    <row r="54" spans="1:26" ht="38.25" x14ac:dyDescent="0.25">
      <c r="A54" s="116"/>
      <c r="B54" s="113"/>
      <c r="C54" s="97" t="s">
        <v>408</v>
      </c>
      <c r="D54" s="114"/>
      <c r="E54" s="98">
        <f>SUM(E56:E59)</f>
        <v>1650</v>
      </c>
      <c r="F54" s="98">
        <f>SUM(F56:F59)</f>
        <v>8393</v>
      </c>
      <c r="G54" s="98">
        <f t="shared" ref="G54:H54" si="42">SUM(G56:G59)</f>
        <v>0</v>
      </c>
      <c r="H54" s="98">
        <f t="shared" si="42"/>
        <v>0</v>
      </c>
      <c r="I54" s="98">
        <f t="shared" si="5"/>
        <v>10043</v>
      </c>
      <c r="J54" s="98">
        <f>SUM(J55:J59)</f>
        <v>875</v>
      </c>
      <c r="K54" s="98">
        <f t="shared" ref="K54:M54" si="43">SUM(K55:K59)</f>
        <v>7347</v>
      </c>
      <c r="L54" s="98">
        <f t="shared" si="43"/>
        <v>0</v>
      </c>
      <c r="M54" s="98">
        <f t="shared" si="43"/>
        <v>0</v>
      </c>
      <c r="N54" s="98">
        <f>SUM(J54:M54)</f>
        <v>8222</v>
      </c>
      <c r="O54" s="98">
        <f>SUM(O55:O59)</f>
        <v>750</v>
      </c>
      <c r="P54" s="98">
        <f t="shared" ref="P54:R54" si="44">SUM(P55:P59)</f>
        <v>6000</v>
      </c>
      <c r="Q54" s="98">
        <f t="shared" si="44"/>
        <v>0</v>
      </c>
      <c r="R54" s="98">
        <f t="shared" si="44"/>
        <v>0</v>
      </c>
      <c r="S54" s="98">
        <f>SUM(O54:R54)</f>
        <v>6750</v>
      </c>
      <c r="T54" s="98">
        <f>SUM(T55:T59)</f>
        <v>5450</v>
      </c>
      <c r="U54" s="98">
        <f t="shared" ref="U54:W54" si="45">SUM(U55:U59)</f>
        <v>6000</v>
      </c>
      <c r="V54" s="98">
        <f t="shared" si="45"/>
        <v>0</v>
      </c>
      <c r="W54" s="98">
        <f t="shared" si="45"/>
        <v>0</v>
      </c>
      <c r="X54" s="98">
        <f>SUM(T54:W54)</f>
        <v>11450</v>
      </c>
      <c r="Y54" s="98">
        <f t="shared" si="17"/>
        <v>36465</v>
      </c>
      <c r="Z54" s="98">
        <f t="shared" si="6"/>
        <v>8725</v>
      </c>
    </row>
    <row r="55" spans="1:26" x14ac:dyDescent="0.25">
      <c r="A55" s="116"/>
      <c r="B55" s="113"/>
      <c r="C55" s="100" t="s">
        <v>358</v>
      </c>
      <c r="D55" s="150"/>
      <c r="E55" s="102"/>
      <c r="F55" s="102"/>
      <c r="G55" s="102"/>
      <c r="H55" s="102"/>
      <c r="I55" s="102">
        <f t="shared" si="5"/>
        <v>0</v>
      </c>
      <c r="J55" s="102"/>
      <c r="K55" s="102"/>
      <c r="L55" s="102"/>
      <c r="M55" s="102"/>
      <c r="N55" s="102">
        <f t="shared" si="22"/>
        <v>0</v>
      </c>
      <c r="O55" s="102"/>
      <c r="P55" s="102"/>
      <c r="Q55" s="102"/>
      <c r="R55" s="102"/>
      <c r="S55" s="102">
        <f t="shared" si="23"/>
        <v>0</v>
      </c>
      <c r="T55" s="101"/>
      <c r="U55" s="101"/>
      <c r="V55" s="101"/>
      <c r="W55" s="101"/>
      <c r="X55" s="101">
        <f t="shared" si="24"/>
        <v>0</v>
      </c>
      <c r="Y55" s="101">
        <f t="shared" si="17"/>
        <v>0</v>
      </c>
      <c r="Z55" s="101">
        <f t="shared" si="6"/>
        <v>0</v>
      </c>
    </row>
    <row r="56" spans="1:26" ht="30" x14ac:dyDescent="0.3">
      <c r="A56" s="151" t="s">
        <v>52</v>
      </c>
      <c r="B56" s="113"/>
      <c r="C56" s="118" t="s">
        <v>409</v>
      </c>
      <c r="D56" s="114"/>
      <c r="E56" s="102">
        <v>100</v>
      </c>
      <c r="F56" s="146"/>
      <c r="G56" s="102"/>
      <c r="H56" s="102"/>
      <c r="I56" s="102">
        <f t="shared" si="5"/>
        <v>100</v>
      </c>
      <c r="J56" s="102">
        <v>150</v>
      </c>
      <c r="K56" s="102"/>
      <c r="L56" s="102"/>
      <c r="M56" s="102"/>
      <c r="N56" s="102">
        <f t="shared" si="22"/>
        <v>150</v>
      </c>
      <c r="O56" s="102">
        <v>150</v>
      </c>
      <c r="P56" s="102"/>
      <c r="Q56" s="102"/>
      <c r="R56" s="102"/>
      <c r="S56" s="102">
        <f t="shared" si="23"/>
        <v>150</v>
      </c>
      <c r="T56" s="101">
        <v>150</v>
      </c>
      <c r="U56" s="101"/>
      <c r="V56" s="101"/>
      <c r="W56" s="101"/>
      <c r="X56" s="101">
        <f t="shared" si="24"/>
        <v>150</v>
      </c>
      <c r="Y56" s="101">
        <f t="shared" si="17"/>
        <v>550</v>
      </c>
      <c r="Z56" s="101">
        <f t="shared" si="6"/>
        <v>550</v>
      </c>
    </row>
    <row r="57" spans="1:26" ht="48" x14ac:dyDescent="0.3">
      <c r="A57" s="152" t="s">
        <v>410</v>
      </c>
      <c r="B57" s="113"/>
      <c r="C57" s="118" t="s">
        <v>411</v>
      </c>
      <c r="D57" s="114">
        <f>20863+13272+12100+12300</f>
        <v>58535</v>
      </c>
      <c r="E57" s="102">
        <f>6250-4700-100</f>
        <v>1450</v>
      </c>
      <c r="F57" s="102">
        <f>8393-1223</f>
        <v>7170</v>
      </c>
      <c r="G57" s="102"/>
      <c r="H57" s="102"/>
      <c r="I57" s="102">
        <f t="shared" si="5"/>
        <v>8620</v>
      </c>
      <c r="J57" s="102">
        <v>600</v>
      </c>
      <c r="K57" s="102">
        <v>6000</v>
      </c>
      <c r="L57" s="102"/>
      <c r="M57" s="102"/>
      <c r="N57" s="102">
        <f t="shared" si="22"/>
        <v>6600</v>
      </c>
      <c r="O57" s="102">
        <v>600</v>
      </c>
      <c r="P57" s="102">
        <v>6000</v>
      </c>
      <c r="Q57" s="102"/>
      <c r="R57" s="102"/>
      <c r="S57" s="102">
        <f t="shared" si="23"/>
        <v>6600</v>
      </c>
      <c r="T57" s="101">
        <v>5300</v>
      </c>
      <c r="U57" s="101">
        <v>6000</v>
      </c>
      <c r="V57" s="101"/>
      <c r="W57" s="101"/>
      <c r="X57" s="101">
        <f t="shared" si="24"/>
        <v>11300</v>
      </c>
      <c r="Y57" s="101">
        <f t="shared" si="17"/>
        <v>33120</v>
      </c>
      <c r="Z57" s="101">
        <f t="shared" si="6"/>
        <v>7950</v>
      </c>
    </row>
    <row r="58" spans="1:26" ht="45" x14ac:dyDescent="0.3">
      <c r="A58" s="116" t="s">
        <v>29</v>
      </c>
      <c r="B58" s="113"/>
      <c r="C58" s="118" t="s">
        <v>412</v>
      </c>
      <c r="D58" s="115"/>
      <c r="E58" s="199" t="s">
        <v>584</v>
      </c>
      <c r="F58" s="146"/>
      <c r="G58" s="102"/>
      <c r="H58" s="102"/>
      <c r="I58" s="102">
        <f t="shared" si="5"/>
        <v>0</v>
      </c>
      <c r="J58" s="153"/>
      <c r="K58" s="153"/>
      <c r="L58" s="102"/>
      <c r="M58" s="102"/>
      <c r="N58" s="102">
        <f t="shared" si="22"/>
        <v>0</v>
      </c>
      <c r="O58" s="102"/>
      <c r="P58" s="102"/>
      <c r="Q58" s="102"/>
      <c r="R58" s="102"/>
      <c r="S58" s="102">
        <f t="shared" si="23"/>
        <v>0</v>
      </c>
      <c r="T58" s="101"/>
      <c r="U58" s="101"/>
      <c r="V58" s="101"/>
      <c r="W58" s="101"/>
      <c r="X58" s="101">
        <f t="shared" si="24"/>
        <v>0</v>
      </c>
      <c r="Y58" s="101">
        <f t="shared" si="17"/>
        <v>0</v>
      </c>
      <c r="Z58" s="101" t="e">
        <f t="shared" si="6"/>
        <v>#VALUE!</v>
      </c>
    </row>
    <row r="59" spans="1:26" x14ac:dyDescent="0.25">
      <c r="A59" s="116" t="s">
        <v>28</v>
      </c>
      <c r="B59" s="113"/>
      <c r="C59" s="154" t="s">
        <v>413</v>
      </c>
      <c r="D59" s="115"/>
      <c r="E59" s="102">
        <v>100</v>
      </c>
      <c r="F59" s="102">
        <v>1223</v>
      </c>
      <c r="G59" s="102"/>
      <c r="H59" s="102"/>
      <c r="I59" s="102">
        <f t="shared" si="5"/>
        <v>1323</v>
      </c>
      <c r="J59" s="102">
        <v>125</v>
      </c>
      <c r="K59" s="102">
        <v>1347</v>
      </c>
      <c r="L59" s="102"/>
      <c r="M59" s="102"/>
      <c r="N59" s="102">
        <f t="shared" si="22"/>
        <v>1472</v>
      </c>
      <c r="O59" s="102"/>
      <c r="P59" s="102"/>
      <c r="Q59" s="102"/>
      <c r="R59" s="102"/>
      <c r="S59" s="102">
        <f t="shared" si="23"/>
        <v>0</v>
      </c>
      <c r="T59" s="101"/>
      <c r="U59" s="101"/>
      <c r="V59" s="101"/>
      <c r="W59" s="101"/>
      <c r="X59" s="101">
        <f t="shared" si="24"/>
        <v>0</v>
      </c>
      <c r="Y59" s="101">
        <f t="shared" si="17"/>
        <v>2795</v>
      </c>
      <c r="Z59" s="101">
        <f t="shared" si="6"/>
        <v>225</v>
      </c>
    </row>
    <row r="60" spans="1:26" ht="16.5" customHeight="1" x14ac:dyDescent="0.25">
      <c r="A60" s="116"/>
      <c r="C60" s="97" t="s">
        <v>414</v>
      </c>
      <c r="D60" s="115">
        <f t="shared" ref="D60:M60" si="46">SUM(D62:D69)</f>
        <v>0</v>
      </c>
      <c r="E60" s="98">
        <f t="shared" si="46"/>
        <v>94747</v>
      </c>
      <c r="F60" s="98">
        <f t="shared" si="46"/>
        <v>19811</v>
      </c>
      <c r="G60" s="98">
        <f t="shared" si="46"/>
        <v>0</v>
      </c>
      <c r="H60" s="98">
        <f t="shared" si="46"/>
        <v>0</v>
      </c>
      <c r="I60" s="98">
        <f>SUM(E60:H60)</f>
        <v>114558</v>
      </c>
      <c r="J60" s="98">
        <f t="shared" si="46"/>
        <v>0</v>
      </c>
      <c r="K60" s="98">
        <f t="shared" si="46"/>
        <v>0</v>
      </c>
      <c r="L60" s="98">
        <f t="shared" si="46"/>
        <v>0</v>
      </c>
      <c r="M60" s="98">
        <f t="shared" si="46"/>
        <v>0</v>
      </c>
      <c r="N60" s="98">
        <f>SUM(J60:M60)</f>
        <v>0</v>
      </c>
      <c r="O60" s="98">
        <f>SUM(O62:O69)</f>
        <v>0</v>
      </c>
      <c r="P60" s="98">
        <f>SUM(P62:P69)</f>
        <v>0</v>
      </c>
      <c r="Q60" s="98">
        <f>SUM(Q62:Q69)</f>
        <v>0</v>
      </c>
      <c r="R60" s="98">
        <f>SUM(R62:R69)</f>
        <v>0</v>
      </c>
      <c r="S60" s="98">
        <f>SUM(O60:R60)</f>
        <v>0</v>
      </c>
      <c r="T60" s="98">
        <f>SUM(T61:T69)</f>
        <v>0</v>
      </c>
      <c r="U60" s="98">
        <f t="shared" ref="U60:W60" si="47">SUM(U61:U69)</f>
        <v>0</v>
      </c>
      <c r="V60" s="98">
        <f t="shared" si="47"/>
        <v>0</v>
      </c>
      <c r="W60" s="98">
        <f t="shared" si="47"/>
        <v>0</v>
      </c>
      <c r="X60" s="98">
        <f>SUM(T60:W60)</f>
        <v>0</v>
      </c>
      <c r="Y60" s="98">
        <f t="shared" si="17"/>
        <v>114558</v>
      </c>
      <c r="Z60" s="98">
        <f t="shared" si="6"/>
        <v>94747</v>
      </c>
    </row>
    <row r="61" spans="1:26" x14ac:dyDescent="0.25">
      <c r="A61" s="116"/>
      <c r="C61" s="100" t="s">
        <v>358</v>
      </c>
      <c r="D61" s="115"/>
      <c r="E61" s="102"/>
      <c r="F61" s="102"/>
      <c r="G61" s="102"/>
      <c r="H61" s="102"/>
      <c r="I61" s="102">
        <f t="shared" si="5"/>
        <v>0</v>
      </c>
      <c r="J61" s="102"/>
      <c r="K61" s="102"/>
      <c r="L61" s="102"/>
      <c r="M61" s="102"/>
      <c r="N61" s="102">
        <f t="shared" si="22"/>
        <v>0</v>
      </c>
      <c r="O61" s="102"/>
      <c r="P61" s="102"/>
      <c r="Q61" s="102"/>
      <c r="R61" s="102"/>
      <c r="S61" s="102">
        <f t="shared" si="23"/>
        <v>0</v>
      </c>
      <c r="T61" s="101"/>
      <c r="U61" s="101"/>
      <c r="V61" s="101"/>
      <c r="W61" s="101"/>
      <c r="X61" s="101">
        <f t="shared" si="24"/>
        <v>0</v>
      </c>
      <c r="Y61" s="101">
        <f t="shared" si="17"/>
        <v>0</v>
      </c>
      <c r="Z61" s="101">
        <f t="shared" si="6"/>
        <v>0</v>
      </c>
    </row>
    <row r="62" spans="1:26" ht="92.45" customHeight="1" x14ac:dyDescent="0.3">
      <c r="A62" s="155" t="s">
        <v>62</v>
      </c>
      <c r="C62" s="118" t="s">
        <v>415</v>
      </c>
      <c r="D62" s="115"/>
      <c r="E62" s="102">
        <f>10872</f>
        <v>10872</v>
      </c>
      <c r="F62" s="102"/>
      <c r="G62" s="102"/>
      <c r="H62" s="102"/>
      <c r="I62" s="102">
        <f t="shared" si="5"/>
        <v>10872</v>
      </c>
      <c r="J62" s="102"/>
      <c r="K62" s="102"/>
      <c r="L62" s="102"/>
      <c r="M62" s="102"/>
      <c r="N62" s="102">
        <f t="shared" si="22"/>
        <v>0</v>
      </c>
      <c r="O62" s="102"/>
      <c r="P62" s="102"/>
      <c r="Q62" s="102"/>
      <c r="R62" s="102"/>
      <c r="S62" s="102">
        <f t="shared" si="23"/>
        <v>0</v>
      </c>
      <c r="T62" s="101"/>
      <c r="U62" s="101"/>
      <c r="V62" s="101"/>
      <c r="W62" s="101"/>
      <c r="X62" s="101">
        <f t="shared" si="24"/>
        <v>0</v>
      </c>
      <c r="Y62" s="101">
        <f t="shared" si="17"/>
        <v>10872</v>
      </c>
      <c r="Z62" s="101">
        <f t="shared" si="6"/>
        <v>10872</v>
      </c>
    </row>
    <row r="63" spans="1:26" ht="63.6" customHeight="1" x14ac:dyDescent="0.3">
      <c r="A63" s="155" t="s">
        <v>63</v>
      </c>
      <c r="C63" s="118" t="s">
        <v>416</v>
      </c>
      <c r="D63" s="115"/>
      <c r="E63" s="132">
        <v>500</v>
      </c>
      <c r="F63" s="102">
        <f>9100+36+10000</f>
        <v>19136</v>
      </c>
      <c r="G63" s="102"/>
      <c r="H63" s="102"/>
      <c r="I63" s="102">
        <f>SUM(F63:H63)</f>
        <v>19136</v>
      </c>
      <c r="J63" s="102"/>
      <c r="K63" s="102"/>
      <c r="L63" s="102"/>
      <c r="M63" s="102"/>
      <c r="N63" s="102">
        <f t="shared" si="22"/>
        <v>0</v>
      </c>
      <c r="O63" s="102"/>
      <c r="P63" s="102"/>
      <c r="Q63" s="102"/>
      <c r="R63" s="102"/>
      <c r="S63" s="102">
        <f t="shared" si="23"/>
        <v>0</v>
      </c>
      <c r="T63" s="101"/>
      <c r="U63" s="101"/>
      <c r="V63" s="101"/>
      <c r="W63" s="101"/>
      <c r="X63" s="101">
        <f t="shared" si="24"/>
        <v>0</v>
      </c>
      <c r="Y63" s="101">
        <f t="shared" si="17"/>
        <v>19136</v>
      </c>
      <c r="Z63" s="101">
        <f>F63+J63+O63+T63</f>
        <v>19136</v>
      </c>
    </row>
    <row r="64" spans="1:26" ht="105" x14ac:dyDescent="0.3">
      <c r="A64" s="156" t="s">
        <v>417</v>
      </c>
      <c r="C64" s="118" t="s">
        <v>418</v>
      </c>
      <c r="D64" s="115"/>
      <c r="E64" s="102"/>
      <c r="F64" s="102"/>
      <c r="G64" s="102"/>
      <c r="H64" s="102"/>
      <c r="I64" s="102">
        <f t="shared" si="5"/>
        <v>0</v>
      </c>
      <c r="J64" s="102"/>
      <c r="K64" s="102"/>
      <c r="L64" s="102"/>
      <c r="M64" s="102"/>
      <c r="N64" s="102">
        <f t="shared" si="22"/>
        <v>0</v>
      </c>
      <c r="O64" s="102"/>
      <c r="P64" s="102"/>
      <c r="Q64" s="102"/>
      <c r="R64" s="102"/>
      <c r="S64" s="102">
        <f t="shared" si="23"/>
        <v>0</v>
      </c>
      <c r="T64" s="101"/>
      <c r="U64" s="101"/>
      <c r="V64" s="101"/>
      <c r="W64" s="101"/>
      <c r="X64" s="101">
        <f t="shared" si="24"/>
        <v>0</v>
      </c>
      <c r="Y64" s="101">
        <f t="shared" si="17"/>
        <v>0</v>
      </c>
      <c r="Z64" s="101">
        <f t="shared" si="6"/>
        <v>0</v>
      </c>
    </row>
    <row r="65" spans="1:26" ht="60" x14ac:dyDescent="0.3">
      <c r="A65" s="155" t="s">
        <v>187</v>
      </c>
      <c r="C65" s="118" t="s">
        <v>419</v>
      </c>
      <c r="D65" s="115"/>
      <c r="E65" s="102">
        <v>54075</v>
      </c>
      <c r="F65" s="102"/>
      <c r="G65" s="102"/>
      <c r="H65" s="102"/>
      <c r="I65" s="102">
        <f t="shared" si="5"/>
        <v>54075</v>
      </c>
      <c r="J65" s="102"/>
      <c r="K65" s="102"/>
      <c r="L65" s="102"/>
      <c r="M65" s="102"/>
      <c r="N65" s="102">
        <f t="shared" si="22"/>
        <v>0</v>
      </c>
      <c r="O65" s="102"/>
      <c r="P65" s="102"/>
      <c r="Q65" s="102"/>
      <c r="R65" s="102"/>
      <c r="S65" s="102">
        <f t="shared" si="23"/>
        <v>0</v>
      </c>
      <c r="T65" s="101"/>
      <c r="U65" s="101"/>
      <c r="V65" s="101"/>
      <c r="W65" s="101"/>
      <c r="X65" s="101">
        <f t="shared" si="24"/>
        <v>0</v>
      </c>
      <c r="Y65" s="101">
        <f t="shared" si="17"/>
        <v>54075</v>
      </c>
      <c r="Z65" s="101">
        <f t="shared" si="6"/>
        <v>54075</v>
      </c>
    </row>
    <row r="66" spans="1:26" ht="105" x14ac:dyDescent="0.3">
      <c r="A66" s="157" t="s">
        <v>64</v>
      </c>
      <c r="C66" s="118" t="s">
        <v>420</v>
      </c>
      <c r="D66" s="115"/>
      <c r="E66" s="102"/>
      <c r="F66" s="102"/>
      <c r="G66" s="102"/>
      <c r="H66" s="102"/>
      <c r="I66" s="102">
        <f t="shared" si="5"/>
        <v>0</v>
      </c>
      <c r="J66" s="102"/>
      <c r="K66" s="102"/>
      <c r="L66" s="102"/>
      <c r="M66" s="102"/>
      <c r="N66" s="102">
        <f t="shared" si="22"/>
        <v>0</v>
      </c>
      <c r="O66" s="102"/>
      <c r="P66" s="102"/>
      <c r="Q66" s="102"/>
      <c r="R66" s="102"/>
      <c r="S66" s="102">
        <f t="shared" si="23"/>
        <v>0</v>
      </c>
      <c r="T66" s="101"/>
      <c r="U66" s="101"/>
      <c r="V66" s="101"/>
      <c r="W66" s="101"/>
      <c r="X66" s="101">
        <f t="shared" si="24"/>
        <v>0</v>
      </c>
      <c r="Y66" s="101">
        <f t="shared" si="17"/>
        <v>0</v>
      </c>
      <c r="Z66" s="101">
        <f t="shared" si="6"/>
        <v>0</v>
      </c>
    </row>
    <row r="67" spans="1:26" ht="68.25" x14ac:dyDescent="0.25">
      <c r="A67" s="158"/>
      <c r="C67" s="118" t="s">
        <v>421</v>
      </c>
      <c r="D67" s="115"/>
      <c r="E67" s="102">
        <f>25000+4300</f>
        <v>29300</v>
      </c>
      <c r="F67" s="102"/>
      <c r="G67" s="102"/>
      <c r="H67" s="102"/>
      <c r="I67" s="102">
        <f t="shared" si="5"/>
        <v>29300</v>
      </c>
      <c r="J67" s="102"/>
      <c r="K67" s="102"/>
      <c r="L67" s="102"/>
      <c r="M67" s="102"/>
      <c r="N67" s="102">
        <f t="shared" si="22"/>
        <v>0</v>
      </c>
      <c r="O67" s="102"/>
      <c r="P67" s="102"/>
      <c r="Q67" s="102"/>
      <c r="R67" s="102"/>
      <c r="S67" s="102">
        <f t="shared" si="23"/>
        <v>0</v>
      </c>
      <c r="T67" s="101"/>
      <c r="U67" s="101"/>
      <c r="V67" s="101"/>
      <c r="W67" s="101"/>
      <c r="X67" s="101">
        <f t="shared" si="24"/>
        <v>0</v>
      </c>
      <c r="Y67" s="101">
        <f t="shared" si="17"/>
        <v>29300</v>
      </c>
      <c r="Z67" s="101">
        <f t="shared" si="6"/>
        <v>29300</v>
      </c>
    </row>
    <row r="68" spans="1:26" ht="45" x14ac:dyDescent="0.3">
      <c r="A68" s="85" t="s">
        <v>349</v>
      </c>
      <c r="C68" s="118" t="s">
        <v>422</v>
      </c>
      <c r="D68" s="115"/>
      <c r="E68" s="102"/>
      <c r="F68" s="102">
        <f>270*2.5</f>
        <v>675</v>
      </c>
      <c r="G68" s="102"/>
      <c r="H68" s="102"/>
      <c r="I68" s="102">
        <f t="shared" si="5"/>
        <v>675</v>
      </c>
      <c r="J68" s="102"/>
      <c r="K68" s="102"/>
      <c r="L68" s="102"/>
      <c r="M68" s="102"/>
      <c r="N68" s="102">
        <f t="shared" si="22"/>
        <v>0</v>
      </c>
      <c r="O68" s="102"/>
      <c r="P68" s="102"/>
      <c r="Q68" s="102"/>
      <c r="R68" s="102"/>
      <c r="S68" s="102">
        <f t="shared" si="23"/>
        <v>0</v>
      </c>
      <c r="T68" s="101"/>
      <c r="U68" s="101"/>
      <c r="V68" s="101"/>
      <c r="W68" s="101"/>
      <c r="X68" s="101">
        <f t="shared" si="24"/>
        <v>0</v>
      </c>
      <c r="Y68" s="101">
        <f t="shared" si="17"/>
        <v>675</v>
      </c>
      <c r="Z68" s="101">
        <f t="shared" si="6"/>
        <v>0</v>
      </c>
    </row>
    <row r="69" spans="1:26" ht="90" x14ac:dyDescent="0.3">
      <c r="A69" s="85"/>
      <c r="C69" s="118" t="s">
        <v>423</v>
      </c>
      <c r="D69" s="115"/>
      <c r="E69" s="102"/>
      <c r="F69" s="102"/>
      <c r="G69" s="102"/>
      <c r="H69" s="102"/>
      <c r="I69" s="102">
        <f t="shared" ref="I69:I129" si="48">SUM(E69:H69)</f>
        <v>0</v>
      </c>
      <c r="J69" s="102"/>
      <c r="K69" s="102"/>
      <c r="L69" s="102"/>
      <c r="M69" s="102"/>
      <c r="N69" s="102">
        <f t="shared" si="22"/>
        <v>0</v>
      </c>
      <c r="O69" s="102"/>
      <c r="P69" s="102"/>
      <c r="Q69" s="102"/>
      <c r="R69" s="102"/>
      <c r="S69" s="102">
        <f t="shared" si="23"/>
        <v>0</v>
      </c>
      <c r="T69" s="101"/>
      <c r="U69" s="101"/>
      <c r="V69" s="101"/>
      <c r="W69" s="101"/>
      <c r="X69" s="101">
        <f t="shared" si="24"/>
        <v>0</v>
      </c>
      <c r="Y69" s="101">
        <f t="shared" si="17"/>
        <v>0</v>
      </c>
      <c r="Z69" s="101">
        <f t="shared" ref="Z69:Z133" si="49">E69+J69+O69+T69</f>
        <v>0</v>
      </c>
    </row>
    <row r="70" spans="1:26" ht="38.25" x14ac:dyDescent="0.25">
      <c r="A70" s="85"/>
      <c r="B70" s="119" t="s">
        <v>424</v>
      </c>
      <c r="C70" s="159" t="s">
        <v>425</v>
      </c>
      <c r="D70" s="115">
        <f t="shared" ref="D70:Z70" si="50">D71+D78+D83+D92+D98+D107</f>
        <v>34060</v>
      </c>
      <c r="E70" s="160">
        <f t="shared" si="50"/>
        <v>202635</v>
      </c>
      <c r="F70" s="160">
        <f t="shared" si="50"/>
        <v>24000</v>
      </c>
      <c r="G70" s="160">
        <f t="shared" si="50"/>
        <v>46059.5</v>
      </c>
      <c r="H70" s="160">
        <f t="shared" si="50"/>
        <v>1300</v>
      </c>
      <c r="I70" s="160">
        <f t="shared" si="50"/>
        <v>273994.5</v>
      </c>
      <c r="J70" s="160">
        <f t="shared" si="50"/>
        <v>187040</v>
      </c>
      <c r="K70" s="160">
        <f t="shared" si="50"/>
        <v>49000</v>
      </c>
      <c r="L70" s="160">
        <f t="shared" si="50"/>
        <v>8186</v>
      </c>
      <c r="M70" s="160">
        <f t="shared" si="50"/>
        <v>1500</v>
      </c>
      <c r="N70" s="160">
        <f t="shared" si="50"/>
        <v>245726</v>
      </c>
      <c r="O70" s="160">
        <f t="shared" si="50"/>
        <v>157084</v>
      </c>
      <c r="P70" s="160">
        <f t="shared" si="50"/>
        <v>49000</v>
      </c>
      <c r="Q70" s="160">
        <f t="shared" si="50"/>
        <v>622</v>
      </c>
      <c r="R70" s="160">
        <f t="shared" si="50"/>
        <v>0</v>
      </c>
      <c r="S70" s="160">
        <f t="shared" si="50"/>
        <v>206706</v>
      </c>
      <c r="T70" s="160">
        <f t="shared" si="50"/>
        <v>156584</v>
      </c>
      <c r="U70" s="160">
        <f t="shared" si="50"/>
        <v>50000</v>
      </c>
      <c r="V70" s="160">
        <f t="shared" si="50"/>
        <v>622</v>
      </c>
      <c r="W70" s="160">
        <f t="shared" si="50"/>
        <v>0</v>
      </c>
      <c r="X70" s="160">
        <f t="shared" si="50"/>
        <v>207206</v>
      </c>
      <c r="Y70" s="160">
        <f t="shared" si="50"/>
        <v>933632.5</v>
      </c>
      <c r="Z70" s="160">
        <f t="shared" si="50"/>
        <v>703343</v>
      </c>
    </row>
    <row r="71" spans="1:26" ht="33.75" customHeight="1" x14ac:dyDescent="0.25">
      <c r="A71" s="85"/>
      <c r="B71" s="129" t="s">
        <v>426</v>
      </c>
      <c r="C71" s="97" t="s">
        <v>427</v>
      </c>
      <c r="D71" s="115">
        <f>SUM(D73:D77)</f>
        <v>0</v>
      </c>
      <c r="E71" s="98">
        <f t="shared" ref="E71:G71" si="51">SUM(E73:E77)</f>
        <v>28085</v>
      </c>
      <c r="F71" s="98">
        <f t="shared" si="51"/>
        <v>0</v>
      </c>
      <c r="G71" s="98">
        <f t="shared" si="51"/>
        <v>6393</v>
      </c>
      <c r="H71" s="98">
        <f>SUM(H73:H77)</f>
        <v>0</v>
      </c>
      <c r="I71" s="98">
        <f t="shared" si="48"/>
        <v>34478</v>
      </c>
      <c r="J71" s="98">
        <f>SUM(J73:J77)</f>
        <v>30200</v>
      </c>
      <c r="K71" s="98">
        <f t="shared" ref="K71:M71" si="52">SUM(K73:K77)</f>
        <v>0</v>
      </c>
      <c r="L71" s="98">
        <f t="shared" si="52"/>
        <v>6393</v>
      </c>
      <c r="M71" s="98">
        <f t="shared" si="52"/>
        <v>0</v>
      </c>
      <c r="N71" s="98">
        <f>SUM(J71:M71)</f>
        <v>36593</v>
      </c>
      <c r="O71" s="98">
        <f>SUM(O73:O77)</f>
        <v>30200</v>
      </c>
      <c r="P71" s="98">
        <f t="shared" ref="P71:Q71" si="53">SUM(P73:P77)</f>
        <v>0</v>
      </c>
      <c r="Q71" s="98">
        <f t="shared" si="53"/>
        <v>0</v>
      </c>
      <c r="R71" s="98">
        <f>SUM(R73:R77)</f>
        <v>0</v>
      </c>
      <c r="S71" s="98">
        <f t="shared" si="23"/>
        <v>30200</v>
      </c>
      <c r="T71" s="98">
        <f>SUM(T73:T77)</f>
        <v>30200</v>
      </c>
      <c r="U71" s="98">
        <f t="shared" ref="U71:W71" si="54">SUM(U73:U77)</f>
        <v>0</v>
      </c>
      <c r="V71" s="98">
        <f t="shared" si="54"/>
        <v>0</v>
      </c>
      <c r="W71" s="98">
        <f t="shared" si="54"/>
        <v>0</v>
      </c>
      <c r="X71" s="98">
        <f t="shared" si="24"/>
        <v>30200</v>
      </c>
      <c r="Y71" s="98">
        <f t="shared" si="17"/>
        <v>131471</v>
      </c>
      <c r="Z71" s="98">
        <f t="shared" si="49"/>
        <v>118685</v>
      </c>
    </row>
    <row r="72" spans="1:26" x14ac:dyDescent="0.25">
      <c r="A72" s="85"/>
      <c r="B72" s="113"/>
      <c r="C72" s="100" t="s">
        <v>358</v>
      </c>
      <c r="D72" s="128"/>
      <c r="E72" s="102"/>
      <c r="F72" s="102"/>
      <c r="G72" s="102"/>
      <c r="H72" s="102"/>
      <c r="I72" s="102">
        <f t="shared" si="48"/>
        <v>0</v>
      </c>
      <c r="J72" s="102"/>
      <c r="K72" s="102"/>
      <c r="L72" s="102"/>
      <c r="M72" s="102"/>
      <c r="N72" s="102">
        <f t="shared" ref="N72:N136" si="55">SUM(J72:M72)</f>
        <v>0</v>
      </c>
      <c r="O72" s="102"/>
      <c r="P72" s="102"/>
      <c r="Q72" s="102"/>
      <c r="R72" s="102"/>
      <c r="S72" s="102">
        <f t="shared" si="23"/>
        <v>0</v>
      </c>
      <c r="T72" s="101"/>
      <c r="U72" s="101"/>
      <c r="V72" s="101"/>
      <c r="W72" s="101"/>
      <c r="X72" s="101">
        <f t="shared" si="24"/>
        <v>0</v>
      </c>
      <c r="Y72" s="101">
        <f t="shared" si="17"/>
        <v>0</v>
      </c>
      <c r="Z72" s="101">
        <f t="shared" si="49"/>
        <v>0</v>
      </c>
    </row>
    <row r="73" spans="1:26" ht="48.6" customHeight="1" x14ac:dyDescent="0.25">
      <c r="A73" s="124" t="s">
        <v>56</v>
      </c>
      <c r="B73" s="113"/>
      <c r="C73" s="118" t="s">
        <v>428</v>
      </c>
      <c r="D73" s="115"/>
      <c r="E73" s="102">
        <v>15000</v>
      </c>
      <c r="F73" s="102"/>
      <c r="G73" s="102"/>
      <c r="H73" s="102"/>
      <c r="I73" s="102">
        <f t="shared" si="48"/>
        <v>15000</v>
      </c>
      <c r="J73" s="102">
        <v>16500</v>
      </c>
      <c r="K73" s="102"/>
      <c r="L73" s="102"/>
      <c r="M73" s="102"/>
      <c r="N73" s="102">
        <f t="shared" si="55"/>
        <v>16500</v>
      </c>
      <c r="O73" s="102">
        <v>16500</v>
      </c>
      <c r="P73" s="102"/>
      <c r="Q73" s="102"/>
      <c r="R73" s="102"/>
      <c r="S73" s="102">
        <f>SUM(O73:R73)</f>
        <v>16500</v>
      </c>
      <c r="T73" s="101">
        <v>16500</v>
      </c>
      <c r="U73" s="101"/>
      <c r="V73" s="101"/>
      <c r="W73" s="101"/>
      <c r="X73" s="101">
        <f>SUM(T73:W73)</f>
        <v>16500</v>
      </c>
      <c r="Y73" s="101">
        <f t="shared" si="17"/>
        <v>64500</v>
      </c>
      <c r="Z73" s="101">
        <f t="shared" si="49"/>
        <v>64500</v>
      </c>
    </row>
    <row r="74" spans="1:26" ht="65.099999999999994" customHeight="1" x14ac:dyDescent="0.25">
      <c r="A74" s="124" t="s">
        <v>56</v>
      </c>
      <c r="B74" s="113"/>
      <c r="C74" s="118" t="s">
        <v>429</v>
      </c>
      <c r="D74" s="115"/>
      <c r="E74" s="102">
        <v>10500</v>
      </c>
      <c r="F74" s="102"/>
      <c r="G74" s="102"/>
      <c r="H74" s="102"/>
      <c r="I74" s="102">
        <f t="shared" si="48"/>
        <v>10500</v>
      </c>
      <c r="J74" s="102">
        <v>10500</v>
      </c>
      <c r="K74" s="102"/>
      <c r="L74" s="102"/>
      <c r="M74" s="102"/>
      <c r="N74" s="102">
        <f t="shared" si="55"/>
        <v>10500</v>
      </c>
      <c r="O74" s="102">
        <v>10500</v>
      </c>
      <c r="P74" s="102"/>
      <c r="Q74" s="102"/>
      <c r="R74" s="102"/>
      <c r="S74" s="102">
        <f t="shared" ref="S74:S138" si="56">SUM(O74:R74)</f>
        <v>10500</v>
      </c>
      <c r="T74" s="101">
        <v>10500</v>
      </c>
      <c r="U74" s="101"/>
      <c r="V74" s="101"/>
      <c r="W74" s="101"/>
      <c r="X74" s="101">
        <f t="shared" ref="X74:X77" si="57">SUM(T74:W74)</f>
        <v>10500</v>
      </c>
      <c r="Y74" s="101">
        <f t="shared" si="17"/>
        <v>42000</v>
      </c>
      <c r="Z74" s="101">
        <f t="shared" si="49"/>
        <v>42000</v>
      </c>
    </row>
    <row r="75" spans="1:26" ht="64.349999999999994" customHeight="1" x14ac:dyDescent="0.25">
      <c r="A75" s="124" t="s">
        <v>56</v>
      </c>
      <c r="B75" s="113"/>
      <c r="C75" s="118" t="s">
        <v>430</v>
      </c>
      <c r="D75" s="115"/>
      <c r="E75" s="102">
        <v>200</v>
      </c>
      <c r="F75" s="102"/>
      <c r="G75" s="102"/>
      <c r="H75" s="102"/>
      <c r="I75" s="102">
        <f t="shared" si="48"/>
        <v>200</v>
      </c>
      <c r="J75" s="102">
        <v>200</v>
      </c>
      <c r="K75" s="102"/>
      <c r="L75" s="102"/>
      <c r="M75" s="102"/>
      <c r="N75" s="102">
        <f t="shared" si="55"/>
        <v>200</v>
      </c>
      <c r="O75" s="102">
        <v>200</v>
      </c>
      <c r="P75" s="102"/>
      <c r="Q75" s="102"/>
      <c r="R75" s="102"/>
      <c r="S75" s="102">
        <f t="shared" si="56"/>
        <v>200</v>
      </c>
      <c r="T75" s="101">
        <v>200</v>
      </c>
      <c r="U75" s="101"/>
      <c r="V75" s="101"/>
      <c r="W75" s="101"/>
      <c r="X75" s="101">
        <f t="shared" si="57"/>
        <v>200</v>
      </c>
      <c r="Y75" s="101">
        <f t="shared" si="17"/>
        <v>800</v>
      </c>
      <c r="Z75" s="101">
        <f t="shared" si="49"/>
        <v>800</v>
      </c>
    </row>
    <row r="76" spans="1:26" ht="38.1" customHeight="1" x14ac:dyDescent="0.25">
      <c r="A76" s="200" t="s">
        <v>24</v>
      </c>
      <c r="B76" s="201"/>
      <c r="C76" s="202" t="s">
        <v>585</v>
      </c>
      <c r="D76" s="202" t="s">
        <v>585</v>
      </c>
      <c r="E76" s="203">
        <v>2385</v>
      </c>
      <c r="F76" s="203"/>
      <c r="G76" s="203"/>
      <c r="H76" s="203"/>
      <c r="I76" s="203">
        <f t="shared" ref="I76" si="58">SUM(E76:H76)</f>
        <v>2385</v>
      </c>
      <c r="J76" s="203">
        <v>3000</v>
      </c>
      <c r="K76" s="203"/>
      <c r="L76" s="203"/>
      <c r="M76" s="203"/>
      <c r="N76" s="203">
        <f t="shared" ref="N76" si="59">SUM(J76:M76)</f>
        <v>3000</v>
      </c>
      <c r="O76" s="203">
        <v>3000</v>
      </c>
      <c r="P76" s="203"/>
      <c r="Q76" s="203"/>
      <c r="R76" s="203"/>
      <c r="S76" s="203">
        <f t="shared" ref="S76" si="60">SUM(O76:R76)</f>
        <v>3000</v>
      </c>
      <c r="T76" s="203">
        <v>3000</v>
      </c>
      <c r="U76" s="203"/>
      <c r="V76" s="203"/>
      <c r="W76" s="203"/>
      <c r="X76" s="203">
        <f t="shared" ref="X76" si="61">T76+U76+V76+W76</f>
        <v>3000</v>
      </c>
      <c r="Y76" s="203">
        <f t="shared" ref="Y76" si="62">I76+N76+S76+X76</f>
        <v>11385</v>
      </c>
      <c r="Z76" s="203">
        <f t="shared" ref="Z76" si="63">E76+J76+O76+T76</f>
        <v>11385</v>
      </c>
    </row>
    <row r="77" spans="1:26" ht="45.75" x14ac:dyDescent="0.25">
      <c r="A77" s="124" t="s">
        <v>24</v>
      </c>
      <c r="B77" s="113"/>
      <c r="C77" s="118" t="s">
        <v>431</v>
      </c>
      <c r="E77" s="132"/>
      <c r="F77" s="102"/>
      <c r="G77" s="102">
        <f>12786/2</f>
        <v>6393</v>
      </c>
      <c r="H77" s="102"/>
      <c r="I77" s="102">
        <f t="shared" si="48"/>
        <v>6393</v>
      </c>
      <c r="J77" s="102"/>
      <c r="K77" s="102"/>
      <c r="L77" s="102">
        <f>12786/2</f>
        <v>6393</v>
      </c>
      <c r="M77" s="102"/>
      <c r="N77" s="102">
        <f t="shared" si="55"/>
        <v>6393</v>
      </c>
      <c r="O77" s="102"/>
      <c r="P77" s="102"/>
      <c r="Q77" s="102"/>
      <c r="R77" s="102"/>
      <c r="S77" s="102">
        <f t="shared" si="56"/>
        <v>0</v>
      </c>
      <c r="T77" s="101"/>
      <c r="U77" s="101"/>
      <c r="V77" s="101"/>
      <c r="W77" s="101"/>
      <c r="X77" s="101">
        <f t="shared" si="57"/>
        <v>0</v>
      </c>
      <c r="Y77" s="101">
        <f t="shared" si="17"/>
        <v>12786</v>
      </c>
      <c r="Z77" s="101">
        <f>E77+J77+O77+T77</f>
        <v>0</v>
      </c>
    </row>
    <row r="78" spans="1:26" x14ac:dyDescent="0.25">
      <c r="A78" s="85"/>
      <c r="B78" s="113"/>
      <c r="C78" s="97" t="s">
        <v>432</v>
      </c>
      <c r="D78" s="115">
        <f>SUM(D80:D82)</f>
        <v>34060</v>
      </c>
      <c r="E78" s="98">
        <f>SUM(E80:E82)</f>
        <v>0</v>
      </c>
      <c r="F78" s="98">
        <f>SUM(F80:F82)</f>
        <v>14000</v>
      </c>
      <c r="G78" s="98">
        <f t="shared" ref="G78:H78" si="64">SUM(G80:G82)</f>
        <v>622.5</v>
      </c>
      <c r="H78" s="98">
        <f t="shared" si="64"/>
        <v>0</v>
      </c>
      <c r="I78" s="98">
        <f t="shared" si="48"/>
        <v>14622.5</v>
      </c>
      <c r="J78" s="98">
        <f>SUM(J80:J82)</f>
        <v>0</v>
      </c>
      <c r="K78" s="98">
        <f t="shared" ref="K78:M78" si="65">SUM(K80:K82)</f>
        <v>29000</v>
      </c>
      <c r="L78" s="98">
        <f t="shared" si="65"/>
        <v>1793</v>
      </c>
      <c r="M78" s="98">
        <f t="shared" si="65"/>
        <v>0</v>
      </c>
      <c r="N78" s="98">
        <f t="shared" si="55"/>
        <v>30793</v>
      </c>
      <c r="O78" s="98">
        <f>SUM(O80:O82)</f>
        <v>0</v>
      </c>
      <c r="P78" s="98">
        <f t="shared" ref="P78:R78" si="66">SUM(P80:P82)</f>
        <v>29000</v>
      </c>
      <c r="Q78" s="98">
        <f t="shared" si="66"/>
        <v>622</v>
      </c>
      <c r="R78" s="98">
        <f t="shared" si="66"/>
        <v>0</v>
      </c>
      <c r="S78" s="98">
        <f t="shared" si="56"/>
        <v>29622</v>
      </c>
      <c r="T78" s="98">
        <f>SUM(T80:T82)</f>
        <v>0</v>
      </c>
      <c r="U78" s="98">
        <f t="shared" ref="U78:W78" si="67">SUM(U80:U82)</f>
        <v>30000</v>
      </c>
      <c r="V78" s="98">
        <f t="shared" si="67"/>
        <v>622</v>
      </c>
      <c r="W78" s="98">
        <f t="shared" si="67"/>
        <v>0</v>
      </c>
      <c r="X78" s="98">
        <f t="shared" ref="X78:X141" si="68">T78+U78+V78+W78</f>
        <v>30622</v>
      </c>
      <c r="Y78" s="98">
        <f t="shared" ref="Y78:Y141" si="69">I78+N78+S78+X78</f>
        <v>105659.5</v>
      </c>
      <c r="Z78" s="98">
        <f t="shared" si="49"/>
        <v>0</v>
      </c>
    </row>
    <row r="79" spans="1:26" x14ac:dyDescent="0.25">
      <c r="A79" s="85"/>
      <c r="B79" s="113"/>
      <c r="C79" s="100" t="s">
        <v>358</v>
      </c>
      <c r="D79" s="115"/>
      <c r="E79" s="102"/>
      <c r="F79" s="102"/>
      <c r="G79" s="102"/>
      <c r="H79" s="102"/>
      <c r="I79" s="102">
        <f t="shared" si="48"/>
        <v>0</v>
      </c>
      <c r="J79" s="102"/>
      <c r="K79" s="102"/>
      <c r="L79" s="102"/>
      <c r="M79" s="102"/>
      <c r="N79" s="102">
        <f t="shared" si="55"/>
        <v>0</v>
      </c>
      <c r="O79" s="102"/>
      <c r="P79" s="102"/>
      <c r="Q79" s="102"/>
      <c r="R79" s="102"/>
      <c r="S79" s="102">
        <f t="shared" si="56"/>
        <v>0</v>
      </c>
      <c r="T79" s="101"/>
      <c r="U79" s="101"/>
      <c r="V79" s="101"/>
      <c r="W79" s="101"/>
      <c r="X79" s="101">
        <f t="shared" si="68"/>
        <v>0</v>
      </c>
      <c r="Y79" s="101">
        <f t="shared" si="69"/>
        <v>0</v>
      </c>
      <c r="Z79" s="101">
        <f t="shared" si="49"/>
        <v>0</v>
      </c>
    </row>
    <row r="80" spans="1:26" ht="90.75" x14ac:dyDescent="0.25">
      <c r="A80" s="124" t="s">
        <v>433</v>
      </c>
      <c r="B80" s="113"/>
      <c r="C80" s="161" t="s">
        <v>434</v>
      </c>
      <c r="D80" s="115">
        <v>34060</v>
      </c>
      <c r="E80" s="102"/>
      <c r="F80" s="102">
        <v>4000</v>
      </c>
      <c r="G80" s="102"/>
      <c r="H80" s="102"/>
      <c r="I80" s="102">
        <f t="shared" si="48"/>
        <v>4000</v>
      </c>
      <c r="J80" s="102"/>
      <c r="K80" s="102">
        <v>4000</v>
      </c>
      <c r="L80" s="102"/>
      <c r="M80" s="102"/>
      <c r="N80" s="102">
        <f t="shared" si="55"/>
        <v>4000</v>
      </c>
      <c r="O80" s="102"/>
      <c r="P80" s="102">
        <v>4000</v>
      </c>
      <c r="Q80" s="102"/>
      <c r="R80" s="102"/>
      <c r="S80" s="102">
        <f t="shared" si="56"/>
        <v>4000</v>
      </c>
      <c r="T80" s="101"/>
      <c r="U80" s="101">
        <v>5000</v>
      </c>
      <c r="V80" s="101"/>
      <c r="W80" s="101"/>
      <c r="X80" s="101">
        <f t="shared" si="68"/>
        <v>5000</v>
      </c>
      <c r="Y80" s="101">
        <f t="shared" si="69"/>
        <v>17000</v>
      </c>
      <c r="Z80" s="101">
        <f t="shared" si="49"/>
        <v>0</v>
      </c>
    </row>
    <row r="81" spans="1:26" ht="68.25" x14ac:dyDescent="0.25">
      <c r="A81" s="116"/>
      <c r="B81" s="113"/>
      <c r="C81" s="118" t="s">
        <v>435</v>
      </c>
      <c r="D81" s="115"/>
      <c r="E81" s="102"/>
      <c r="F81" s="102"/>
      <c r="G81" s="102">
        <f>2490/4</f>
        <v>622.5</v>
      </c>
      <c r="H81" s="102"/>
      <c r="I81" s="102">
        <f t="shared" si="48"/>
        <v>622.5</v>
      </c>
      <c r="J81" s="102"/>
      <c r="K81" s="102"/>
      <c r="L81" s="102">
        <f>622+1171</f>
        <v>1793</v>
      </c>
      <c r="M81" s="102"/>
      <c r="N81" s="102">
        <f t="shared" si="55"/>
        <v>1793</v>
      </c>
      <c r="O81" s="102"/>
      <c r="P81" s="102"/>
      <c r="Q81" s="102">
        <v>622</v>
      </c>
      <c r="R81" s="102"/>
      <c r="S81" s="102">
        <f t="shared" si="56"/>
        <v>622</v>
      </c>
      <c r="T81" s="101"/>
      <c r="U81" s="101"/>
      <c r="V81" s="101">
        <v>622</v>
      </c>
      <c r="W81" s="101"/>
      <c r="X81" s="101">
        <f t="shared" si="68"/>
        <v>622</v>
      </c>
      <c r="Y81" s="101">
        <f t="shared" si="69"/>
        <v>3659.5</v>
      </c>
      <c r="Z81" s="101">
        <f t="shared" si="49"/>
        <v>0</v>
      </c>
    </row>
    <row r="82" spans="1:26" ht="90.75" x14ac:dyDescent="0.25">
      <c r="A82" s="116" t="s">
        <v>436</v>
      </c>
      <c r="B82" s="113"/>
      <c r="C82" s="118" t="s">
        <v>437</v>
      </c>
      <c r="D82" s="115"/>
      <c r="E82" s="132">
        <v>0</v>
      </c>
      <c r="F82" s="102">
        <v>10000</v>
      </c>
      <c r="G82" s="102"/>
      <c r="H82" s="102"/>
      <c r="I82" s="102">
        <f>SUM(F82:H82)</f>
        <v>10000</v>
      </c>
      <c r="J82" s="102">
        <v>0</v>
      </c>
      <c r="K82" s="102">
        <v>25000</v>
      </c>
      <c r="L82" s="102"/>
      <c r="M82" s="102"/>
      <c r="N82" s="102">
        <f t="shared" si="55"/>
        <v>25000</v>
      </c>
      <c r="O82" s="102">
        <v>0</v>
      </c>
      <c r="P82" s="102">
        <v>25000</v>
      </c>
      <c r="Q82" s="102"/>
      <c r="R82" s="102"/>
      <c r="S82" s="102">
        <f t="shared" si="56"/>
        <v>25000</v>
      </c>
      <c r="T82" s="101"/>
      <c r="U82" s="101">
        <v>25000</v>
      </c>
      <c r="V82" s="101"/>
      <c r="W82" s="101"/>
      <c r="X82" s="101">
        <f t="shared" si="68"/>
        <v>25000</v>
      </c>
      <c r="Y82" s="101">
        <f t="shared" si="69"/>
        <v>85000</v>
      </c>
      <c r="Z82" s="101"/>
    </row>
    <row r="83" spans="1:26" ht="25.5" x14ac:dyDescent="0.25">
      <c r="A83" s="116"/>
      <c r="B83" s="113"/>
      <c r="C83" s="97" t="s">
        <v>438</v>
      </c>
      <c r="D83" s="115">
        <f>SUM(D85:D90)</f>
        <v>0</v>
      </c>
      <c r="E83" s="98">
        <f>SUM(E85:E91)</f>
        <v>54500</v>
      </c>
      <c r="F83" s="98">
        <f t="shared" ref="F83:H83" si="70">SUM(F85:F91)</f>
        <v>0</v>
      </c>
      <c r="G83" s="98">
        <f t="shared" si="70"/>
        <v>0</v>
      </c>
      <c r="H83" s="98">
        <f t="shared" si="70"/>
        <v>0</v>
      </c>
      <c r="I83" s="98">
        <f t="shared" si="48"/>
        <v>54500</v>
      </c>
      <c r="J83" s="98">
        <f>SUM(J85:J91)</f>
        <v>42000</v>
      </c>
      <c r="K83" s="98">
        <f t="shared" ref="K83:M83" si="71">SUM(K85:K91)</f>
        <v>0</v>
      </c>
      <c r="L83" s="98">
        <f t="shared" si="71"/>
        <v>0</v>
      </c>
      <c r="M83" s="98">
        <f t="shared" si="71"/>
        <v>0</v>
      </c>
      <c r="N83" s="98">
        <f t="shared" si="55"/>
        <v>42000</v>
      </c>
      <c r="O83" s="98">
        <f>SUM(O85:O91)</f>
        <v>21684</v>
      </c>
      <c r="P83" s="98">
        <f t="shared" ref="P83:R83" si="72">SUM(P85:P91)</f>
        <v>0</v>
      </c>
      <c r="Q83" s="98">
        <f t="shared" si="72"/>
        <v>0</v>
      </c>
      <c r="R83" s="98">
        <f t="shared" si="72"/>
        <v>0</v>
      </c>
      <c r="S83" s="98">
        <f t="shared" si="56"/>
        <v>21684</v>
      </c>
      <c r="T83" s="98">
        <f>SUM(T85:T91)</f>
        <v>21684</v>
      </c>
      <c r="U83" s="98">
        <f t="shared" ref="U83:W83" si="73">SUM(U85:U90)</f>
        <v>0</v>
      </c>
      <c r="V83" s="98">
        <f t="shared" si="73"/>
        <v>0</v>
      </c>
      <c r="W83" s="98">
        <f t="shared" si="73"/>
        <v>0</v>
      </c>
      <c r="X83" s="98">
        <f t="shared" si="68"/>
        <v>21684</v>
      </c>
      <c r="Y83" s="98">
        <f t="shared" si="69"/>
        <v>139868</v>
      </c>
      <c r="Z83" s="98">
        <f t="shared" si="49"/>
        <v>139868</v>
      </c>
    </row>
    <row r="84" spans="1:26" x14ac:dyDescent="0.25">
      <c r="A84" s="116"/>
      <c r="B84" s="113"/>
      <c r="C84" s="100" t="s">
        <v>358</v>
      </c>
      <c r="D84" s="128"/>
      <c r="E84" s="102"/>
      <c r="F84" s="102"/>
      <c r="G84" s="102"/>
      <c r="H84" s="102"/>
      <c r="I84" s="102">
        <f t="shared" si="48"/>
        <v>0</v>
      </c>
      <c r="J84" s="102"/>
      <c r="K84" s="102"/>
      <c r="L84" s="102"/>
      <c r="M84" s="102"/>
      <c r="N84" s="102">
        <f t="shared" si="55"/>
        <v>0</v>
      </c>
      <c r="O84" s="102"/>
      <c r="P84" s="102"/>
      <c r="Q84" s="102"/>
      <c r="R84" s="102"/>
      <c r="S84" s="102">
        <f t="shared" si="56"/>
        <v>0</v>
      </c>
      <c r="T84" s="101"/>
      <c r="U84" s="101"/>
      <c r="V84" s="101"/>
      <c r="W84" s="101"/>
      <c r="X84" s="101">
        <f t="shared" si="68"/>
        <v>0</v>
      </c>
      <c r="Y84" s="101">
        <f t="shared" si="69"/>
        <v>0</v>
      </c>
      <c r="Z84" s="101">
        <f t="shared" si="49"/>
        <v>0</v>
      </c>
    </row>
    <row r="85" spans="1:26" ht="25.5" x14ac:dyDescent="0.25">
      <c r="A85" s="116" t="s">
        <v>30</v>
      </c>
      <c r="B85" s="113"/>
      <c r="C85" s="82" t="s">
        <v>346</v>
      </c>
      <c r="D85" s="115"/>
      <c r="E85" s="81">
        <v>5000</v>
      </c>
      <c r="F85" s="81"/>
      <c r="G85" s="81"/>
      <c r="H85" s="81"/>
      <c r="I85" s="81">
        <f>SUM(E85:H85)</f>
        <v>5000</v>
      </c>
      <c r="J85" s="81">
        <v>5000</v>
      </c>
      <c r="K85" s="81"/>
      <c r="L85" s="81"/>
      <c r="M85" s="81"/>
      <c r="N85" s="81">
        <f>SUM(J85:M85)</f>
        <v>5000</v>
      </c>
      <c r="O85" s="81">
        <v>4000</v>
      </c>
      <c r="P85" s="81"/>
      <c r="Q85" s="81"/>
      <c r="R85" s="81"/>
      <c r="S85" s="81">
        <f>SUM(O85:R85)</f>
        <v>4000</v>
      </c>
      <c r="T85" s="80">
        <v>4000</v>
      </c>
      <c r="U85" s="80"/>
      <c r="V85" s="80"/>
      <c r="W85" s="80"/>
      <c r="X85" s="80">
        <f>SUM(T85:W85)</f>
        <v>4000</v>
      </c>
      <c r="Y85" s="101">
        <f t="shared" si="69"/>
        <v>18000</v>
      </c>
      <c r="Z85" s="101">
        <f t="shared" si="49"/>
        <v>18000</v>
      </c>
    </row>
    <row r="86" spans="1:26" ht="25.5" x14ac:dyDescent="0.25">
      <c r="A86" s="116" t="s">
        <v>30</v>
      </c>
      <c r="B86" s="113"/>
      <c r="C86" s="82" t="s">
        <v>347</v>
      </c>
      <c r="D86" s="115"/>
      <c r="E86" s="81">
        <v>25000</v>
      </c>
      <c r="F86" s="81"/>
      <c r="G86" s="81"/>
      <c r="H86" s="81"/>
      <c r="I86" s="81">
        <f t="shared" ref="I86:I89" si="74">SUM(E86:H86)</f>
        <v>25000</v>
      </c>
      <c r="J86" s="81">
        <v>27000</v>
      </c>
      <c r="K86" s="81"/>
      <c r="L86" s="81"/>
      <c r="M86" s="81"/>
      <c r="N86" s="81">
        <f t="shared" ref="N86:N89" si="75">SUM(J86:M86)</f>
        <v>27000</v>
      </c>
      <c r="O86" s="81">
        <v>15684</v>
      </c>
      <c r="P86" s="81"/>
      <c r="Q86" s="81"/>
      <c r="R86" s="81"/>
      <c r="S86" s="81">
        <f t="shared" ref="S86:S89" si="76">SUM(O86:R86)</f>
        <v>15684</v>
      </c>
      <c r="T86" s="80">
        <v>15684</v>
      </c>
      <c r="U86" s="80"/>
      <c r="V86" s="80"/>
      <c r="W86" s="80"/>
      <c r="X86" s="80">
        <f t="shared" ref="X86:X89" si="77">T86+U86+V86+W86</f>
        <v>15684</v>
      </c>
      <c r="Y86" s="101">
        <f t="shared" si="69"/>
        <v>83368</v>
      </c>
      <c r="Z86" s="101">
        <f t="shared" si="49"/>
        <v>83368</v>
      </c>
    </row>
    <row r="87" spans="1:26" ht="12" customHeight="1" x14ac:dyDescent="0.25">
      <c r="A87" s="116" t="s">
        <v>30</v>
      </c>
      <c r="B87" s="113"/>
      <c r="C87" s="82" t="s">
        <v>345</v>
      </c>
      <c r="D87" s="115"/>
      <c r="E87" s="81">
        <v>400</v>
      </c>
      <c r="F87" s="81"/>
      <c r="G87" s="81"/>
      <c r="H87" s="81"/>
      <c r="I87" s="81">
        <f t="shared" si="74"/>
        <v>400</v>
      </c>
      <c r="J87" s="81">
        <v>350</v>
      </c>
      <c r="K87" s="81"/>
      <c r="L87" s="81"/>
      <c r="M87" s="81"/>
      <c r="N87" s="81">
        <f t="shared" si="75"/>
        <v>350</v>
      </c>
      <c r="O87" s="81">
        <v>350</v>
      </c>
      <c r="P87" s="81"/>
      <c r="Q87" s="81"/>
      <c r="R87" s="81"/>
      <c r="S87" s="81">
        <f t="shared" si="76"/>
        <v>350</v>
      </c>
      <c r="T87" s="80">
        <v>350</v>
      </c>
      <c r="U87" s="80"/>
      <c r="V87" s="80"/>
      <c r="W87" s="80"/>
      <c r="X87" s="80">
        <f t="shared" si="77"/>
        <v>350</v>
      </c>
      <c r="Y87" s="101">
        <f t="shared" si="69"/>
        <v>1450</v>
      </c>
      <c r="Z87" s="101">
        <f t="shared" si="49"/>
        <v>1450</v>
      </c>
    </row>
    <row r="88" spans="1:26" ht="24" x14ac:dyDescent="0.25">
      <c r="A88" s="116" t="s">
        <v>30</v>
      </c>
      <c r="B88" s="142" t="s">
        <v>439</v>
      </c>
      <c r="C88" s="82" t="s">
        <v>324</v>
      </c>
      <c r="D88" s="115"/>
      <c r="E88" s="81">
        <v>1250</v>
      </c>
      <c r="F88" s="81"/>
      <c r="G88" s="81"/>
      <c r="H88" s="81"/>
      <c r="I88" s="81">
        <f t="shared" si="74"/>
        <v>1250</v>
      </c>
      <c r="J88" s="81">
        <v>1250</v>
      </c>
      <c r="K88" s="81"/>
      <c r="L88" s="81"/>
      <c r="M88" s="81"/>
      <c r="N88" s="81">
        <f t="shared" si="75"/>
        <v>1250</v>
      </c>
      <c r="O88" s="81">
        <v>1250</v>
      </c>
      <c r="P88" s="81"/>
      <c r="Q88" s="81"/>
      <c r="R88" s="81"/>
      <c r="S88" s="81">
        <f t="shared" si="76"/>
        <v>1250</v>
      </c>
      <c r="T88" s="80">
        <v>1250</v>
      </c>
      <c r="U88" s="80"/>
      <c r="V88" s="80"/>
      <c r="W88" s="80"/>
      <c r="X88" s="80">
        <f t="shared" si="77"/>
        <v>1250</v>
      </c>
      <c r="Y88" s="101">
        <f t="shared" si="69"/>
        <v>5000</v>
      </c>
      <c r="Z88" s="101">
        <f t="shared" si="49"/>
        <v>5000</v>
      </c>
    </row>
    <row r="89" spans="1:26" x14ac:dyDescent="0.25">
      <c r="A89" s="116" t="s">
        <v>30</v>
      </c>
      <c r="B89" s="113"/>
      <c r="C89" s="82" t="s">
        <v>348</v>
      </c>
      <c r="D89" s="115"/>
      <c r="E89" s="81">
        <v>350</v>
      </c>
      <c r="F89" s="81"/>
      <c r="G89" s="81"/>
      <c r="H89" s="81"/>
      <c r="I89" s="81">
        <f t="shared" si="74"/>
        <v>350</v>
      </c>
      <c r="J89" s="81">
        <v>400</v>
      </c>
      <c r="K89" s="81"/>
      <c r="L89" s="81"/>
      <c r="M89" s="81"/>
      <c r="N89" s="81">
        <f t="shared" si="75"/>
        <v>400</v>
      </c>
      <c r="O89" s="81">
        <v>400</v>
      </c>
      <c r="P89" s="81"/>
      <c r="Q89" s="81"/>
      <c r="R89" s="81"/>
      <c r="S89" s="81">
        <f t="shared" si="76"/>
        <v>400</v>
      </c>
      <c r="T89" s="80">
        <v>400</v>
      </c>
      <c r="U89" s="80"/>
      <c r="V89" s="80"/>
      <c r="W89" s="80"/>
      <c r="X89" s="80">
        <f t="shared" si="77"/>
        <v>400</v>
      </c>
      <c r="Y89" s="101">
        <f t="shared" si="69"/>
        <v>1550</v>
      </c>
      <c r="Z89" s="101">
        <f t="shared" si="49"/>
        <v>1550</v>
      </c>
    </row>
    <row r="90" spans="1:26" ht="30" x14ac:dyDescent="0.3">
      <c r="A90" s="162"/>
      <c r="B90" s="113"/>
      <c r="C90" s="204" t="s">
        <v>586</v>
      </c>
      <c r="D90" s="115"/>
      <c r="E90" s="102">
        <v>2500</v>
      </c>
      <c r="F90" s="163" t="s">
        <v>440</v>
      </c>
      <c r="G90" s="102"/>
      <c r="H90" s="102"/>
      <c r="I90" s="102">
        <f t="shared" si="48"/>
        <v>2500</v>
      </c>
      <c r="J90" s="102">
        <v>3000</v>
      </c>
      <c r="K90" s="102"/>
      <c r="L90" s="102"/>
      <c r="M90" s="102"/>
      <c r="N90" s="102">
        <f t="shared" si="55"/>
        <v>3000</v>
      </c>
      <c r="O90" s="102"/>
      <c r="P90" s="102"/>
      <c r="Q90" s="102"/>
      <c r="R90" s="102"/>
      <c r="S90" s="102">
        <f t="shared" si="56"/>
        <v>0</v>
      </c>
      <c r="T90" s="101"/>
      <c r="U90" s="101"/>
      <c r="V90" s="101"/>
      <c r="W90" s="101"/>
      <c r="X90" s="101">
        <f t="shared" si="68"/>
        <v>0</v>
      </c>
      <c r="Y90" s="101">
        <f t="shared" si="69"/>
        <v>5500</v>
      </c>
      <c r="Z90" s="101">
        <f t="shared" si="49"/>
        <v>5500</v>
      </c>
    </row>
    <row r="91" spans="1:26" x14ac:dyDescent="0.25">
      <c r="A91" s="85" t="s">
        <v>116</v>
      </c>
      <c r="B91" s="113"/>
      <c r="C91" s="164" t="s">
        <v>441</v>
      </c>
      <c r="D91" s="115"/>
      <c r="E91" s="102">
        <v>20000</v>
      </c>
      <c r="F91" s="102"/>
      <c r="G91" s="102"/>
      <c r="H91" s="102"/>
      <c r="I91" s="102">
        <f t="shared" si="48"/>
        <v>20000</v>
      </c>
      <c r="J91" s="102">
        <v>5000</v>
      </c>
      <c r="K91" s="102"/>
      <c r="L91" s="102"/>
      <c r="M91" s="102"/>
      <c r="N91" s="102">
        <f t="shared" si="55"/>
        <v>5000</v>
      </c>
      <c r="O91" s="102"/>
      <c r="P91" s="102"/>
      <c r="Q91" s="102"/>
      <c r="R91" s="102"/>
      <c r="S91" s="102"/>
      <c r="T91" s="101"/>
      <c r="U91" s="101"/>
      <c r="V91" s="101"/>
      <c r="W91" s="101"/>
      <c r="X91" s="101"/>
      <c r="Y91" s="101">
        <f t="shared" si="69"/>
        <v>25000</v>
      </c>
      <c r="Z91" s="101">
        <f t="shared" si="49"/>
        <v>25000</v>
      </c>
    </row>
    <row r="92" spans="1:26" ht="25.5" x14ac:dyDescent="0.25">
      <c r="A92" s="165"/>
      <c r="B92" s="166"/>
      <c r="C92" s="97" t="s">
        <v>442</v>
      </c>
      <c r="D92" s="115">
        <f>SUM(D94:D97)</f>
        <v>0</v>
      </c>
      <c r="E92" s="98">
        <f>SUM(E94:E97)</f>
        <v>92520</v>
      </c>
      <c r="F92" s="98">
        <f t="shared" ref="F92:H92" si="78">SUM(F94:F97)</f>
        <v>10000</v>
      </c>
      <c r="G92" s="98">
        <f t="shared" si="78"/>
        <v>39044</v>
      </c>
      <c r="H92" s="98">
        <f t="shared" si="78"/>
        <v>1300</v>
      </c>
      <c r="I92" s="98">
        <f t="shared" si="48"/>
        <v>142864</v>
      </c>
      <c r="J92" s="98">
        <f>SUM(J94:J97)</f>
        <v>87810</v>
      </c>
      <c r="K92" s="98">
        <f t="shared" ref="K92:M92" si="79">SUM(K94:K97)</f>
        <v>20000</v>
      </c>
      <c r="L92" s="98">
        <f t="shared" si="79"/>
        <v>0</v>
      </c>
      <c r="M92" s="98">
        <f t="shared" si="79"/>
        <v>1500</v>
      </c>
      <c r="N92" s="98">
        <f t="shared" si="55"/>
        <v>109310</v>
      </c>
      <c r="O92" s="98">
        <f>SUM(O94:O97)</f>
        <v>79170</v>
      </c>
      <c r="P92" s="98">
        <f t="shared" ref="P92:R92" si="80">SUM(P94:P97)</f>
        <v>20000</v>
      </c>
      <c r="Q92" s="98">
        <f t="shared" si="80"/>
        <v>0</v>
      </c>
      <c r="R92" s="98">
        <f t="shared" si="80"/>
        <v>0</v>
      </c>
      <c r="S92" s="98">
        <f t="shared" si="56"/>
        <v>99170</v>
      </c>
      <c r="T92" s="98">
        <f>SUM(T94:T97)</f>
        <v>78670</v>
      </c>
      <c r="U92" s="98">
        <f t="shared" ref="U92:W92" si="81">SUM(U94:U97)</f>
        <v>20000</v>
      </c>
      <c r="V92" s="98">
        <f t="shared" si="81"/>
        <v>0</v>
      </c>
      <c r="W92" s="98">
        <f t="shared" si="81"/>
        <v>0</v>
      </c>
      <c r="X92" s="98">
        <f t="shared" si="68"/>
        <v>98670</v>
      </c>
      <c r="Y92" s="98">
        <f t="shared" si="69"/>
        <v>450014</v>
      </c>
      <c r="Z92" s="98">
        <f t="shared" si="49"/>
        <v>338170</v>
      </c>
    </row>
    <row r="93" spans="1:26" x14ac:dyDescent="0.25">
      <c r="A93" s="85"/>
      <c r="B93" s="167"/>
      <c r="C93" s="100" t="s">
        <v>358</v>
      </c>
      <c r="D93" s="115"/>
      <c r="E93" s="102"/>
      <c r="F93" s="102"/>
      <c r="G93" s="102"/>
      <c r="H93" s="102"/>
      <c r="I93" s="102">
        <f t="shared" si="48"/>
        <v>0</v>
      </c>
      <c r="J93" s="102"/>
      <c r="K93" s="102"/>
      <c r="L93" s="102"/>
      <c r="M93" s="102"/>
      <c r="N93" s="102">
        <f t="shared" si="55"/>
        <v>0</v>
      </c>
      <c r="O93" s="102"/>
      <c r="P93" s="102"/>
      <c r="Q93" s="102"/>
      <c r="R93" s="102"/>
      <c r="S93" s="102">
        <f t="shared" si="56"/>
        <v>0</v>
      </c>
      <c r="T93" s="101"/>
      <c r="U93" s="101"/>
      <c r="V93" s="101"/>
      <c r="W93" s="101"/>
      <c r="X93" s="101">
        <f t="shared" si="68"/>
        <v>0</v>
      </c>
      <c r="Y93" s="101">
        <f t="shared" si="69"/>
        <v>0</v>
      </c>
      <c r="Z93" s="101">
        <f t="shared" si="49"/>
        <v>0</v>
      </c>
    </row>
    <row r="94" spans="1:26" ht="120" x14ac:dyDescent="0.3">
      <c r="A94" s="168" t="s">
        <v>50</v>
      </c>
      <c r="B94" s="169"/>
      <c r="C94" s="118" t="s">
        <v>443</v>
      </c>
      <c r="D94" s="115"/>
      <c r="E94" s="102">
        <f>45000+10000+9000+5000</f>
        <v>69000</v>
      </c>
      <c r="F94" s="163">
        <v>10000</v>
      </c>
      <c r="G94" s="102">
        <f>37585-1589</f>
        <v>35996</v>
      </c>
      <c r="H94" s="102">
        <v>1300</v>
      </c>
      <c r="I94" s="102">
        <f t="shared" si="48"/>
        <v>116296</v>
      </c>
      <c r="J94" s="102">
        <v>67000</v>
      </c>
      <c r="K94" s="102">
        <v>20000</v>
      </c>
      <c r="L94" s="102"/>
      <c r="M94" s="102">
        <v>1500</v>
      </c>
      <c r="N94" s="102">
        <f t="shared" si="55"/>
        <v>88500</v>
      </c>
      <c r="O94" s="102">
        <v>56500</v>
      </c>
      <c r="P94" s="102">
        <v>20000</v>
      </c>
      <c r="Q94" s="102"/>
      <c r="R94" s="102"/>
      <c r="S94" s="102">
        <f t="shared" si="56"/>
        <v>76500</v>
      </c>
      <c r="T94" s="101">
        <v>57000</v>
      </c>
      <c r="U94" s="101">
        <v>20000</v>
      </c>
      <c r="V94" s="101"/>
      <c r="W94" s="101"/>
      <c r="X94" s="101">
        <f t="shared" si="68"/>
        <v>77000</v>
      </c>
      <c r="Y94" s="101">
        <f t="shared" si="69"/>
        <v>358296</v>
      </c>
      <c r="Z94" s="101">
        <f t="shared" si="49"/>
        <v>249500</v>
      </c>
    </row>
    <row r="95" spans="1:26" ht="60" x14ac:dyDescent="0.3">
      <c r="A95" s="168" t="s">
        <v>444</v>
      </c>
      <c r="B95" s="169"/>
      <c r="C95" s="118" t="s">
        <v>445</v>
      </c>
      <c r="D95" s="115"/>
      <c r="E95" s="102">
        <f>7750-950-1190</f>
        <v>5610</v>
      </c>
      <c r="F95" s="102"/>
      <c r="G95" s="102">
        <f>2027-414</f>
        <v>1613</v>
      </c>
      <c r="H95" s="102"/>
      <c r="I95" s="102">
        <f t="shared" si="48"/>
        <v>7223</v>
      </c>
      <c r="J95" s="102">
        <v>7750</v>
      </c>
      <c r="K95" s="102"/>
      <c r="L95" s="102"/>
      <c r="M95" s="102"/>
      <c r="N95" s="102">
        <f t="shared" si="55"/>
        <v>7750</v>
      </c>
      <c r="O95" s="102">
        <v>6450</v>
      </c>
      <c r="P95" s="102"/>
      <c r="Q95" s="102"/>
      <c r="R95" s="102"/>
      <c r="S95" s="102">
        <f t="shared" si="56"/>
        <v>6450</v>
      </c>
      <c r="T95" s="101">
        <v>5450</v>
      </c>
      <c r="U95" s="101"/>
      <c r="V95" s="101"/>
      <c r="W95" s="101"/>
      <c r="X95" s="101">
        <f t="shared" si="68"/>
        <v>5450</v>
      </c>
      <c r="Y95" s="101">
        <f t="shared" si="69"/>
        <v>26873</v>
      </c>
      <c r="Z95" s="101">
        <f t="shared" si="49"/>
        <v>25260</v>
      </c>
    </row>
    <row r="96" spans="1:26" ht="29.25" customHeight="1" x14ac:dyDescent="0.3">
      <c r="A96" s="168" t="s">
        <v>446</v>
      </c>
      <c r="B96" s="169"/>
      <c r="C96" s="118" t="s">
        <v>587</v>
      </c>
      <c r="D96" s="115"/>
      <c r="E96" s="102">
        <f>25060-1700-200-6000-150</f>
        <v>17010</v>
      </c>
      <c r="F96" s="102"/>
      <c r="G96" s="102"/>
      <c r="H96" s="102"/>
      <c r="I96" s="102">
        <f t="shared" si="48"/>
        <v>17010</v>
      </c>
      <c r="J96" s="102">
        <v>13060</v>
      </c>
      <c r="K96" s="102"/>
      <c r="L96" s="102"/>
      <c r="M96" s="102"/>
      <c r="N96" s="102">
        <f t="shared" si="55"/>
        <v>13060</v>
      </c>
      <c r="O96" s="102">
        <v>16220</v>
      </c>
      <c r="P96" s="102"/>
      <c r="Q96" s="102"/>
      <c r="R96" s="102"/>
      <c r="S96" s="102">
        <f t="shared" si="56"/>
        <v>16220</v>
      </c>
      <c r="T96" s="101">
        <v>16220</v>
      </c>
      <c r="U96" s="101"/>
      <c r="V96" s="101"/>
      <c r="W96" s="101"/>
      <c r="X96" s="101">
        <f t="shared" si="68"/>
        <v>16220</v>
      </c>
      <c r="Y96" s="101">
        <f t="shared" si="69"/>
        <v>62510</v>
      </c>
      <c r="Z96" s="101">
        <f t="shared" si="49"/>
        <v>62510</v>
      </c>
    </row>
    <row r="97" spans="1:26" ht="45" x14ac:dyDescent="0.3">
      <c r="A97" s="168" t="s">
        <v>447</v>
      </c>
      <c r="B97" s="169"/>
      <c r="C97" s="118" t="s">
        <v>448</v>
      </c>
      <c r="D97" s="115"/>
      <c r="E97" s="102">
        <v>900</v>
      </c>
      <c r="F97" s="146"/>
      <c r="G97" s="102">
        <v>1435</v>
      </c>
      <c r="H97" s="102"/>
      <c r="I97" s="102">
        <f t="shared" si="48"/>
        <v>2335</v>
      </c>
      <c r="J97" s="102"/>
      <c r="K97" s="102"/>
      <c r="L97" s="102"/>
      <c r="M97" s="102"/>
      <c r="N97" s="102">
        <f t="shared" si="55"/>
        <v>0</v>
      </c>
      <c r="O97" s="102"/>
      <c r="P97" s="102"/>
      <c r="Q97" s="102"/>
      <c r="R97" s="102"/>
      <c r="S97" s="102">
        <f t="shared" si="56"/>
        <v>0</v>
      </c>
      <c r="T97" s="101"/>
      <c r="U97" s="101"/>
      <c r="V97" s="101"/>
      <c r="W97" s="101"/>
      <c r="X97" s="101">
        <f t="shared" si="68"/>
        <v>0</v>
      </c>
      <c r="Y97" s="101">
        <f t="shared" si="69"/>
        <v>2335</v>
      </c>
      <c r="Z97" s="101">
        <f t="shared" si="49"/>
        <v>900</v>
      </c>
    </row>
    <row r="98" spans="1:26" x14ac:dyDescent="0.25">
      <c r="A98" s="165" t="s">
        <v>449</v>
      </c>
      <c r="B98" s="113"/>
      <c r="C98" s="97" t="s">
        <v>450</v>
      </c>
      <c r="D98" s="115">
        <f>SUM(D100:D100:D106)</f>
        <v>0</v>
      </c>
      <c r="E98" s="98">
        <f>SUM(E100:E106)</f>
        <v>10030</v>
      </c>
      <c r="F98" s="98">
        <f t="shared" ref="F98:H98" si="82">SUM(F100:F106)</f>
        <v>0</v>
      </c>
      <c r="G98" s="98">
        <f t="shared" si="82"/>
        <v>0</v>
      </c>
      <c r="H98" s="98">
        <f t="shared" si="82"/>
        <v>0</v>
      </c>
      <c r="I98" s="98">
        <f t="shared" si="48"/>
        <v>10030</v>
      </c>
      <c r="J98" s="98">
        <f>SUM(J100:J106)</f>
        <v>9030</v>
      </c>
      <c r="K98" s="98">
        <f t="shared" ref="K98:M98" si="83">SUM(K100:K106)</f>
        <v>0</v>
      </c>
      <c r="L98" s="98"/>
      <c r="M98" s="98">
        <f t="shared" si="83"/>
        <v>0</v>
      </c>
      <c r="N98" s="98">
        <f t="shared" si="55"/>
        <v>9030</v>
      </c>
      <c r="O98" s="98">
        <f>SUM(O100:O106)</f>
        <v>8030</v>
      </c>
      <c r="P98" s="98">
        <f t="shared" ref="P98:R98" si="84">SUM(P100:P106)</f>
        <v>0</v>
      </c>
      <c r="Q98" s="98">
        <f t="shared" si="84"/>
        <v>0</v>
      </c>
      <c r="R98" s="98">
        <f t="shared" si="84"/>
        <v>0</v>
      </c>
      <c r="S98" s="98">
        <f t="shared" si="56"/>
        <v>8030</v>
      </c>
      <c r="T98" s="98">
        <f>SUM(T100:T106)</f>
        <v>8030</v>
      </c>
      <c r="U98" s="98">
        <f t="shared" ref="U98:W98" si="85">SUM(U100:U106)</f>
        <v>0</v>
      </c>
      <c r="V98" s="98">
        <f t="shared" si="85"/>
        <v>0</v>
      </c>
      <c r="W98" s="98">
        <f t="shared" si="85"/>
        <v>0</v>
      </c>
      <c r="X98" s="98">
        <f t="shared" si="68"/>
        <v>8030</v>
      </c>
      <c r="Y98" s="98">
        <f t="shared" si="69"/>
        <v>35120</v>
      </c>
      <c r="Z98" s="98">
        <f t="shared" si="49"/>
        <v>35120</v>
      </c>
    </row>
    <row r="99" spans="1:26" x14ac:dyDescent="0.25">
      <c r="A99" s="85"/>
      <c r="B99" s="113"/>
      <c r="C99" s="100" t="s">
        <v>358</v>
      </c>
      <c r="D99" s="115"/>
      <c r="E99" s="102"/>
      <c r="F99" s="102"/>
      <c r="G99" s="102"/>
      <c r="H99" s="102"/>
      <c r="I99" s="102">
        <f t="shared" si="48"/>
        <v>0</v>
      </c>
      <c r="J99" s="102"/>
      <c r="K99" s="102"/>
      <c r="L99" s="102"/>
      <c r="M99" s="102"/>
      <c r="N99" s="102">
        <f t="shared" si="55"/>
        <v>0</v>
      </c>
      <c r="O99" s="102"/>
      <c r="P99" s="102"/>
      <c r="Q99" s="102"/>
      <c r="R99" s="102"/>
      <c r="S99" s="102">
        <f t="shared" si="56"/>
        <v>0</v>
      </c>
      <c r="T99" s="101"/>
      <c r="U99" s="101"/>
      <c r="V99" s="101"/>
      <c r="W99" s="101"/>
      <c r="X99" s="101">
        <f t="shared" si="68"/>
        <v>0</v>
      </c>
      <c r="Y99" s="101">
        <f t="shared" si="69"/>
        <v>0</v>
      </c>
      <c r="Z99" s="101">
        <f t="shared" si="49"/>
        <v>0</v>
      </c>
    </row>
    <row r="100" spans="1:26" ht="30" x14ac:dyDescent="0.3">
      <c r="A100" s="116" t="s">
        <v>588</v>
      </c>
      <c r="B100" s="113"/>
      <c r="C100" s="123" t="s">
        <v>451</v>
      </c>
      <c r="D100" s="115"/>
      <c r="E100" s="170"/>
      <c r="F100" s="170"/>
      <c r="G100" s="170"/>
      <c r="H100" s="170"/>
      <c r="I100" s="170"/>
      <c r="J100" s="170"/>
      <c r="K100" s="170"/>
      <c r="L100" s="170"/>
      <c r="M100" s="170"/>
      <c r="N100" s="170"/>
      <c r="O100" s="170"/>
      <c r="P100" s="170"/>
      <c r="Q100" s="170"/>
      <c r="R100" s="170"/>
      <c r="S100" s="170"/>
      <c r="T100" s="170"/>
      <c r="U100" s="170"/>
      <c r="V100" s="170"/>
      <c r="W100" s="170"/>
      <c r="X100" s="170"/>
      <c r="Y100" s="101"/>
      <c r="Z100" s="101"/>
    </row>
    <row r="101" spans="1:26" ht="30" x14ac:dyDescent="0.3">
      <c r="A101" s="116" t="s">
        <v>56</v>
      </c>
      <c r="B101" s="113"/>
      <c r="C101" s="118" t="s">
        <v>452</v>
      </c>
      <c r="D101" s="115"/>
      <c r="E101" s="171">
        <v>1830</v>
      </c>
      <c r="F101" s="102"/>
      <c r="G101" s="102"/>
      <c r="H101" s="102"/>
      <c r="I101" s="102">
        <f t="shared" si="48"/>
        <v>1830</v>
      </c>
      <c r="J101" s="102">
        <v>1830</v>
      </c>
      <c r="K101" s="102"/>
      <c r="L101" s="102"/>
      <c r="M101" s="102"/>
      <c r="N101" s="102">
        <f t="shared" ref="N101:N106" si="86">SUM(J101:M101)</f>
        <v>1830</v>
      </c>
      <c r="O101" s="102">
        <v>1830</v>
      </c>
      <c r="P101" s="102"/>
      <c r="Q101" s="102"/>
      <c r="R101" s="102"/>
      <c r="S101" s="102">
        <f>SUM(O101:R101)</f>
        <v>1830</v>
      </c>
      <c r="T101" s="171">
        <v>1830</v>
      </c>
      <c r="U101" s="101"/>
      <c r="V101" s="101"/>
      <c r="W101" s="101"/>
      <c r="X101" s="101">
        <f>SUM(T101:W101)</f>
        <v>1830</v>
      </c>
      <c r="Y101" s="101">
        <f t="shared" si="69"/>
        <v>7320</v>
      </c>
      <c r="Z101" s="101">
        <f t="shared" si="49"/>
        <v>7320</v>
      </c>
    </row>
    <row r="102" spans="1:26" ht="30" x14ac:dyDescent="0.3">
      <c r="A102" s="116" t="s">
        <v>25</v>
      </c>
      <c r="B102" s="113"/>
      <c r="C102" s="118" t="s">
        <v>453</v>
      </c>
      <c r="D102" s="115"/>
      <c r="E102" s="102">
        <v>1000</v>
      </c>
      <c r="F102" s="102"/>
      <c r="G102" s="102"/>
      <c r="H102" s="102"/>
      <c r="I102" s="102">
        <f t="shared" si="48"/>
        <v>1000</v>
      </c>
      <c r="J102" s="102">
        <v>1000</v>
      </c>
      <c r="K102" s="102"/>
      <c r="L102" s="102"/>
      <c r="M102" s="102"/>
      <c r="N102" s="102">
        <f t="shared" si="86"/>
        <v>1000</v>
      </c>
      <c r="O102" s="102"/>
      <c r="P102" s="102"/>
      <c r="Q102" s="102"/>
      <c r="R102" s="102"/>
      <c r="S102" s="102">
        <f t="shared" ref="S102:S106" si="87">SUM(O102:R102)</f>
        <v>0</v>
      </c>
      <c r="T102" s="101"/>
      <c r="U102" s="101"/>
      <c r="V102" s="101"/>
      <c r="W102" s="101"/>
      <c r="X102" s="101">
        <f t="shared" ref="X102:X106" si="88">SUM(T102:W102)</f>
        <v>0</v>
      </c>
      <c r="Y102" s="101">
        <f t="shared" si="69"/>
        <v>2000</v>
      </c>
      <c r="Z102" s="101">
        <f t="shared" si="49"/>
        <v>2000</v>
      </c>
    </row>
    <row r="103" spans="1:26" ht="30" x14ac:dyDescent="0.3">
      <c r="A103" s="116" t="s">
        <v>25</v>
      </c>
      <c r="B103" s="113"/>
      <c r="C103" s="118" t="s">
        <v>454</v>
      </c>
      <c r="D103" s="115"/>
      <c r="E103" s="102">
        <v>1000</v>
      </c>
      <c r="F103" s="102"/>
      <c r="G103" s="102"/>
      <c r="H103" s="102"/>
      <c r="I103" s="102">
        <f t="shared" si="48"/>
        <v>1000</v>
      </c>
      <c r="J103" s="102"/>
      <c r="K103" s="102"/>
      <c r="L103" s="102"/>
      <c r="M103" s="102"/>
      <c r="N103" s="102">
        <f t="shared" si="86"/>
        <v>0</v>
      </c>
      <c r="O103" s="102"/>
      <c r="P103" s="102"/>
      <c r="Q103" s="102"/>
      <c r="R103" s="102"/>
      <c r="S103" s="102">
        <f t="shared" si="87"/>
        <v>0</v>
      </c>
      <c r="T103" s="101"/>
      <c r="U103" s="101"/>
      <c r="V103" s="101"/>
      <c r="W103" s="101"/>
      <c r="X103" s="101">
        <f t="shared" si="88"/>
        <v>0</v>
      </c>
      <c r="Y103" s="101">
        <f t="shared" si="69"/>
        <v>1000</v>
      </c>
      <c r="Z103" s="101">
        <f t="shared" si="49"/>
        <v>1000</v>
      </c>
    </row>
    <row r="104" spans="1:26" ht="30" x14ac:dyDescent="0.3">
      <c r="A104" s="116" t="s">
        <v>43</v>
      </c>
      <c r="B104" s="113"/>
      <c r="C104" s="118" t="s">
        <v>455</v>
      </c>
      <c r="D104" s="115"/>
      <c r="E104" s="102">
        <f>6000+150</f>
        <v>6150</v>
      </c>
      <c r="F104" s="102"/>
      <c r="G104" s="102"/>
      <c r="H104" s="102"/>
      <c r="I104" s="102">
        <f t="shared" si="48"/>
        <v>6150</v>
      </c>
      <c r="J104" s="102">
        <v>6150</v>
      </c>
      <c r="K104" s="102"/>
      <c r="L104" s="102"/>
      <c r="M104" s="102"/>
      <c r="N104" s="102">
        <f t="shared" si="86"/>
        <v>6150</v>
      </c>
      <c r="O104" s="102">
        <v>6150</v>
      </c>
      <c r="P104" s="102"/>
      <c r="Q104" s="102"/>
      <c r="R104" s="102"/>
      <c r="S104" s="102">
        <f t="shared" si="87"/>
        <v>6150</v>
      </c>
      <c r="T104" s="101">
        <v>6150</v>
      </c>
      <c r="U104" s="101"/>
      <c r="V104" s="101"/>
      <c r="W104" s="101"/>
      <c r="X104" s="101">
        <f t="shared" si="88"/>
        <v>6150</v>
      </c>
      <c r="Y104" s="101">
        <f t="shared" si="69"/>
        <v>24600</v>
      </c>
      <c r="Z104" s="101">
        <f t="shared" si="49"/>
        <v>24600</v>
      </c>
    </row>
    <row r="105" spans="1:26" ht="45" x14ac:dyDescent="0.3">
      <c r="A105" s="116" t="s">
        <v>25</v>
      </c>
      <c r="B105" s="113"/>
      <c r="C105" s="118" t="s">
        <v>456</v>
      </c>
      <c r="D105" s="115"/>
      <c r="E105" s="102"/>
      <c r="F105" s="102"/>
      <c r="G105" s="102"/>
      <c r="H105" s="102"/>
      <c r="I105" s="102">
        <f t="shared" si="48"/>
        <v>0</v>
      </c>
      <c r="J105" s="102"/>
      <c r="K105" s="102"/>
      <c r="L105" s="102"/>
      <c r="M105" s="102"/>
      <c r="N105" s="102">
        <f t="shared" si="86"/>
        <v>0</v>
      </c>
      <c r="O105" s="102"/>
      <c r="P105" s="102"/>
      <c r="Q105" s="102"/>
      <c r="R105" s="102"/>
      <c r="S105" s="102">
        <f t="shared" si="87"/>
        <v>0</v>
      </c>
      <c r="T105" s="101"/>
      <c r="U105" s="101"/>
      <c r="V105" s="101"/>
      <c r="W105" s="101"/>
      <c r="X105" s="101">
        <f t="shared" si="88"/>
        <v>0</v>
      </c>
      <c r="Y105" s="101">
        <f t="shared" si="69"/>
        <v>0</v>
      </c>
      <c r="Z105" s="101">
        <f t="shared" si="49"/>
        <v>0</v>
      </c>
    </row>
    <row r="106" spans="1:26" ht="15.75" x14ac:dyDescent="0.3">
      <c r="A106" s="116" t="s">
        <v>24</v>
      </c>
      <c r="B106" s="113"/>
      <c r="C106" s="118" t="s">
        <v>457</v>
      </c>
      <c r="D106" s="115"/>
      <c r="E106" s="171">
        <v>50</v>
      </c>
      <c r="F106" s="102"/>
      <c r="G106" s="102"/>
      <c r="H106" s="102"/>
      <c r="I106" s="102">
        <f t="shared" si="48"/>
        <v>50</v>
      </c>
      <c r="J106" s="102">
        <v>50</v>
      </c>
      <c r="K106" s="102"/>
      <c r="L106" s="102"/>
      <c r="M106" s="102"/>
      <c r="N106" s="102">
        <f t="shared" si="86"/>
        <v>50</v>
      </c>
      <c r="O106" s="102">
        <v>50</v>
      </c>
      <c r="P106" s="102"/>
      <c r="Q106" s="102"/>
      <c r="R106" s="102"/>
      <c r="S106" s="102">
        <f t="shared" si="87"/>
        <v>50</v>
      </c>
      <c r="T106" s="171">
        <v>50</v>
      </c>
      <c r="U106" s="101"/>
      <c r="V106" s="101"/>
      <c r="W106" s="101"/>
      <c r="X106" s="101">
        <f t="shared" si="88"/>
        <v>50</v>
      </c>
      <c r="Y106" s="101">
        <f t="shared" si="69"/>
        <v>200</v>
      </c>
      <c r="Z106" s="101">
        <f t="shared" si="49"/>
        <v>200</v>
      </c>
    </row>
    <row r="107" spans="1:26" x14ac:dyDescent="0.25">
      <c r="A107" s="85"/>
      <c r="B107" s="113"/>
      <c r="C107" s="97" t="s">
        <v>458</v>
      </c>
      <c r="D107" s="115">
        <f>SUM(D109:D112)</f>
        <v>0</v>
      </c>
      <c r="E107" s="98">
        <f>SUM(E109:E112)</f>
        <v>17500</v>
      </c>
      <c r="F107" s="98">
        <f t="shared" ref="F107:H107" si="89">SUM(F109:F112)</f>
        <v>0</v>
      </c>
      <c r="G107" s="98">
        <f t="shared" si="89"/>
        <v>0</v>
      </c>
      <c r="H107" s="98">
        <f t="shared" si="89"/>
        <v>0</v>
      </c>
      <c r="I107" s="98">
        <f t="shared" si="48"/>
        <v>17500</v>
      </c>
      <c r="J107" s="98">
        <f>SUM(J109:J112)</f>
        <v>18000</v>
      </c>
      <c r="K107" s="98">
        <f t="shared" ref="K107:M107" si="90">SUM(K109:K112)</f>
        <v>0</v>
      </c>
      <c r="L107" s="98">
        <f t="shared" si="90"/>
        <v>0</v>
      </c>
      <c r="M107" s="98">
        <f t="shared" si="90"/>
        <v>0</v>
      </c>
      <c r="N107" s="98">
        <f t="shared" si="55"/>
        <v>18000</v>
      </c>
      <c r="O107" s="98">
        <f>SUM(O109:O112)</f>
        <v>18000</v>
      </c>
      <c r="P107" s="98">
        <f t="shared" ref="P107:R107" si="91">SUM(P109:P112)</f>
        <v>0</v>
      </c>
      <c r="Q107" s="98">
        <f t="shared" si="91"/>
        <v>0</v>
      </c>
      <c r="R107" s="98">
        <f t="shared" si="91"/>
        <v>0</v>
      </c>
      <c r="S107" s="98">
        <f t="shared" si="56"/>
        <v>18000</v>
      </c>
      <c r="T107" s="98">
        <f>SUM(T109:T112)</f>
        <v>18000</v>
      </c>
      <c r="U107" s="98">
        <f t="shared" ref="U107:W107" si="92">SUM(U109:U112)</f>
        <v>0</v>
      </c>
      <c r="V107" s="98">
        <f t="shared" si="92"/>
        <v>0</v>
      </c>
      <c r="W107" s="98">
        <f t="shared" si="92"/>
        <v>0</v>
      </c>
      <c r="X107" s="98">
        <f t="shared" si="68"/>
        <v>18000</v>
      </c>
      <c r="Y107" s="98">
        <f t="shared" si="69"/>
        <v>71500</v>
      </c>
      <c r="Z107" s="98">
        <f t="shared" si="49"/>
        <v>71500</v>
      </c>
    </row>
    <row r="108" spans="1:26" x14ac:dyDescent="0.25">
      <c r="A108" s="85"/>
      <c r="B108" s="113"/>
      <c r="C108" s="100" t="s">
        <v>358</v>
      </c>
      <c r="D108" s="115"/>
      <c r="E108" s="102"/>
      <c r="F108" s="102"/>
      <c r="G108" s="102"/>
      <c r="H108" s="102"/>
      <c r="I108" s="102">
        <f t="shared" si="48"/>
        <v>0</v>
      </c>
      <c r="J108" s="102"/>
      <c r="K108" s="102"/>
      <c r="L108" s="102"/>
      <c r="M108" s="102"/>
      <c r="N108" s="102">
        <f t="shared" si="55"/>
        <v>0</v>
      </c>
      <c r="O108" s="102"/>
      <c r="P108" s="102"/>
      <c r="Q108" s="102"/>
      <c r="R108" s="102"/>
      <c r="S108" s="102">
        <f t="shared" si="56"/>
        <v>0</v>
      </c>
      <c r="T108" s="101"/>
      <c r="U108" s="101"/>
      <c r="V108" s="101"/>
      <c r="W108" s="101"/>
      <c r="X108" s="101">
        <f t="shared" si="68"/>
        <v>0</v>
      </c>
      <c r="Y108" s="101">
        <f t="shared" si="69"/>
        <v>0</v>
      </c>
      <c r="Z108" s="101">
        <f t="shared" si="49"/>
        <v>0</v>
      </c>
    </row>
    <row r="109" spans="1:26" ht="180" x14ac:dyDescent="0.25">
      <c r="A109" s="85"/>
      <c r="B109" s="113"/>
      <c r="C109" s="84" t="s">
        <v>350</v>
      </c>
      <c r="D109" s="115"/>
      <c r="E109" s="102"/>
      <c r="F109" s="102"/>
      <c r="G109" s="102"/>
      <c r="H109" s="102"/>
      <c r="I109" s="102">
        <f t="shared" si="48"/>
        <v>0</v>
      </c>
      <c r="J109" s="102"/>
      <c r="K109" s="102"/>
      <c r="L109" s="102"/>
      <c r="M109" s="102"/>
      <c r="N109" s="102">
        <f t="shared" si="55"/>
        <v>0</v>
      </c>
      <c r="O109" s="102"/>
      <c r="P109" s="102"/>
      <c r="Q109" s="102"/>
      <c r="R109" s="102"/>
      <c r="S109" s="102">
        <f t="shared" si="56"/>
        <v>0</v>
      </c>
      <c r="T109" s="101"/>
      <c r="U109" s="101"/>
      <c r="V109" s="101"/>
      <c r="W109" s="101"/>
      <c r="X109" s="101">
        <f t="shared" si="68"/>
        <v>0</v>
      </c>
      <c r="Y109" s="101">
        <f>I109+N109+S109+X109</f>
        <v>0</v>
      </c>
      <c r="Z109" s="101">
        <f t="shared" si="49"/>
        <v>0</v>
      </c>
    </row>
    <row r="110" spans="1:26" ht="165" x14ac:dyDescent="0.25">
      <c r="A110" s="85"/>
      <c r="B110" s="113"/>
      <c r="C110" s="84" t="s">
        <v>351</v>
      </c>
      <c r="D110" s="115"/>
      <c r="E110" s="81">
        <v>15000</v>
      </c>
      <c r="F110" s="81"/>
      <c r="G110" s="81"/>
      <c r="H110" s="81"/>
      <c r="I110" s="81">
        <f t="shared" ref="I110:I112" si="93">SUM(E110:H110)</f>
        <v>15000</v>
      </c>
      <c r="J110" s="81">
        <v>15000</v>
      </c>
      <c r="K110" s="81"/>
      <c r="L110" s="81"/>
      <c r="M110" s="81"/>
      <c r="N110" s="81">
        <f t="shared" si="55"/>
        <v>15000</v>
      </c>
      <c r="O110" s="81">
        <v>15000</v>
      </c>
      <c r="P110" s="81"/>
      <c r="Q110" s="81"/>
      <c r="R110" s="81"/>
      <c r="S110" s="81">
        <f t="shared" si="56"/>
        <v>15000</v>
      </c>
      <c r="T110" s="80">
        <v>15000</v>
      </c>
      <c r="U110" s="80"/>
      <c r="V110" s="80"/>
      <c r="W110" s="80"/>
      <c r="X110" s="80">
        <f t="shared" si="68"/>
        <v>15000</v>
      </c>
      <c r="Y110" s="101">
        <f t="shared" si="69"/>
        <v>60000</v>
      </c>
      <c r="Z110" s="101">
        <f t="shared" si="49"/>
        <v>60000</v>
      </c>
    </row>
    <row r="111" spans="1:26" ht="120" x14ac:dyDescent="0.3">
      <c r="A111" s="85"/>
      <c r="B111" s="113"/>
      <c r="C111" s="118" t="s">
        <v>459</v>
      </c>
      <c r="D111" s="115"/>
      <c r="E111" s="81">
        <v>1500</v>
      </c>
      <c r="F111" s="81"/>
      <c r="G111" s="81"/>
      <c r="H111" s="81"/>
      <c r="I111" s="81">
        <f t="shared" si="93"/>
        <v>1500</v>
      </c>
      <c r="J111" s="81">
        <v>1500</v>
      </c>
      <c r="K111" s="81"/>
      <c r="L111" s="81"/>
      <c r="M111" s="81"/>
      <c r="N111" s="81">
        <f t="shared" si="55"/>
        <v>1500</v>
      </c>
      <c r="O111" s="81">
        <v>1500</v>
      </c>
      <c r="P111" s="81"/>
      <c r="Q111" s="81"/>
      <c r="R111" s="81"/>
      <c r="S111" s="81">
        <f t="shared" si="56"/>
        <v>1500</v>
      </c>
      <c r="T111" s="80">
        <v>1500</v>
      </c>
      <c r="U111" s="80"/>
      <c r="V111" s="80"/>
      <c r="W111" s="80"/>
      <c r="X111" s="80">
        <f t="shared" si="68"/>
        <v>1500</v>
      </c>
      <c r="Y111" s="101">
        <f t="shared" si="69"/>
        <v>6000</v>
      </c>
      <c r="Z111" s="101">
        <f t="shared" si="49"/>
        <v>6000</v>
      </c>
    </row>
    <row r="112" spans="1:26" ht="45.75" x14ac:dyDescent="0.25">
      <c r="A112" s="85"/>
      <c r="B112" s="113"/>
      <c r="C112" s="118" t="s">
        <v>460</v>
      </c>
      <c r="D112" s="115"/>
      <c r="E112" s="81">
        <v>1000</v>
      </c>
      <c r="F112" s="81"/>
      <c r="G112" s="81"/>
      <c r="H112" s="81"/>
      <c r="I112" s="81">
        <f t="shared" si="93"/>
        <v>1000</v>
      </c>
      <c r="J112" s="81">
        <v>1500</v>
      </c>
      <c r="K112" s="81"/>
      <c r="L112" s="81"/>
      <c r="M112" s="81"/>
      <c r="N112" s="81">
        <f t="shared" si="55"/>
        <v>1500</v>
      </c>
      <c r="O112" s="81">
        <v>1500</v>
      </c>
      <c r="P112" s="81"/>
      <c r="Q112" s="81"/>
      <c r="R112" s="81"/>
      <c r="S112" s="81">
        <f t="shared" si="56"/>
        <v>1500</v>
      </c>
      <c r="T112" s="80">
        <v>1500</v>
      </c>
      <c r="U112" s="80"/>
      <c r="V112" s="80"/>
      <c r="W112" s="80"/>
      <c r="X112" s="80">
        <f t="shared" si="68"/>
        <v>1500</v>
      </c>
      <c r="Y112" s="101">
        <f t="shared" si="69"/>
        <v>5500</v>
      </c>
      <c r="Z112" s="101">
        <f t="shared" si="49"/>
        <v>5500</v>
      </c>
    </row>
    <row r="113" spans="1:26" ht="25.5" x14ac:dyDescent="0.25">
      <c r="A113" s="85"/>
      <c r="B113" s="113"/>
      <c r="C113" s="172" t="s">
        <v>461</v>
      </c>
      <c r="D113" s="115">
        <f>D114+D121+D128+D133+D140+D147+D15</f>
        <v>632157</v>
      </c>
      <c r="E113" s="173">
        <f t="shared" ref="E113:R113" si="94">E114+E121+E128+E133+E140+E147+E155</f>
        <v>1274000</v>
      </c>
      <c r="F113" s="173">
        <f t="shared" si="94"/>
        <v>10000</v>
      </c>
      <c r="G113" s="173">
        <f t="shared" si="94"/>
        <v>1919210</v>
      </c>
      <c r="H113" s="173">
        <f t="shared" si="94"/>
        <v>45226</v>
      </c>
      <c r="I113" s="173">
        <f t="shared" si="94"/>
        <v>3248436</v>
      </c>
      <c r="J113" s="173">
        <f t="shared" si="94"/>
        <v>1366790</v>
      </c>
      <c r="K113" s="173">
        <f t="shared" si="94"/>
        <v>14000</v>
      </c>
      <c r="L113" s="173">
        <f t="shared" si="94"/>
        <v>407956</v>
      </c>
      <c r="M113" s="173">
        <f t="shared" si="94"/>
        <v>38101</v>
      </c>
      <c r="N113" s="173">
        <f t="shared" si="94"/>
        <v>1826847</v>
      </c>
      <c r="O113" s="173">
        <f t="shared" si="94"/>
        <v>1369180</v>
      </c>
      <c r="P113" s="173">
        <f t="shared" si="94"/>
        <v>14000</v>
      </c>
      <c r="Q113" s="173">
        <f t="shared" si="94"/>
        <v>5308</v>
      </c>
      <c r="R113" s="173">
        <f t="shared" si="94"/>
        <v>37581</v>
      </c>
      <c r="S113" s="173">
        <f>SUM(O113:R113)</f>
        <v>1426069</v>
      </c>
      <c r="T113" s="173">
        <f>T114+T121+T128+T133+T140+T147+T155</f>
        <v>1378245</v>
      </c>
      <c r="U113" s="173">
        <f>U114+U121+U128+U133+U140+U147+U155</f>
        <v>14000</v>
      </c>
      <c r="V113" s="173">
        <f>V114+V121+V128+V133+V140+V147+V155</f>
        <v>0</v>
      </c>
      <c r="W113" s="173">
        <f>W114+W121+W128+W133+W140+W147+W155</f>
        <v>39081</v>
      </c>
      <c r="X113" s="173">
        <f>SUM(T113:W113)</f>
        <v>1431326</v>
      </c>
      <c r="Y113" s="173">
        <f t="shared" si="69"/>
        <v>7932678</v>
      </c>
      <c r="Z113" s="173">
        <f t="shared" si="49"/>
        <v>5388215</v>
      </c>
    </row>
    <row r="114" spans="1:26" x14ac:dyDescent="0.25">
      <c r="A114" s="85"/>
      <c r="B114" s="113"/>
      <c r="C114" s="97" t="s">
        <v>462</v>
      </c>
      <c r="D114" s="115">
        <f>SUM(D116:D120)</f>
        <v>0</v>
      </c>
      <c r="E114" s="98">
        <f>SUM(E116:E120)</f>
        <v>97080</v>
      </c>
      <c r="F114" s="98">
        <f t="shared" ref="F114:H114" si="95">SUM(F116:F120)</f>
        <v>10000</v>
      </c>
      <c r="G114" s="98">
        <f t="shared" si="95"/>
        <v>0</v>
      </c>
      <c r="H114" s="98">
        <f t="shared" si="95"/>
        <v>5840</v>
      </c>
      <c r="I114" s="98">
        <f>SUM(E114:H114)</f>
        <v>112920</v>
      </c>
      <c r="J114" s="98">
        <f>SUM(J116:J120)</f>
        <v>117680</v>
      </c>
      <c r="K114" s="98">
        <f t="shared" ref="K114:M114" si="96">SUM(K116:K120)</f>
        <v>14000</v>
      </c>
      <c r="L114" s="98">
        <f t="shared" si="96"/>
        <v>0</v>
      </c>
      <c r="M114" s="98">
        <f t="shared" si="96"/>
        <v>5794</v>
      </c>
      <c r="N114" s="98">
        <f>SUM(J114:M114)</f>
        <v>137474</v>
      </c>
      <c r="O114" s="98">
        <f>SUM(O116:O120)</f>
        <v>119200</v>
      </c>
      <c r="P114" s="98">
        <f t="shared" ref="P114:R114" si="97">SUM(P116:P120)</f>
        <v>14000</v>
      </c>
      <c r="Q114" s="98">
        <f t="shared" si="97"/>
        <v>0</v>
      </c>
      <c r="R114" s="98">
        <f t="shared" si="97"/>
        <v>494</v>
      </c>
      <c r="S114" s="98">
        <f>SUM(O114:R114)</f>
        <v>133694</v>
      </c>
      <c r="T114" s="98">
        <f>SUM(T116:T120)</f>
        <v>120000</v>
      </c>
      <c r="U114" s="98">
        <f t="shared" ref="U114:W114" si="98">SUM(U116:U120)</f>
        <v>14000</v>
      </c>
      <c r="V114" s="98">
        <f t="shared" si="98"/>
        <v>0</v>
      </c>
      <c r="W114" s="98">
        <f t="shared" si="98"/>
        <v>494</v>
      </c>
      <c r="X114" s="98">
        <f>SUM(T114:W114)</f>
        <v>134494</v>
      </c>
      <c r="Y114" s="98">
        <f t="shared" si="69"/>
        <v>518582</v>
      </c>
      <c r="Z114" s="98">
        <f t="shared" si="49"/>
        <v>453960</v>
      </c>
    </row>
    <row r="115" spans="1:26" x14ac:dyDescent="0.25">
      <c r="A115" s="85"/>
      <c r="B115" s="113"/>
      <c r="C115" s="100" t="s">
        <v>358</v>
      </c>
      <c r="D115" s="115"/>
      <c r="E115" s="102"/>
      <c r="F115" s="102"/>
      <c r="G115" s="102"/>
      <c r="H115" s="102"/>
      <c r="I115" s="102">
        <f t="shared" si="48"/>
        <v>0</v>
      </c>
      <c r="J115" s="102"/>
      <c r="K115" s="102"/>
      <c r="L115" s="102"/>
      <c r="M115" s="102"/>
      <c r="N115" s="102">
        <f t="shared" si="55"/>
        <v>0</v>
      </c>
      <c r="O115" s="102"/>
      <c r="P115" s="102"/>
      <c r="Q115" s="102"/>
      <c r="R115" s="102"/>
      <c r="S115" s="102">
        <f t="shared" si="56"/>
        <v>0</v>
      </c>
      <c r="T115" s="101"/>
      <c r="U115" s="101"/>
      <c r="V115" s="101"/>
      <c r="W115" s="101"/>
      <c r="X115" s="101">
        <f t="shared" si="68"/>
        <v>0</v>
      </c>
      <c r="Y115" s="101">
        <f t="shared" si="69"/>
        <v>0</v>
      </c>
      <c r="Z115" s="101">
        <f t="shared" si="49"/>
        <v>0</v>
      </c>
    </row>
    <row r="116" spans="1:26" ht="60" x14ac:dyDescent="0.3">
      <c r="A116" s="116" t="s">
        <v>124</v>
      </c>
      <c r="B116" s="113"/>
      <c r="C116" s="118" t="s">
        <v>463</v>
      </c>
      <c r="D116" s="115"/>
      <c r="E116" s="102">
        <v>60000</v>
      </c>
      <c r="F116" s="102"/>
      <c r="G116" s="102"/>
      <c r="H116" s="102"/>
      <c r="I116" s="102">
        <f t="shared" si="48"/>
        <v>60000</v>
      </c>
      <c r="J116" s="102">
        <v>79800</v>
      </c>
      <c r="K116" s="102"/>
      <c r="L116" s="102"/>
      <c r="M116" s="102"/>
      <c r="N116" s="102">
        <f>SUM(J116:M116)</f>
        <v>79800</v>
      </c>
      <c r="O116" s="102">
        <v>80800</v>
      </c>
      <c r="P116" s="102"/>
      <c r="Q116" s="102"/>
      <c r="R116" s="102"/>
      <c r="S116" s="102">
        <f>SUM(O116:R116)</f>
        <v>80800</v>
      </c>
      <c r="T116" s="101">
        <v>81800</v>
      </c>
      <c r="U116" s="101"/>
      <c r="V116" s="101"/>
      <c r="W116" s="101"/>
      <c r="X116" s="101">
        <f t="shared" si="68"/>
        <v>81800</v>
      </c>
      <c r="Y116" s="101">
        <f t="shared" si="69"/>
        <v>302400</v>
      </c>
      <c r="Z116" s="101">
        <f t="shared" si="49"/>
        <v>302400</v>
      </c>
    </row>
    <row r="117" spans="1:26" ht="30" x14ac:dyDescent="0.3">
      <c r="A117" s="103" t="s">
        <v>125</v>
      </c>
      <c r="B117" s="113"/>
      <c r="C117" s="118" t="s">
        <v>464</v>
      </c>
      <c r="D117" s="115"/>
      <c r="E117" s="102">
        <v>200</v>
      </c>
      <c r="F117" s="102">
        <v>10000</v>
      </c>
      <c r="G117" s="102"/>
      <c r="H117" s="102"/>
      <c r="I117" s="102">
        <f t="shared" si="48"/>
        <v>10200</v>
      </c>
      <c r="J117" s="102">
        <v>500</v>
      </c>
      <c r="K117" s="102">
        <v>14000</v>
      </c>
      <c r="L117" s="102"/>
      <c r="M117" s="102"/>
      <c r="N117" s="102">
        <f t="shared" si="55"/>
        <v>14500</v>
      </c>
      <c r="O117" s="102">
        <v>700</v>
      </c>
      <c r="P117" s="102">
        <v>14000</v>
      </c>
      <c r="Q117" s="102"/>
      <c r="R117" s="102"/>
      <c r="S117" s="102">
        <f t="shared" si="56"/>
        <v>14700</v>
      </c>
      <c r="T117" s="101">
        <v>500</v>
      </c>
      <c r="U117" s="101">
        <v>14000</v>
      </c>
      <c r="V117" s="101"/>
      <c r="W117" s="101"/>
      <c r="X117" s="101">
        <f t="shared" si="68"/>
        <v>14500</v>
      </c>
      <c r="Y117" s="101">
        <f t="shared" si="69"/>
        <v>53900</v>
      </c>
      <c r="Z117" s="101">
        <f t="shared" si="49"/>
        <v>1900</v>
      </c>
    </row>
    <row r="118" spans="1:26" ht="30" x14ac:dyDescent="0.3">
      <c r="A118" s="103" t="s">
        <v>53</v>
      </c>
      <c r="B118" s="113"/>
      <c r="C118" s="118" t="s">
        <v>465</v>
      </c>
      <c r="D118" s="115"/>
      <c r="E118" s="102">
        <f>11895-1245+900</f>
        <v>11550</v>
      </c>
      <c r="F118" s="102"/>
      <c r="G118" s="102"/>
      <c r="H118" s="102">
        <v>5446</v>
      </c>
      <c r="I118" s="102">
        <f t="shared" si="48"/>
        <v>16996</v>
      </c>
      <c r="J118" s="102">
        <f>11895-1245+1200</f>
        <v>11850</v>
      </c>
      <c r="K118" s="102"/>
      <c r="L118" s="102"/>
      <c r="M118" s="102">
        <v>5480</v>
      </c>
      <c r="N118" s="102">
        <f t="shared" si="55"/>
        <v>17330</v>
      </c>
      <c r="O118" s="102">
        <f>11895-1245+1300</f>
        <v>11950</v>
      </c>
      <c r="P118" s="102"/>
      <c r="Q118" s="102"/>
      <c r="R118" s="102">
        <v>180</v>
      </c>
      <c r="S118" s="102">
        <f t="shared" si="56"/>
        <v>12130</v>
      </c>
      <c r="T118" s="101">
        <f>11895-1245+1300</f>
        <v>11950</v>
      </c>
      <c r="U118" s="101"/>
      <c r="V118" s="101"/>
      <c r="W118" s="101">
        <v>180</v>
      </c>
      <c r="X118" s="101">
        <f t="shared" si="68"/>
        <v>12130</v>
      </c>
      <c r="Y118" s="101">
        <f t="shared" si="69"/>
        <v>58586</v>
      </c>
      <c r="Z118" s="101">
        <f t="shared" si="49"/>
        <v>47300</v>
      </c>
    </row>
    <row r="119" spans="1:26" ht="30" x14ac:dyDescent="0.3">
      <c r="A119" s="103" t="s">
        <v>54</v>
      </c>
      <c r="B119" s="113"/>
      <c r="C119" s="118" t="s">
        <v>466</v>
      </c>
      <c r="D119" s="115"/>
      <c r="E119" s="102">
        <v>20100</v>
      </c>
      <c r="F119" s="102"/>
      <c r="G119" s="102"/>
      <c r="H119" s="102"/>
      <c r="I119" s="102">
        <f>SUM(E119:H119)</f>
        <v>20100</v>
      </c>
      <c r="J119" s="102">
        <v>20100</v>
      </c>
      <c r="K119" s="102"/>
      <c r="L119" s="102"/>
      <c r="M119" s="102"/>
      <c r="N119" s="102">
        <f>SUM(J119:M119)</f>
        <v>20100</v>
      </c>
      <c r="O119" s="102">
        <v>20100</v>
      </c>
      <c r="P119" s="102"/>
      <c r="Q119" s="102"/>
      <c r="R119" s="102"/>
      <c r="S119" s="102">
        <f>SUM(O119:R119)</f>
        <v>20100</v>
      </c>
      <c r="T119" s="101">
        <v>20100</v>
      </c>
      <c r="U119" s="101"/>
      <c r="V119" s="101"/>
      <c r="W119" s="101"/>
      <c r="X119" s="101">
        <f>SUM(T119:W119)</f>
        <v>20100</v>
      </c>
      <c r="Y119" s="101">
        <f t="shared" si="69"/>
        <v>80400</v>
      </c>
      <c r="Z119" s="101"/>
    </row>
    <row r="120" spans="1:26" ht="57.75" x14ac:dyDescent="0.3">
      <c r="A120" s="151" t="s">
        <v>467</v>
      </c>
      <c r="B120" s="113"/>
      <c r="C120" s="118" t="s">
        <v>468</v>
      </c>
      <c r="D120" s="115"/>
      <c r="E120" s="102">
        <f>730+240+2800+1460</f>
        <v>5230</v>
      </c>
      <c r="F120" s="102"/>
      <c r="G120" s="102"/>
      <c r="H120" s="102">
        <f>14+380</f>
        <v>394</v>
      </c>
      <c r="I120" s="102">
        <f t="shared" si="48"/>
        <v>5624</v>
      </c>
      <c r="J120" s="102">
        <f>730+240+3000+1460</f>
        <v>5430</v>
      </c>
      <c r="K120" s="102"/>
      <c r="L120" s="102"/>
      <c r="M120" s="102">
        <f>14+300</f>
        <v>314</v>
      </c>
      <c r="N120" s="102">
        <f t="shared" si="55"/>
        <v>5744</v>
      </c>
      <c r="O120" s="102">
        <f>730+260+3200+1460</f>
        <v>5650</v>
      </c>
      <c r="P120" s="102"/>
      <c r="Q120" s="102"/>
      <c r="R120" s="102">
        <f>14+300</f>
        <v>314</v>
      </c>
      <c r="S120" s="102">
        <f t="shared" si="56"/>
        <v>5964</v>
      </c>
      <c r="T120" s="102">
        <f>730+260+3200+1460</f>
        <v>5650</v>
      </c>
      <c r="U120" s="101"/>
      <c r="V120" s="101"/>
      <c r="W120" s="101">
        <f>14+300</f>
        <v>314</v>
      </c>
      <c r="X120" s="101">
        <f t="shared" si="68"/>
        <v>5964</v>
      </c>
      <c r="Y120" s="101">
        <f t="shared" si="69"/>
        <v>23296</v>
      </c>
      <c r="Z120" s="101">
        <f t="shared" si="49"/>
        <v>21960</v>
      </c>
    </row>
    <row r="121" spans="1:26" ht="25.5" x14ac:dyDescent="0.25">
      <c r="A121" s="116"/>
      <c r="B121" s="113"/>
      <c r="C121" s="97" t="s">
        <v>469</v>
      </c>
      <c r="D121" s="115">
        <f>SUM(D123:D127)</f>
        <v>0</v>
      </c>
      <c r="E121" s="98">
        <f>SUM(E123:E127)</f>
        <v>44200</v>
      </c>
      <c r="F121" s="98">
        <f t="shared" ref="F121:H121" si="99">SUM(F123:F127)</f>
        <v>0</v>
      </c>
      <c r="G121" s="98">
        <f t="shared" si="99"/>
        <v>3288</v>
      </c>
      <c r="H121" s="98">
        <f t="shared" si="99"/>
        <v>31629</v>
      </c>
      <c r="I121" s="98">
        <f t="shared" si="48"/>
        <v>79117</v>
      </c>
      <c r="J121" s="98">
        <f t="shared" ref="J121:K121" si="100">SUM(J123:J127)</f>
        <v>59935</v>
      </c>
      <c r="K121" s="98">
        <f t="shared" si="100"/>
        <v>0</v>
      </c>
      <c r="L121" s="98">
        <f>SUM(L123:L127)</f>
        <v>3288</v>
      </c>
      <c r="M121" s="98">
        <f>SUM(M123:M127)</f>
        <v>25317</v>
      </c>
      <c r="N121" s="98">
        <f t="shared" si="55"/>
        <v>88540</v>
      </c>
      <c r="O121" s="98">
        <f>SUM(O123:O127)</f>
        <v>54555</v>
      </c>
      <c r="P121" s="98">
        <f t="shared" ref="P121:R121" si="101">SUM(P123:P127)</f>
        <v>0</v>
      </c>
      <c r="Q121" s="98">
        <f t="shared" si="101"/>
        <v>3288</v>
      </c>
      <c r="R121" s="98">
        <f t="shared" si="101"/>
        <v>31597</v>
      </c>
      <c r="S121" s="98">
        <f t="shared" si="56"/>
        <v>89440</v>
      </c>
      <c r="T121" s="98">
        <f>SUM(T123:T127)</f>
        <v>55555</v>
      </c>
      <c r="U121" s="98">
        <f t="shared" ref="U121:W121" si="102">SUM(U123:U127)</f>
        <v>0</v>
      </c>
      <c r="V121" s="98">
        <f t="shared" si="102"/>
        <v>0</v>
      </c>
      <c r="W121" s="98">
        <f t="shared" si="102"/>
        <v>31597</v>
      </c>
      <c r="X121" s="98">
        <f>SUM(T121:W121)</f>
        <v>87152</v>
      </c>
      <c r="Y121" s="98">
        <f t="shared" si="69"/>
        <v>344249</v>
      </c>
      <c r="Z121" s="98">
        <f t="shared" si="49"/>
        <v>214245</v>
      </c>
    </row>
    <row r="122" spans="1:26" x14ac:dyDescent="0.25">
      <c r="A122" s="116"/>
      <c r="B122" s="113"/>
      <c r="C122" s="100" t="s">
        <v>358</v>
      </c>
      <c r="D122" s="115"/>
      <c r="E122" s="102"/>
      <c r="F122" s="102"/>
      <c r="G122" s="102"/>
      <c r="H122" s="102"/>
      <c r="I122" s="102">
        <f t="shared" si="48"/>
        <v>0</v>
      </c>
      <c r="J122" s="102"/>
      <c r="K122" s="102"/>
      <c r="L122" s="102"/>
      <c r="M122" s="102"/>
      <c r="N122" s="102">
        <f t="shared" si="55"/>
        <v>0</v>
      </c>
      <c r="O122" s="102"/>
      <c r="P122" s="102"/>
      <c r="Q122" s="102"/>
      <c r="R122" s="102"/>
      <c r="S122" s="102">
        <f t="shared" si="56"/>
        <v>0</v>
      </c>
      <c r="T122" s="101"/>
      <c r="U122" s="101"/>
      <c r="V122" s="101"/>
      <c r="W122" s="101"/>
      <c r="X122" s="101">
        <f t="shared" si="68"/>
        <v>0</v>
      </c>
      <c r="Y122" s="101">
        <f t="shared" si="69"/>
        <v>0</v>
      </c>
      <c r="Z122" s="101">
        <f t="shared" si="49"/>
        <v>0</v>
      </c>
    </row>
    <row r="123" spans="1:26" ht="45" x14ac:dyDescent="0.3">
      <c r="A123" s="103" t="s">
        <v>32</v>
      </c>
      <c r="B123" s="113"/>
      <c r="C123" s="118" t="s">
        <v>470</v>
      </c>
      <c r="D123" s="115"/>
      <c r="E123" s="102">
        <v>5000</v>
      </c>
      <c r="F123" s="102"/>
      <c r="G123" s="102"/>
      <c r="H123" s="102"/>
      <c r="I123" s="102">
        <f t="shared" si="48"/>
        <v>5000</v>
      </c>
      <c r="J123" s="102">
        <v>16000</v>
      </c>
      <c r="K123" s="102"/>
      <c r="L123" s="102"/>
      <c r="M123" s="102"/>
      <c r="N123" s="102">
        <f t="shared" si="55"/>
        <v>16000</v>
      </c>
      <c r="O123" s="102">
        <v>16000</v>
      </c>
      <c r="P123" s="102"/>
      <c r="Q123" s="102"/>
      <c r="R123" s="102"/>
      <c r="S123" s="102">
        <f t="shared" si="56"/>
        <v>16000</v>
      </c>
      <c r="T123" s="101">
        <v>16000</v>
      </c>
      <c r="U123" s="101"/>
      <c r="V123" s="101"/>
      <c r="W123" s="101"/>
      <c r="X123" s="101">
        <f t="shared" si="68"/>
        <v>16000</v>
      </c>
      <c r="Y123" s="101">
        <f t="shared" si="69"/>
        <v>53000</v>
      </c>
      <c r="Z123" s="101">
        <f t="shared" si="49"/>
        <v>53000</v>
      </c>
    </row>
    <row r="124" spans="1:26" ht="75" x14ac:dyDescent="0.3">
      <c r="A124" s="174" t="s">
        <v>471</v>
      </c>
      <c r="B124" s="113"/>
      <c r="C124" s="118" t="s">
        <v>472</v>
      </c>
      <c r="D124" s="115"/>
      <c r="E124" s="102">
        <f>38315+380-2000</f>
        <v>36695</v>
      </c>
      <c r="F124" s="102"/>
      <c r="G124" s="102"/>
      <c r="H124" s="102">
        <f>16995+7317</f>
        <v>24312</v>
      </c>
      <c r="I124" s="102">
        <f t="shared" si="48"/>
        <v>61007</v>
      </c>
      <c r="J124" s="102">
        <f>38150+380-2000</f>
        <v>36530</v>
      </c>
      <c r="K124" s="102"/>
      <c r="L124" s="102"/>
      <c r="M124" s="102">
        <f>18000+7317</f>
        <v>25317</v>
      </c>
      <c r="N124" s="102">
        <f t="shared" si="55"/>
        <v>61847</v>
      </c>
      <c r="O124" s="102">
        <f>38050+380-2000</f>
        <v>36430</v>
      </c>
      <c r="P124" s="102"/>
      <c r="Q124" s="102"/>
      <c r="R124" s="102">
        <f>19000+7317</f>
        <v>26317</v>
      </c>
      <c r="S124" s="102">
        <f t="shared" si="56"/>
        <v>62747</v>
      </c>
      <c r="T124" s="101">
        <f>39050+380-2000</f>
        <v>37430</v>
      </c>
      <c r="U124" s="101"/>
      <c r="V124" s="101"/>
      <c r="W124" s="101">
        <f>19000+7317</f>
        <v>26317</v>
      </c>
      <c r="X124" s="101">
        <f t="shared" si="68"/>
        <v>63747</v>
      </c>
      <c r="Y124" s="101">
        <f t="shared" si="69"/>
        <v>249348</v>
      </c>
      <c r="Z124" s="101">
        <f t="shared" si="49"/>
        <v>147085</v>
      </c>
    </row>
    <row r="125" spans="1:26" ht="60" x14ac:dyDescent="0.3">
      <c r="A125" s="116" t="s">
        <v>42</v>
      </c>
      <c r="B125" s="113"/>
      <c r="C125" s="118" t="s">
        <v>473</v>
      </c>
      <c r="D125" s="115"/>
      <c r="E125" s="102">
        <v>380</v>
      </c>
      <c r="F125" s="102"/>
      <c r="G125" s="102">
        <v>3288</v>
      </c>
      <c r="H125" s="102">
        <v>7317</v>
      </c>
      <c r="I125" s="102">
        <f t="shared" si="48"/>
        <v>10985</v>
      </c>
      <c r="J125" s="102">
        <v>5280</v>
      </c>
      <c r="K125" s="102"/>
      <c r="L125" s="102">
        <v>3288</v>
      </c>
      <c r="M125" s="102"/>
      <c r="N125" s="102">
        <f t="shared" si="55"/>
        <v>8568</v>
      </c>
      <c r="O125" s="102"/>
      <c r="P125" s="102"/>
      <c r="Q125" s="102">
        <v>3288</v>
      </c>
      <c r="R125" s="102">
        <v>5280</v>
      </c>
      <c r="S125" s="102">
        <f t="shared" si="56"/>
        <v>8568</v>
      </c>
      <c r="T125" s="101"/>
      <c r="U125" s="101"/>
      <c r="V125" s="101"/>
      <c r="W125" s="101">
        <v>5280</v>
      </c>
      <c r="X125" s="101">
        <f t="shared" si="68"/>
        <v>5280</v>
      </c>
      <c r="Y125" s="101">
        <f t="shared" si="69"/>
        <v>33401</v>
      </c>
      <c r="Z125" s="101">
        <f t="shared" si="49"/>
        <v>5660</v>
      </c>
    </row>
    <row r="126" spans="1:26" ht="45" x14ac:dyDescent="0.3">
      <c r="A126" s="175"/>
      <c r="B126" s="113"/>
      <c r="C126" s="118" t="s">
        <v>474</v>
      </c>
      <c r="D126" s="115"/>
      <c r="E126" s="102">
        <v>125</v>
      </c>
      <c r="F126" s="102"/>
      <c r="G126" s="102"/>
      <c r="H126" s="102"/>
      <c r="I126" s="102">
        <f t="shared" si="48"/>
        <v>125</v>
      </c>
      <c r="J126" s="102">
        <v>125</v>
      </c>
      <c r="K126" s="102"/>
      <c r="L126" s="102"/>
      <c r="M126" s="102"/>
      <c r="N126" s="102">
        <f t="shared" si="55"/>
        <v>125</v>
      </c>
      <c r="O126" s="102">
        <v>125</v>
      </c>
      <c r="P126" s="102"/>
      <c r="Q126" s="102"/>
      <c r="R126" s="102"/>
      <c r="S126" s="102">
        <f t="shared" si="56"/>
        <v>125</v>
      </c>
      <c r="T126" s="101">
        <v>125</v>
      </c>
      <c r="U126" s="101"/>
      <c r="V126" s="101"/>
      <c r="W126" s="101"/>
      <c r="X126" s="101">
        <f t="shared" si="68"/>
        <v>125</v>
      </c>
      <c r="Y126" s="101">
        <f t="shared" si="69"/>
        <v>500</v>
      </c>
      <c r="Z126" s="101">
        <f t="shared" si="49"/>
        <v>500</v>
      </c>
    </row>
    <row r="127" spans="1:26" ht="30" x14ac:dyDescent="0.3">
      <c r="A127" s="148" t="s">
        <v>133</v>
      </c>
      <c r="B127" s="113"/>
      <c r="C127" s="118" t="s">
        <v>475</v>
      </c>
      <c r="D127" s="115"/>
      <c r="E127" s="102">
        <v>2000</v>
      </c>
      <c r="F127" s="102"/>
      <c r="G127" s="102"/>
      <c r="H127" s="102"/>
      <c r="I127" s="102">
        <f t="shared" si="48"/>
        <v>2000</v>
      </c>
      <c r="J127" s="102">
        <v>2000</v>
      </c>
      <c r="K127" s="102"/>
      <c r="L127" s="102"/>
      <c r="M127" s="102"/>
      <c r="N127" s="102">
        <f t="shared" si="55"/>
        <v>2000</v>
      </c>
      <c r="O127" s="102">
        <v>2000</v>
      </c>
      <c r="P127" s="102"/>
      <c r="Q127" s="102"/>
      <c r="R127" s="102"/>
      <c r="S127" s="102">
        <f t="shared" si="56"/>
        <v>2000</v>
      </c>
      <c r="T127" s="101">
        <v>2000</v>
      </c>
      <c r="U127" s="101"/>
      <c r="V127" s="101"/>
      <c r="W127" s="101"/>
      <c r="X127" s="101">
        <f t="shared" si="68"/>
        <v>2000</v>
      </c>
      <c r="Y127" s="101">
        <f t="shared" si="69"/>
        <v>8000</v>
      </c>
      <c r="Z127" s="101">
        <f t="shared" si="49"/>
        <v>8000</v>
      </c>
    </row>
    <row r="128" spans="1:26" ht="25.5" x14ac:dyDescent="0.25">
      <c r="A128" s="85"/>
      <c r="B128" s="113"/>
      <c r="C128" s="97" t="s">
        <v>476</v>
      </c>
      <c r="D128" s="115">
        <f>SUM(D130:D132)</f>
        <v>0</v>
      </c>
      <c r="E128" s="98">
        <f>SUM(E130:E132)</f>
        <v>137030</v>
      </c>
      <c r="F128" s="98">
        <f>SUM(F130:F132)</f>
        <v>0</v>
      </c>
      <c r="G128" s="98">
        <f>SUM(G130:G132)</f>
        <v>0</v>
      </c>
      <c r="H128" s="98">
        <f>SUM(H130:H132)</f>
        <v>7095</v>
      </c>
      <c r="I128" s="98">
        <f t="shared" si="48"/>
        <v>144125</v>
      </c>
      <c r="J128" s="98">
        <f>SUM(J130:J132)</f>
        <v>143570</v>
      </c>
      <c r="K128" s="98">
        <f t="shared" ref="K128:L128" si="103">SUM(K130:K132)</f>
        <v>0</v>
      </c>
      <c r="L128" s="98">
        <f t="shared" si="103"/>
        <v>0</v>
      </c>
      <c r="M128" s="98">
        <f>SUM(M130:M132)</f>
        <v>6390</v>
      </c>
      <c r="N128" s="98">
        <f t="shared" si="55"/>
        <v>149960</v>
      </c>
      <c r="O128" s="98">
        <f>SUM(O130:O132)</f>
        <v>140170</v>
      </c>
      <c r="P128" s="98">
        <f>SUM(P130:P132)</f>
        <v>0</v>
      </c>
      <c r="Q128" s="98">
        <f>SUM(Q130:Q132)</f>
        <v>0</v>
      </c>
      <c r="R128" s="98">
        <f>SUM(R130:R132)</f>
        <v>4890</v>
      </c>
      <c r="S128" s="98">
        <f t="shared" si="56"/>
        <v>145060</v>
      </c>
      <c r="T128" s="98">
        <f>SUM(T130:T132)</f>
        <v>139070</v>
      </c>
      <c r="U128" s="98">
        <f>SUM(U130:U132)</f>
        <v>0</v>
      </c>
      <c r="V128" s="98">
        <f>SUM(V130:V132)</f>
        <v>0</v>
      </c>
      <c r="W128" s="98">
        <f>SUM(W130:W132)</f>
        <v>6390</v>
      </c>
      <c r="X128" s="98">
        <f>SUM(T128:W128)</f>
        <v>145460</v>
      </c>
      <c r="Y128" s="98">
        <f t="shared" si="69"/>
        <v>584605</v>
      </c>
      <c r="Z128" s="98">
        <f t="shared" si="49"/>
        <v>559840</v>
      </c>
    </row>
    <row r="129" spans="1:26" ht="22.5" customHeight="1" x14ac:dyDescent="0.25">
      <c r="A129" s="85"/>
      <c r="B129" s="113"/>
      <c r="C129" s="100" t="s">
        <v>358</v>
      </c>
      <c r="D129" s="176" t="s">
        <v>477</v>
      </c>
      <c r="E129" s="102"/>
      <c r="F129" s="102"/>
      <c r="G129" s="102"/>
      <c r="H129" s="102"/>
      <c r="I129" s="102">
        <f t="shared" si="48"/>
        <v>0</v>
      </c>
      <c r="J129" s="102"/>
      <c r="K129" s="102"/>
      <c r="L129" s="102"/>
      <c r="M129" s="102"/>
      <c r="N129" s="102">
        <f t="shared" si="55"/>
        <v>0</v>
      </c>
      <c r="O129" s="102"/>
      <c r="P129" s="102"/>
      <c r="Q129" s="102"/>
      <c r="R129" s="102"/>
      <c r="S129" s="102">
        <f t="shared" si="56"/>
        <v>0</v>
      </c>
      <c r="T129" s="101"/>
      <c r="U129" s="101"/>
      <c r="V129" s="101"/>
      <c r="W129" s="101"/>
      <c r="X129" s="101">
        <f t="shared" si="68"/>
        <v>0</v>
      </c>
      <c r="Y129" s="101">
        <f t="shared" si="69"/>
        <v>0</v>
      </c>
      <c r="Z129" s="101">
        <f t="shared" si="49"/>
        <v>0</v>
      </c>
    </row>
    <row r="130" spans="1:26" ht="15.75" x14ac:dyDescent="0.3">
      <c r="A130" s="103" t="s">
        <v>34</v>
      </c>
      <c r="B130" s="113"/>
      <c r="C130" s="118" t="s">
        <v>478</v>
      </c>
      <c r="D130" s="115"/>
      <c r="E130" s="102">
        <v>11810</v>
      </c>
      <c r="F130" s="102"/>
      <c r="G130" s="102"/>
      <c r="H130" s="102">
        <v>5000</v>
      </c>
      <c r="I130" s="102">
        <f t="shared" ref="I130:I198" si="104">SUM(E130:H130)</f>
        <v>16810</v>
      </c>
      <c r="J130" s="102">
        <v>12050</v>
      </c>
      <c r="K130" s="102"/>
      <c r="L130" s="102"/>
      <c r="M130" s="102">
        <v>5000</v>
      </c>
      <c r="N130" s="102">
        <f t="shared" si="55"/>
        <v>17050</v>
      </c>
      <c r="O130" s="102">
        <v>12100</v>
      </c>
      <c r="P130" s="102"/>
      <c r="Q130" s="102"/>
      <c r="R130" s="102">
        <v>3500</v>
      </c>
      <c r="S130" s="102">
        <f t="shared" si="56"/>
        <v>15600</v>
      </c>
      <c r="T130" s="101">
        <v>12100</v>
      </c>
      <c r="U130" s="101"/>
      <c r="V130" s="101"/>
      <c r="W130" s="101">
        <v>5000</v>
      </c>
      <c r="X130" s="101">
        <f t="shared" si="68"/>
        <v>17100</v>
      </c>
      <c r="Y130" s="101">
        <f t="shared" si="69"/>
        <v>66560</v>
      </c>
      <c r="Z130" s="101">
        <f t="shared" si="49"/>
        <v>48060</v>
      </c>
    </row>
    <row r="131" spans="1:26" ht="45" x14ac:dyDescent="0.3">
      <c r="A131" s="103" t="s">
        <v>479</v>
      </c>
      <c r="B131" s="113"/>
      <c r="C131" s="118" t="s">
        <v>480</v>
      </c>
      <c r="D131" s="115"/>
      <c r="E131" s="102">
        <f>113620+2900+7200</f>
        <v>123720</v>
      </c>
      <c r="F131" s="102"/>
      <c r="G131" s="102"/>
      <c r="H131" s="102">
        <v>2095</v>
      </c>
      <c r="I131" s="102">
        <f t="shared" si="104"/>
        <v>125815</v>
      </c>
      <c r="J131" s="102">
        <f>119970+2800+7200</f>
        <v>129970</v>
      </c>
      <c r="K131" s="102"/>
      <c r="L131" s="102"/>
      <c r="M131" s="102">
        <v>1390</v>
      </c>
      <c r="N131" s="102">
        <f>SUM(J131:M131)</f>
        <v>131360</v>
      </c>
      <c r="O131" s="102">
        <f>116520+2800+7200</f>
        <v>126520</v>
      </c>
      <c r="P131" s="102"/>
      <c r="Q131" s="102"/>
      <c r="R131" s="102">
        <v>1390</v>
      </c>
      <c r="S131" s="102">
        <f t="shared" si="56"/>
        <v>127910</v>
      </c>
      <c r="T131" s="101">
        <f>115420+2800+7200</f>
        <v>125420</v>
      </c>
      <c r="U131" s="101"/>
      <c r="V131" s="101"/>
      <c r="W131" s="101">
        <v>1390</v>
      </c>
      <c r="X131" s="101">
        <f t="shared" si="68"/>
        <v>126810</v>
      </c>
      <c r="Y131" s="101">
        <f t="shared" si="69"/>
        <v>511895</v>
      </c>
      <c r="Z131" s="101">
        <f t="shared" si="49"/>
        <v>505630</v>
      </c>
    </row>
    <row r="132" spans="1:26" ht="15.75" x14ac:dyDescent="0.3">
      <c r="A132" s="103" t="s">
        <v>138</v>
      </c>
      <c r="B132" s="113"/>
      <c r="C132" s="118" t="s">
        <v>481</v>
      </c>
      <c r="D132" s="115"/>
      <c r="E132" s="102">
        <f>150+1350</f>
        <v>1500</v>
      </c>
      <c r="F132" s="102"/>
      <c r="G132" s="102"/>
      <c r="H132" s="102"/>
      <c r="I132" s="102">
        <f t="shared" si="104"/>
        <v>1500</v>
      </c>
      <c r="J132" s="102">
        <f>200+1350</f>
        <v>1550</v>
      </c>
      <c r="K132" s="102"/>
      <c r="L132" s="102"/>
      <c r="M132" s="102"/>
      <c r="N132" s="102">
        <f t="shared" si="55"/>
        <v>1550</v>
      </c>
      <c r="O132" s="102">
        <f>200+1350</f>
        <v>1550</v>
      </c>
      <c r="P132" s="102"/>
      <c r="Q132" s="102"/>
      <c r="R132" s="102"/>
      <c r="S132" s="102">
        <f t="shared" si="56"/>
        <v>1550</v>
      </c>
      <c r="T132" s="101">
        <f>1350+200</f>
        <v>1550</v>
      </c>
      <c r="U132" s="101"/>
      <c r="V132" s="101"/>
      <c r="W132" s="101"/>
      <c r="X132" s="101">
        <f t="shared" si="68"/>
        <v>1550</v>
      </c>
      <c r="Y132" s="101">
        <f t="shared" si="69"/>
        <v>6150</v>
      </c>
      <c r="Z132" s="101">
        <f t="shared" si="49"/>
        <v>6150</v>
      </c>
    </row>
    <row r="133" spans="1:26" x14ac:dyDescent="0.25">
      <c r="A133" s="177"/>
      <c r="B133" s="113"/>
      <c r="C133" s="97" t="s">
        <v>482</v>
      </c>
      <c r="D133" s="115">
        <f>SUM(D135:D139)</f>
        <v>0</v>
      </c>
      <c r="E133" s="98">
        <f>SUM(E135:E139)</f>
        <v>65440</v>
      </c>
      <c r="F133" s="98">
        <f t="shared" ref="F133:H133" si="105">SUM(F135:F139)</f>
        <v>0</v>
      </c>
      <c r="G133" s="98">
        <f t="shared" si="105"/>
        <v>0</v>
      </c>
      <c r="H133" s="98">
        <f t="shared" si="105"/>
        <v>150</v>
      </c>
      <c r="I133" s="98">
        <f t="shared" si="104"/>
        <v>65590</v>
      </c>
      <c r="J133" s="98">
        <f>SUM(J135:J139)</f>
        <v>67290</v>
      </c>
      <c r="K133" s="98">
        <f t="shared" ref="K133:M133" si="106">SUM(K135:K139)</f>
        <v>0</v>
      </c>
      <c r="L133" s="98">
        <f t="shared" si="106"/>
        <v>0</v>
      </c>
      <c r="M133" s="98">
        <f t="shared" si="106"/>
        <v>150</v>
      </c>
      <c r="N133" s="98">
        <f t="shared" si="55"/>
        <v>67440</v>
      </c>
      <c r="O133" s="98">
        <f>SUM(O135:O139)</f>
        <v>66440</v>
      </c>
      <c r="P133" s="98">
        <f t="shared" ref="P133:R133" si="107">SUM(P135:P139)</f>
        <v>0</v>
      </c>
      <c r="Q133" s="98">
        <f t="shared" si="107"/>
        <v>0</v>
      </c>
      <c r="R133" s="98">
        <f t="shared" si="107"/>
        <v>150</v>
      </c>
      <c r="S133" s="98">
        <f t="shared" si="56"/>
        <v>66590</v>
      </c>
      <c r="T133" s="98">
        <f>SUM(T135:T139)</f>
        <v>30170</v>
      </c>
      <c r="U133" s="98">
        <f t="shared" ref="U133:W133" si="108">SUM(U135:U139)</f>
        <v>0</v>
      </c>
      <c r="V133" s="98">
        <f t="shared" si="108"/>
        <v>0</v>
      </c>
      <c r="W133" s="98">
        <f t="shared" si="108"/>
        <v>150</v>
      </c>
      <c r="X133" s="98">
        <f>SUM(T133:W133)</f>
        <v>30320</v>
      </c>
      <c r="Y133" s="98">
        <f t="shared" si="69"/>
        <v>229940</v>
      </c>
      <c r="Z133" s="98">
        <f t="shared" si="49"/>
        <v>229340</v>
      </c>
    </row>
    <row r="134" spans="1:26" x14ac:dyDescent="0.25">
      <c r="A134" s="116"/>
      <c r="B134" s="113"/>
      <c r="C134" s="100" t="s">
        <v>358</v>
      </c>
      <c r="D134" s="128"/>
      <c r="E134" s="102"/>
      <c r="F134" s="102"/>
      <c r="G134" s="102"/>
      <c r="H134" s="102"/>
      <c r="I134" s="102"/>
      <c r="J134" s="102"/>
      <c r="K134" s="102"/>
      <c r="L134" s="102"/>
      <c r="M134" s="102"/>
      <c r="N134" s="102">
        <f t="shared" si="55"/>
        <v>0</v>
      </c>
      <c r="O134" s="102"/>
      <c r="P134" s="102"/>
      <c r="Q134" s="102"/>
      <c r="R134" s="102"/>
      <c r="S134" s="102">
        <f t="shared" si="56"/>
        <v>0</v>
      </c>
      <c r="T134" s="101"/>
      <c r="U134" s="101"/>
      <c r="V134" s="101"/>
      <c r="W134" s="101"/>
      <c r="X134" s="101">
        <f t="shared" si="68"/>
        <v>0</v>
      </c>
      <c r="Y134" s="101">
        <f t="shared" si="69"/>
        <v>0</v>
      </c>
      <c r="Z134" s="101">
        <f t="shared" ref="Z134:Z198" si="109">E134+J134+O134+T134</f>
        <v>0</v>
      </c>
    </row>
    <row r="135" spans="1:26" ht="30" x14ac:dyDescent="0.3">
      <c r="A135" s="116" t="s">
        <v>55</v>
      </c>
      <c r="B135" s="113"/>
      <c r="C135" s="118" t="s">
        <v>483</v>
      </c>
      <c r="D135" s="115"/>
      <c r="E135" s="102">
        <f>32280-1180</f>
        <v>31100</v>
      </c>
      <c r="F135" s="102"/>
      <c r="G135" s="102"/>
      <c r="H135" s="102"/>
      <c r="I135" s="102">
        <f t="shared" si="104"/>
        <v>31100</v>
      </c>
      <c r="J135" s="102">
        <v>31100</v>
      </c>
      <c r="K135" s="102"/>
      <c r="L135" s="102"/>
      <c r="M135" s="102"/>
      <c r="N135" s="102">
        <f t="shared" si="55"/>
        <v>31100</v>
      </c>
      <c r="O135" s="102">
        <v>31100</v>
      </c>
      <c r="P135" s="102"/>
      <c r="Q135" s="102"/>
      <c r="R135" s="102"/>
      <c r="S135" s="102">
        <f t="shared" si="56"/>
        <v>31100</v>
      </c>
      <c r="T135" s="101"/>
      <c r="U135" s="101"/>
      <c r="V135" s="101"/>
      <c r="W135" s="101"/>
      <c r="X135" s="101">
        <f t="shared" si="68"/>
        <v>0</v>
      </c>
      <c r="Y135" s="101">
        <f t="shared" si="69"/>
        <v>93300</v>
      </c>
      <c r="Z135" s="101">
        <f t="shared" si="109"/>
        <v>93300</v>
      </c>
    </row>
    <row r="136" spans="1:26" ht="15.75" x14ac:dyDescent="0.3">
      <c r="A136" s="116" t="s">
        <v>35</v>
      </c>
      <c r="B136" s="113"/>
      <c r="C136" s="118" t="s">
        <v>484</v>
      </c>
      <c r="D136" s="115"/>
      <c r="E136" s="102">
        <v>5170</v>
      </c>
      <c r="F136" s="102"/>
      <c r="G136" s="102"/>
      <c r="H136" s="102"/>
      <c r="I136" s="102">
        <f t="shared" si="104"/>
        <v>5170</v>
      </c>
      <c r="J136" s="102">
        <v>5170</v>
      </c>
      <c r="K136" s="102"/>
      <c r="L136" s="102"/>
      <c r="M136" s="102"/>
      <c r="N136" s="102">
        <f t="shared" si="55"/>
        <v>5170</v>
      </c>
      <c r="O136" s="102">
        <v>5170</v>
      </c>
      <c r="P136" s="102"/>
      <c r="Q136" s="102"/>
      <c r="R136" s="102"/>
      <c r="S136" s="102">
        <f t="shared" si="56"/>
        <v>5170</v>
      </c>
      <c r="T136" s="101"/>
      <c r="U136" s="101"/>
      <c r="V136" s="101"/>
      <c r="W136" s="101"/>
      <c r="X136" s="101">
        <f t="shared" si="68"/>
        <v>0</v>
      </c>
      <c r="Y136" s="101">
        <f t="shared" si="69"/>
        <v>15510</v>
      </c>
      <c r="Z136" s="101">
        <f t="shared" si="109"/>
        <v>15510</v>
      </c>
    </row>
    <row r="137" spans="1:26" ht="15.75" x14ac:dyDescent="0.3">
      <c r="A137" s="116" t="s">
        <v>145</v>
      </c>
      <c r="B137" s="113"/>
      <c r="C137" s="118" t="s">
        <v>485</v>
      </c>
      <c r="D137" s="115"/>
      <c r="E137" s="102">
        <v>400</v>
      </c>
      <c r="F137" s="102"/>
      <c r="G137" s="102"/>
      <c r="H137" s="102"/>
      <c r="I137" s="102">
        <f t="shared" si="104"/>
        <v>400</v>
      </c>
      <c r="J137" s="102">
        <v>400</v>
      </c>
      <c r="K137" s="102"/>
      <c r="L137" s="102"/>
      <c r="M137" s="102"/>
      <c r="N137" s="102">
        <f t="shared" ref="N137:N200" si="110">SUM(J137:M137)</f>
        <v>400</v>
      </c>
      <c r="O137" s="102">
        <v>400</v>
      </c>
      <c r="P137" s="102"/>
      <c r="Q137" s="102"/>
      <c r="R137" s="102"/>
      <c r="S137" s="102">
        <f t="shared" si="56"/>
        <v>400</v>
      </c>
      <c r="T137" s="101">
        <v>400</v>
      </c>
      <c r="U137" s="101"/>
      <c r="V137" s="101"/>
      <c r="W137" s="101"/>
      <c r="X137" s="101">
        <f t="shared" si="68"/>
        <v>400</v>
      </c>
      <c r="Y137" s="101">
        <f t="shared" si="69"/>
        <v>1600</v>
      </c>
      <c r="Z137" s="101">
        <f t="shared" si="109"/>
        <v>1600</v>
      </c>
    </row>
    <row r="138" spans="1:26" x14ac:dyDescent="0.25">
      <c r="A138" s="116" t="s">
        <v>144</v>
      </c>
      <c r="B138" s="113"/>
      <c r="C138" s="178" t="s">
        <v>486</v>
      </c>
      <c r="D138" s="115"/>
      <c r="E138" s="102">
        <v>25570</v>
      </c>
      <c r="F138" s="102"/>
      <c r="G138" s="102"/>
      <c r="H138" s="102"/>
      <c r="I138" s="102">
        <f t="shared" si="104"/>
        <v>25570</v>
      </c>
      <c r="J138" s="102">
        <v>25570</v>
      </c>
      <c r="K138" s="102"/>
      <c r="L138" s="102"/>
      <c r="M138" s="102"/>
      <c r="N138" s="102">
        <f t="shared" si="110"/>
        <v>25570</v>
      </c>
      <c r="O138" s="102">
        <v>25570</v>
      </c>
      <c r="P138" s="102"/>
      <c r="Q138" s="102"/>
      <c r="R138" s="102"/>
      <c r="S138" s="102">
        <f t="shared" si="56"/>
        <v>25570</v>
      </c>
      <c r="T138" s="101">
        <v>25570</v>
      </c>
      <c r="U138" s="101"/>
      <c r="V138" s="101"/>
      <c r="W138" s="101"/>
      <c r="X138" s="101"/>
      <c r="Y138" s="101"/>
      <c r="Z138" s="101">
        <f t="shared" si="109"/>
        <v>102280</v>
      </c>
    </row>
    <row r="139" spans="1:26" ht="30" x14ac:dyDescent="0.3">
      <c r="A139" s="103" t="s">
        <v>487</v>
      </c>
      <c r="B139" s="113"/>
      <c r="C139" s="118" t="s">
        <v>488</v>
      </c>
      <c r="D139" s="115"/>
      <c r="E139" s="102">
        <f>1150+2050</f>
        <v>3200</v>
      </c>
      <c r="F139" s="102"/>
      <c r="G139" s="102"/>
      <c r="H139" s="102">
        <v>150</v>
      </c>
      <c r="I139" s="102">
        <f t="shared" si="104"/>
        <v>3350</v>
      </c>
      <c r="J139" s="102">
        <f>1150+3900</f>
        <v>5050</v>
      </c>
      <c r="K139" s="102"/>
      <c r="L139" s="102"/>
      <c r="M139" s="102">
        <v>150</v>
      </c>
      <c r="N139" s="102">
        <f t="shared" si="110"/>
        <v>5200</v>
      </c>
      <c r="O139" s="102">
        <f>1150+3050</f>
        <v>4200</v>
      </c>
      <c r="P139" s="102"/>
      <c r="Q139" s="102"/>
      <c r="R139" s="102">
        <v>150</v>
      </c>
      <c r="S139" s="102">
        <f t="shared" ref="S139:S202" si="111">SUM(O139:R139)</f>
        <v>4350</v>
      </c>
      <c r="T139" s="101">
        <f>1150+3050</f>
        <v>4200</v>
      </c>
      <c r="U139" s="101"/>
      <c r="V139" s="101"/>
      <c r="W139" s="101">
        <v>150</v>
      </c>
      <c r="X139" s="101">
        <f t="shared" si="68"/>
        <v>4350</v>
      </c>
      <c r="Y139" s="101">
        <f t="shared" si="69"/>
        <v>17250</v>
      </c>
      <c r="Z139" s="101">
        <f t="shared" si="109"/>
        <v>16650</v>
      </c>
    </row>
    <row r="140" spans="1:26" x14ac:dyDescent="0.25">
      <c r="A140" s="165"/>
      <c r="B140" s="113"/>
      <c r="C140" s="97" t="s">
        <v>489</v>
      </c>
      <c r="D140" s="115"/>
      <c r="E140" s="98">
        <f>SUM(E142:E146)</f>
        <v>3165</v>
      </c>
      <c r="F140" s="98">
        <f>SUM(F142:F146)</f>
        <v>0</v>
      </c>
      <c r="G140" s="98">
        <f>SUM(G142:G146)</f>
        <v>0</v>
      </c>
      <c r="H140" s="98">
        <f>SUM(H142:H146)</f>
        <v>0</v>
      </c>
      <c r="I140" s="98">
        <f t="shared" si="104"/>
        <v>3165</v>
      </c>
      <c r="J140" s="98">
        <f>SUM(J142:J146)</f>
        <v>3165</v>
      </c>
      <c r="K140" s="98">
        <f>SUM(K142:K146)</f>
        <v>0</v>
      </c>
      <c r="L140" s="98">
        <f>SUM(L142:L146)</f>
        <v>0</v>
      </c>
      <c r="M140" s="98">
        <f>SUM(M142:M146)</f>
        <v>0</v>
      </c>
      <c r="N140" s="98">
        <f t="shared" si="110"/>
        <v>3165</v>
      </c>
      <c r="O140" s="98">
        <f>SUM(O142:O146)</f>
        <v>3165</v>
      </c>
      <c r="P140" s="98">
        <f>SUM(P142:P146)</f>
        <v>0</v>
      </c>
      <c r="Q140" s="98">
        <f>SUM(Q142:Q146)</f>
        <v>0</v>
      </c>
      <c r="R140" s="98">
        <f>SUM(R142:R146)</f>
        <v>0</v>
      </c>
      <c r="S140" s="98">
        <f t="shared" si="111"/>
        <v>3165</v>
      </c>
      <c r="T140" s="98">
        <f>SUM(T142:T146)</f>
        <v>0</v>
      </c>
      <c r="U140" s="98">
        <f>SUM(U142:U146)</f>
        <v>0</v>
      </c>
      <c r="V140" s="98">
        <f>SUM(V142:V146)</f>
        <v>0</v>
      </c>
      <c r="W140" s="98">
        <f>SUM(W142:W146)</f>
        <v>0</v>
      </c>
      <c r="X140" s="98">
        <f t="shared" si="68"/>
        <v>0</v>
      </c>
      <c r="Y140" s="98">
        <f t="shared" si="69"/>
        <v>9495</v>
      </c>
      <c r="Z140" s="98">
        <f t="shared" si="109"/>
        <v>9495</v>
      </c>
    </row>
    <row r="141" spans="1:26" x14ac:dyDescent="0.25">
      <c r="A141" s="174"/>
      <c r="B141" s="113"/>
      <c r="C141" s="100" t="s">
        <v>358</v>
      </c>
      <c r="D141" s="128"/>
      <c r="E141" s="102"/>
      <c r="F141" s="102"/>
      <c r="G141" s="102"/>
      <c r="H141" s="102"/>
      <c r="I141" s="102">
        <f t="shared" si="104"/>
        <v>0</v>
      </c>
      <c r="J141" s="102"/>
      <c r="K141" s="102"/>
      <c r="L141" s="102"/>
      <c r="M141" s="102"/>
      <c r="N141" s="102">
        <f t="shared" si="110"/>
        <v>0</v>
      </c>
      <c r="O141" s="102"/>
      <c r="P141" s="102"/>
      <c r="Q141" s="102"/>
      <c r="R141" s="102"/>
      <c r="S141" s="102">
        <f t="shared" si="111"/>
        <v>0</v>
      </c>
      <c r="T141" s="101"/>
      <c r="U141" s="101"/>
      <c r="V141" s="101"/>
      <c r="W141" s="101"/>
      <c r="X141" s="101">
        <f t="shared" si="68"/>
        <v>0</v>
      </c>
      <c r="Y141" s="101">
        <f t="shared" si="69"/>
        <v>0</v>
      </c>
      <c r="Z141" s="101">
        <f t="shared" si="109"/>
        <v>0</v>
      </c>
    </row>
    <row r="142" spans="1:26" ht="30" x14ac:dyDescent="0.3">
      <c r="A142" s="116" t="s">
        <v>36</v>
      </c>
      <c r="B142" s="113"/>
      <c r="C142" s="118" t="s">
        <v>490</v>
      </c>
      <c r="D142" s="115"/>
      <c r="E142" s="102">
        <v>375</v>
      </c>
      <c r="F142" s="102"/>
      <c r="G142" s="102"/>
      <c r="H142" s="102"/>
      <c r="I142" s="102">
        <f t="shared" si="104"/>
        <v>375</v>
      </c>
      <c r="J142" s="102">
        <v>375</v>
      </c>
      <c r="K142" s="102"/>
      <c r="L142" s="102"/>
      <c r="M142" s="102"/>
      <c r="N142" s="102">
        <f t="shared" si="110"/>
        <v>375</v>
      </c>
      <c r="O142" s="102">
        <v>375</v>
      </c>
      <c r="P142" s="102"/>
      <c r="Q142" s="102"/>
      <c r="R142" s="102"/>
      <c r="S142" s="102">
        <f t="shared" si="111"/>
        <v>375</v>
      </c>
      <c r="T142" s="101"/>
      <c r="U142" s="101"/>
      <c r="V142" s="101"/>
      <c r="W142" s="101"/>
      <c r="X142" s="101">
        <f t="shared" ref="X142:X211" si="112">T142+U142+V142+W142</f>
        <v>0</v>
      </c>
      <c r="Y142" s="101">
        <f t="shared" ref="Y142:Y212" si="113">I142+N142+S142+X142</f>
        <v>1125</v>
      </c>
      <c r="Z142" s="101">
        <f t="shared" si="109"/>
        <v>1125</v>
      </c>
    </row>
    <row r="143" spans="1:26" ht="28.5" customHeight="1" x14ac:dyDescent="0.3">
      <c r="A143" s="116" t="s">
        <v>37</v>
      </c>
      <c r="B143" s="113"/>
      <c r="C143" s="118" t="s">
        <v>491</v>
      </c>
      <c r="D143" s="115"/>
      <c r="E143" s="102">
        <v>700</v>
      </c>
      <c r="F143" s="102"/>
      <c r="G143" s="102"/>
      <c r="H143" s="102"/>
      <c r="I143" s="102">
        <f t="shared" si="104"/>
        <v>700</v>
      </c>
      <c r="J143" s="102">
        <v>700</v>
      </c>
      <c r="K143" s="102"/>
      <c r="L143" s="102"/>
      <c r="M143" s="102"/>
      <c r="N143" s="102">
        <f t="shared" si="110"/>
        <v>700</v>
      </c>
      <c r="O143" s="102">
        <v>700</v>
      </c>
      <c r="P143" s="102"/>
      <c r="Q143" s="102"/>
      <c r="R143" s="102"/>
      <c r="S143" s="102">
        <f t="shared" si="111"/>
        <v>700</v>
      </c>
      <c r="T143" s="101"/>
      <c r="U143" s="101"/>
      <c r="V143" s="101"/>
      <c r="W143" s="101"/>
      <c r="X143" s="101">
        <f t="shared" si="112"/>
        <v>0</v>
      </c>
      <c r="Y143" s="101">
        <f t="shared" si="113"/>
        <v>2100</v>
      </c>
      <c r="Z143" s="101">
        <f t="shared" si="109"/>
        <v>2100</v>
      </c>
    </row>
    <row r="144" spans="1:26" hidden="1" x14ac:dyDescent="0.25">
      <c r="A144" s="116"/>
      <c r="B144" s="113"/>
      <c r="D144" s="115"/>
      <c r="E144" s="102"/>
      <c r="F144" s="102"/>
      <c r="G144" s="102"/>
      <c r="H144" s="102"/>
      <c r="I144" s="102">
        <f t="shared" si="104"/>
        <v>0</v>
      </c>
      <c r="J144" s="102"/>
      <c r="K144" s="102"/>
      <c r="L144" s="102"/>
      <c r="M144" s="102"/>
      <c r="N144" s="102">
        <f t="shared" si="110"/>
        <v>0</v>
      </c>
      <c r="O144" s="102"/>
      <c r="P144" s="102"/>
      <c r="Q144" s="102"/>
      <c r="R144" s="102"/>
      <c r="S144" s="102">
        <f t="shared" si="111"/>
        <v>0</v>
      </c>
      <c r="T144" s="101"/>
      <c r="U144" s="101"/>
      <c r="V144" s="101"/>
      <c r="W144" s="101"/>
      <c r="X144" s="101">
        <f t="shared" si="112"/>
        <v>0</v>
      </c>
      <c r="Y144" s="101">
        <f t="shared" si="113"/>
        <v>0</v>
      </c>
      <c r="Z144" s="101">
        <f t="shared" si="109"/>
        <v>0</v>
      </c>
    </row>
    <row r="145" spans="1:26" ht="30" x14ac:dyDescent="0.3">
      <c r="A145" s="116" t="s">
        <v>38</v>
      </c>
      <c r="B145" s="113"/>
      <c r="C145" s="118" t="s">
        <v>492</v>
      </c>
      <c r="D145" s="115"/>
      <c r="E145" s="102">
        <v>2090</v>
      </c>
      <c r="F145" s="102"/>
      <c r="G145" s="102"/>
      <c r="H145" s="102"/>
      <c r="I145" s="102">
        <f t="shared" si="104"/>
        <v>2090</v>
      </c>
      <c r="J145" s="102">
        <v>2090</v>
      </c>
      <c r="K145" s="102"/>
      <c r="L145" s="102"/>
      <c r="M145" s="102"/>
      <c r="N145" s="102">
        <f t="shared" si="110"/>
        <v>2090</v>
      </c>
      <c r="O145" s="102">
        <v>2090</v>
      </c>
      <c r="P145" s="102"/>
      <c r="Q145" s="102"/>
      <c r="R145" s="102"/>
      <c r="S145" s="102">
        <f t="shared" si="111"/>
        <v>2090</v>
      </c>
      <c r="T145" s="101"/>
      <c r="U145" s="101"/>
      <c r="V145" s="101"/>
      <c r="W145" s="101"/>
      <c r="X145" s="101">
        <f t="shared" si="112"/>
        <v>0</v>
      </c>
      <c r="Y145" s="101">
        <f t="shared" si="113"/>
        <v>6270</v>
      </c>
      <c r="Z145" s="101">
        <f t="shared" si="109"/>
        <v>6270</v>
      </c>
    </row>
    <row r="146" spans="1:26" hidden="1" x14ac:dyDescent="0.25">
      <c r="A146" s="85"/>
      <c r="B146" s="113"/>
      <c r="D146" s="115"/>
      <c r="E146" s="102"/>
      <c r="F146" s="102"/>
      <c r="G146" s="102"/>
      <c r="H146" s="102"/>
      <c r="I146" s="102">
        <f t="shared" si="104"/>
        <v>0</v>
      </c>
      <c r="J146" s="102"/>
      <c r="K146" s="102"/>
      <c r="L146" s="102"/>
      <c r="M146" s="102"/>
      <c r="N146" s="102">
        <f t="shared" si="110"/>
        <v>0</v>
      </c>
      <c r="O146" s="102"/>
      <c r="P146" s="102"/>
      <c r="Q146" s="102"/>
      <c r="R146" s="102"/>
      <c r="S146" s="102">
        <f t="shared" si="111"/>
        <v>0</v>
      </c>
      <c r="T146" s="101"/>
      <c r="U146" s="101"/>
      <c r="V146" s="101"/>
      <c r="W146" s="101"/>
      <c r="X146" s="101">
        <f t="shared" si="112"/>
        <v>0</v>
      </c>
      <c r="Y146" s="101">
        <f t="shared" si="113"/>
        <v>0</v>
      </c>
      <c r="Z146" s="101">
        <f t="shared" si="109"/>
        <v>0</v>
      </c>
    </row>
    <row r="147" spans="1:26" x14ac:dyDescent="0.25">
      <c r="A147" s="85"/>
      <c r="B147" s="113"/>
      <c r="C147" s="179" t="s">
        <v>493</v>
      </c>
      <c r="D147" s="115">
        <f>SUM(D153:D154)</f>
        <v>373345</v>
      </c>
      <c r="E147" s="98">
        <f>SUM(E149:E154)</f>
        <v>212330</v>
      </c>
      <c r="F147" s="98">
        <f t="shared" ref="F147:H147" si="114">SUM(F149:F154)</f>
        <v>0</v>
      </c>
      <c r="G147" s="98">
        <f t="shared" si="114"/>
        <v>1915922</v>
      </c>
      <c r="H147" s="98">
        <f t="shared" si="114"/>
        <v>512</v>
      </c>
      <c r="I147" s="98">
        <f t="shared" si="104"/>
        <v>2128764</v>
      </c>
      <c r="J147" s="98">
        <f>SUM(J149:J154)</f>
        <v>217530</v>
      </c>
      <c r="K147" s="98">
        <f t="shared" ref="K147:M147" si="115">SUM(K149:K154)</f>
        <v>0</v>
      </c>
      <c r="L147" s="98">
        <f t="shared" si="115"/>
        <v>404668</v>
      </c>
      <c r="M147" s="98">
        <f t="shared" si="115"/>
        <v>450</v>
      </c>
      <c r="N147" s="98">
        <f t="shared" si="110"/>
        <v>622648</v>
      </c>
      <c r="O147" s="98">
        <f>SUM(O149:O154)</f>
        <v>217630</v>
      </c>
      <c r="P147" s="98">
        <f t="shared" ref="P147:R147" si="116">SUM(P149:P154)</f>
        <v>0</v>
      </c>
      <c r="Q147" s="98">
        <f t="shared" si="116"/>
        <v>2020</v>
      </c>
      <c r="R147" s="98">
        <f t="shared" si="116"/>
        <v>450</v>
      </c>
      <c r="S147" s="98">
        <f t="shared" si="111"/>
        <v>220100</v>
      </c>
      <c r="T147" s="98">
        <f>SUM(T149:T154)</f>
        <v>217630</v>
      </c>
      <c r="U147" s="98">
        <f t="shared" ref="U147:W147" si="117">SUM(U149:U154)</f>
        <v>0</v>
      </c>
      <c r="V147" s="98">
        <f t="shared" si="117"/>
        <v>0</v>
      </c>
      <c r="W147" s="98">
        <f t="shared" si="117"/>
        <v>450</v>
      </c>
      <c r="X147" s="98">
        <f t="shared" si="112"/>
        <v>218080</v>
      </c>
      <c r="Y147" s="98">
        <f t="shared" si="113"/>
        <v>3189592</v>
      </c>
      <c r="Z147" s="98">
        <f t="shared" si="109"/>
        <v>865120</v>
      </c>
    </row>
    <row r="148" spans="1:26" x14ac:dyDescent="0.25">
      <c r="A148" s="85"/>
      <c r="B148" s="113"/>
      <c r="C148" s="100" t="s">
        <v>358</v>
      </c>
      <c r="D148" s="115"/>
      <c r="E148" s="102"/>
      <c r="F148" s="102"/>
      <c r="G148" s="102"/>
      <c r="H148" s="102"/>
      <c r="I148" s="102">
        <f t="shared" si="104"/>
        <v>0</v>
      </c>
      <c r="J148" s="102"/>
      <c r="K148" s="102"/>
      <c r="L148" s="102"/>
      <c r="M148" s="102"/>
      <c r="N148" s="102">
        <f t="shared" si="110"/>
        <v>0</v>
      </c>
      <c r="O148" s="102"/>
      <c r="P148" s="102"/>
      <c r="Q148" s="102"/>
      <c r="R148" s="102"/>
      <c r="S148" s="102">
        <f t="shared" si="111"/>
        <v>0</v>
      </c>
      <c r="T148" s="101"/>
      <c r="U148" s="101"/>
      <c r="V148" s="101"/>
      <c r="W148" s="101"/>
      <c r="X148" s="101">
        <f t="shared" si="112"/>
        <v>0</v>
      </c>
      <c r="Y148" s="101">
        <f t="shared" si="113"/>
        <v>0</v>
      </c>
      <c r="Z148" s="101">
        <f t="shared" si="109"/>
        <v>0</v>
      </c>
    </row>
    <row r="149" spans="1:26" ht="30" x14ac:dyDescent="0.3">
      <c r="A149" s="85"/>
      <c r="B149" s="113"/>
      <c r="C149" s="118" t="s">
        <v>494</v>
      </c>
      <c r="D149" s="115"/>
      <c r="E149" s="102"/>
      <c r="F149" s="102"/>
      <c r="G149" s="102"/>
      <c r="H149" s="102"/>
      <c r="I149" s="102">
        <f t="shared" si="104"/>
        <v>0</v>
      </c>
      <c r="J149" s="102"/>
      <c r="K149" s="102"/>
      <c r="L149" s="102"/>
      <c r="M149" s="102"/>
      <c r="N149" s="102">
        <f t="shared" si="110"/>
        <v>0</v>
      </c>
      <c r="O149" s="102"/>
      <c r="P149" s="102"/>
      <c r="Q149" s="102"/>
      <c r="R149" s="102"/>
      <c r="S149" s="102">
        <f t="shared" si="111"/>
        <v>0</v>
      </c>
      <c r="T149" s="101"/>
      <c r="U149" s="101"/>
      <c r="V149" s="101"/>
      <c r="W149" s="101"/>
      <c r="X149" s="101">
        <f t="shared" si="112"/>
        <v>0</v>
      </c>
      <c r="Y149" s="101">
        <f t="shared" si="113"/>
        <v>0</v>
      </c>
      <c r="Z149" s="101">
        <f t="shared" si="109"/>
        <v>0</v>
      </c>
    </row>
    <row r="150" spans="1:26" ht="30" x14ac:dyDescent="0.3">
      <c r="A150" s="85"/>
      <c r="B150" s="113"/>
      <c r="C150" s="118" t="s">
        <v>495</v>
      </c>
      <c r="D150" s="115"/>
      <c r="E150" s="102">
        <v>122500</v>
      </c>
      <c r="F150" s="102"/>
      <c r="G150" s="102"/>
      <c r="H150" s="102"/>
      <c r="I150" s="102">
        <f t="shared" si="104"/>
        <v>122500</v>
      </c>
      <c r="J150" s="102">
        <v>127500</v>
      </c>
      <c r="K150" s="102"/>
      <c r="L150" s="102"/>
      <c r="M150" s="102"/>
      <c r="N150" s="102">
        <f t="shared" si="110"/>
        <v>127500</v>
      </c>
      <c r="O150" s="102">
        <v>127500</v>
      </c>
      <c r="P150" s="102"/>
      <c r="Q150" s="102"/>
      <c r="R150" s="102"/>
      <c r="S150" s="102">
        <f t="shared" si="111"/>
        <v>127500</v>
      </c>
      <c r="T150" s="101">
        <v>127500</v>
      </c>
      <c r="U150" s="101"/>
      <c r="V150" s="101"/>
      <c r="W150" s="101"/>
      <c r="X150" s="101">
        <f t="shared" si="112"/>
        <v>127500</v>
      </c>
      <c r="Y150" s="101">
        <f t="shared" si="113"/>
        <v>505000</v>
      </c>
      <c r="Z150" s="101">
        <f t="shared" si="109"/>
        <v>505000</v>
      </c>
    </row>
    <row r="151" spans="1:26" ht="75" x14ac:dyDescent="0.3">
      <c r="A151" s="116"/>
      <c r="B151" s="113"/>
      <c r="C151" s="118" t="s">
        <v>496</v>
      </c>
      <c r="D151" s="115"/>
      <c r="E151" s="102"/>
      <c r="F151" s="102"/>
      <c r="G151" s="102">
        <f>828-265+1304495</f>
        <v>1305058</v>
      </c>
      <c r="H151" s="102"/>
      <c r="I151" s="102">
        <f t="shared" si="104"/>
        <v>1305058</v>
      </c>
      <c r="J151" s="102"/>
      <c r="K151" s="102"/>
      <c r="L151" s="102">
        <v>280879</v>
      </c>
      <c r="M151" s="102"/>
      <c r="N151" s="102">
        <f t="shared" si="110"/>
        <v>280879</v>
      </c>
      <c r="O151" s="102"/>
      <c r="P151" s="102"/>
      <c r="Q151" s="102"/>
      <c r="R151" s="102"/>
      <c r="S151" s="102">
        <f>38+2559+18500+304+196+1949+288+200+1840+94+100+110</f>
        <v>26178</v>
      </c>
      <c r="T151" s="101"/>
      <c r="U151" s="101"/>
      <c r="V151" s="101"/>
      <c r="W151" s="101"/>
      <c r="X151" s="101">
        <f t="shared" si="112"/>
        <v>0</v>
      </c>
      <c r="Y151" s="101">
        <f t="shared" si="113"/>
        <v>1612115</v>
      </c>
      <c r="Z151" s="101">
        <f t="shared" si="109"/>
        <v>0</v>
      </c>
    </row>
    <row r="152" spans="1:26" ht="75" x14ac:dyDescent="0.3">
      <c r="A152" s="116"/>
      <c r="B152" s="113"/>
      <c r="C152" s="118" t="s">
        <v>497</v>
      </c>
      <c r="D152" s="115"/>
      <c r="E152" s="102"/>
      <c r="F152" s="102"/>
      <c r="G152" s="102">
        <v>2020</v>
      </c>
      <c r="H152" s="102"/>
      <c r="I152" s="102">
        <f t="shared" si="104"/>
        <v>2020</v>
      </c>
      <c r="J152" s="102"/>
      <c r="K152" s="102"/>
      <c r="L152" s="102">
        <f>6060/3</f>
        <v>2020</v>
      </c>
      <c r="M152" s="102"/>
      <c r="N152" s="102">
        <f t="shared" si="110"/>
        <v>2020</v>
      </c>
      <c r="O152" s="102"/>
      <c r="P152" s="102"/>
      <c r="Q152" s="102">
        <v>2020</v>
      </c>
      <c r="R152" s="102"/>
      <c r="S152" s="102">
        <f t="shared" si="111"/>
        <v>2020</v>
      </c>
      <c r="T152" s="101"/>
      <c r="U152" s="101"/>
      <c r="V152" s="101"/>
      <c r="W152" s="101"/>
      <c r="X152" s="101">
        <f t="shared" si="112"/>
        <v>0</v>
      </c>
      <c r="Y152" s="101">
        <f t="shared" si="113"/>
        <v>6060</v>
      </c>
      <c r="Z152" s="101">
        <f t="shared" si="109"/>
        <v>0</v>
      </c>
    </row>
    <row r="153" spans="1:26" ht="45" x14ac:dyDescent="0.3">
      <c r="A153" s="116" t="s">
        <v>39</v>
      </c>
      <c r="B153" s="113"/>
      <c r="C153" s="118" t="s">
        <v>498</v>
      </c>
      <c r="D153" s="115">
        <f>82645+93900+98400+98400</f>
        <v>373345</v>
      </c>
      <c r="E153" s="102">
        <f>82645+685</f>
        <v>83330</v>
      </c>
      <c r="F153" s="102"/>
      <c r="G153" s="102"/>
      <c r="H153" s="102"/>
      <c r="I153" s="102">
        <f t="shared" si="104"/>
        <v>83330</v>
      </c>
      <c r="J153" s="102">
        <v>83330</v>
      </c>
      <c r="K153" s="102"/>
      <c r="L153" s="102"/>
      <c r="M153" s="102"/>
      <c r="N153" s="102">
        <f t="shared" si="110"/>
        <v>83330</v>
      </c>
      <c r="O153" s="102">
        <v>83330</v>
      </c>
      <c r="P153" s="102"/>
      <c r="Q153" s="102"/>
      <c r="R153" s="102"/>
      <c r="S153" s="102">
        <f t="shared" si="111"/>
        <v>83330</v>
      </c>
      <c r="T153" s="101">
        <v>83330</v>
      </c>
      <c r="U153" s="101"/>
      <c r="V153" s="101"/>
      <c r="W153" s="101"/>
      <c r="X153" s="101">
        <f t="shared" si="112"/>
        <v>83330</v>
      </c>
      <c r="Y153" s="101">
        <f t="shared" si="113"/>
        <v>333320</v>
      </c>
      <c r="Z153" s="101">
        <f t="shared" si="109"/>
        <v>333320</v>
      </c>
    </row>
    <row r="154" spans="1:26" ht="60" x14ac:dyDescent="0.3">
      <c r="A154" s="116" t="s">
        <v>499</v>
      </c>
      <c r="B154" s="113"/>
      <c r="C154" s="118" t="s">
        <v>500</v>
      </c>
      <c r="D154" s="115"/>
      <c r="E154" s="102">
        <f>2300+4200</f>
        <v>6500</v>
      </c>
      <c r="F154" s="102"/>
      <c r="G154" s="102">
        <v>608844</v>
      </c>
      <c r="H154" s="102">
        <f>132+380</f>
        <v>512</v>
      </c>
      <c r="I154" s="102">
        <f t="shared" si="104"/>
        <v>615856</v>
      </c>
      <c r="J154" s="102">
        <f>2500+4200</f>
        <v>6700</v>
      </c>
      <c r="K154" s="102"/>
      <c r="L154" s="102">
        <v>121769</v>
      </c>
      <c r="M154" s="102">
        <f>150+300</f>
        <v>450</v>
      </c>
      <c r="N154" s="102">
        <f t="shared" si="110"/>
        <v>128919</v>
      </c>
      <c r="O154" s="102">
        <f>2600+4200</f>
        <v>6800</v>
      </c>
      <c r="P154" s="102"/>
      <c r="Q154" s="102"/>
      <c r="R154" s="102">
        <f>150+300</f>
        <v>450</v>
      </c>
      <c r="S154" s="102">
        <f t="shared" si="111"/>
        <v>7250</v>
      </c>
      <c r="T154" s="101">
        <f>2600+4200</f>
        <v>6800</v>
      </c>
      <c r="U154" s="101"/>
      <c r="V154" s="101"/>
      <c r="W154" s="101">
        <f>150+300</f>
        <v>450</v>
      </c>
      <c r="X154" s="101">
        <f t="shared" si="112"/>
        <v>7250</v>
      </c>
      <c r="Y154" s="101">
        <f t="shared" si="113"/>
        <v>759275</v>
      </c>
      <c r="Z154" s="101">
        <f t="shared" si="109"/>
        <v>26800</v>
      </c>
    </row>
    <row r="155" spans="1:26" x14ac:dyDescent="0.25">
      <c r="A155" s="165"/>
      <c r="B155" s="113"/>
      <c r="C155" s="179" t="s">
        <v>501</v>
      </c>
      <c r="D155" s="115">
        <f>SUM(D157:D162)</f>
        <v>0</v>
      </c>
      <c r="E155" s="98">
        <f>SUM(E157:E162)</f>
        <v>714755</v>
      </c>
      <c r="F155" s="98">
        <f>SUM(F157:F162)</f>
        <v>0</v>
      </c>
      <c r="G155" s="98">
        <f>SUM(G157:G162)</f>
        <v>0</v>
      </c>
      <c r="H155" s="98">
        <f>SUM(H157:H162)</f>
        <v>0</v>
      </c>
      <c r="I155" s="98">
        <f t="shared" si="104"/>
        <v>714755</v>
      </c>
      <c r="J155" s="98">
        <f>SUM(J157:J162)</f>
        <v>757620</v>
      </c>
      <c r="K155" s="98">
        <f>SUM(K157:K162)</f>
        <v>0</v>
      </c>
      <c r="L155" s="98">
        <f>SUM(L157:L162)</f>
        <v>0</v>
      </c>
      <c r="M155" s="98">
        <f>SUM(M157:M162)</f>
        <v>0</v>
      </c>
      <c r="N155" s="98">
        <f t="shared" si="110"/>
        <v>757620</v>
      </c>
      <c r="O155" s="98">
        <f>SUM(O157:O162)</f>
        <v>768020</v>
      </c>
      <c r="P155" s="98">
        <f>SUM(P157:P162)</f>
        <v>0</v>
      </c>
      <c r="Q155" s="98">
        <f>SUM(Q157:Q162)</f>
        <v>0</v>
      </c>
      <c r="R155" s="98">
        <f>SUM(R157:R162)</f>
        <v>0</v>
      </c>
      <c r="S155" s="98">
        <f t="shared" si="111"/>
        <v>768020</v>
      </c>
      <c r="T155" s="98">
        <f t="shared" ref="T155:V155" si="118">SUM(T157:T162)</f>
        <v>815820</v>
      </c>
      <c r="U155" s="98">
        <f t="shared" si="118"/>
        <v>0</v>
      </c>
      <c r="V155" s="98">
        <f t="shared" si="118"/>
        <v>0</v>
      </c>
      <c r="W155" s="98">
        <f>SUM(W157:W162)</f>
        <v>0</v>
      </c>
      <c r="X155" s="98">
        <f t="shared" si="112"/>
        <v>815820</v>
      </c>
      <c r="Y155" s="98">
        <f t="shared" si="113"/>
        <v>3056215</v>
      </c>
      <c r="Z155" s="98">
        <f t="shared" si="109"/>
        <v>3056215</v>
      </c>
    </row>
    <row r="156" spans="1:26" x14ac:dyDescent="0.25">
      <c r="A156" s="85"/>
      <c r="B156" s="113"/>
      <c r="C156" s="100" t="s">
        <v>358</v>
      </c>
      <c r="D156" s="115"/>
      <c r="E156" s="102"/>
      <c r="F156" s="102"/>
      <c r="G156" s="102"/>
      <c r="H156" s="102"/>
      <c r="I156" s="102">
        <f t="shared" si="104"/>
        <v>0</v>
      </c>
      <c r="J156" s="102"/>
      <c r="K156" s="102"/>
      <c r="L156" s="102"/>
      <c r="M156" s="102"/>
      <c r="N156" s="102">
        <f t="shared" si="110"/>
        <v>0</v>
      </c>
      <c r="O156" s="102"/>
      <c r="P156" s="102"/>
      <c r="Q156" s="102"/>
      <c r="R156" s="102"/>
      <c r="S156" s="102">
        <f t="shared" si="111"/>
        <v>0</v>
      </c>
      <c r="T156" s="101"/>
      <c r="U156" s="101"/>
      <c r="V156" s="101"/>
      <c r="W156" s="101"/>
      <c r="X156" s="101">
        <f t="shared" si="112"/>
        <v>0</v>
      </c>
      <c r="Y156" s="101">
        <f t="shared" si="113"/>
        <v>0</v>
      </c>
      <c r="Z156" s="101">
        <f t="shared" si="109"/>
        <v>0</v>
      </c>
    </row>
    <row r="157" spans="1:26" ht="30" x14ac:dyDescent="0.3">
      <c r="A157" s="180" t="s">
        <v>41</v>
      </c>
      <c r="B157" s="113"/>
      <c r="C157" s="118" t="s">
        <v>502</v>
      </c>
      <c r="D157" s="115"/>
      <c r="E157" s="102">
        <v>680000</v>
      </c>
      <c r="F157" s="102"/>
      <c r="G157" s="102"/>
      <c r="H157" s="102"/>
      <c r="I157" s="102">
        <f t="shared" si="104"/>
        <v>680000</v>
      </c>
      <c r="J157" s="102">
        <v>717700</v>
      </c>
      <c r="K157" s="102"/>
      <c r="L157" s="102"/>
      <c r="M157" s="102"/>
      <c r="N157" s="102">
        <f t="shared" si="110"/>
        <v>717700</v>
      </c>
      <c r="O157" s="102">
        <v>726600</v>
      </c>
      <c r="P157" s="102"/>
      <c r="Q157" s="102"/>
      <c r="R157" s="102"/>
      <c r="S157" s="102">
        <f t="shared" si="111"/>
        <v>726600</v>
      </c>
      <c r="T157" s="101">
        <v>771100</v>
      </c>
      <c r="U157" s="101"/>
      <c r="V157" s="101"/>
      <c r="W157" s="101"/>
      <c r="X157" s="101">
        <f t="shared" si="112"/>
        <v>771100</v>
      </c>
      <c r="Y157" s="101">
        <f t="shared" si="113"/>
        <v>2895400</v>
      </c>
      <c r="Z157" s="101">
        <f t="shared" si="109"/>
        <v>2895400</v>
      </c>
    </row>
    <row r="158" spans="1:26" ht="15.75" x14ac:dyDescent="0.3">
      <c r="A158" s="181" t="s">
        <v>47</v>
      </c>
      <c r="B158" s="113"/>
      <c r="C158" s="118" t="s">
        <v>503</v>
      </c>
      <c r="D158" s="115"/>
      <c r="E158" s="102">
        <v>28200</v>
      </c>
      <c r="F158" s="102"/>
      <c r="G158" s="102"/>
      <c r="H158" s="102"/>
      <c r="I158" s="102">
        <f t="shared" si="104"/>
        <v>28200</v>
      </c>
      <c r="J158" s="102">
        <v>33300</v>
      </c>
      <c r="K158" s="102"/>
      <c r="L158" s="102"/>
      <c r="M158" s="102"/>
      <c r="N158" s="102">
        <f t="shared" si="110"/>
        <v>33300</v>
      </c>
      <c r="O158" s="102">
        <v>34800</v>
      </c>
      <c r="P158" s="102"/>
      <c r="Q158" s="102"/>
      <c r="R158" s="102"/>
      <c r="S158" s="102">
        <f t="shared" si="111"/>
        <v>34800</v>
      </c>
      <c r="T158" s="101">
        <v>38100</v>
      </c>
      <c r="U158" s="101"/>
      <c r="V158" s="101"/>
      <c r="W158" s="101"/>
      <c r="X158" s="101">
        <f t="shared" si="112"/>
        <v>38100</v>
      </c>
      <c r="Y158" s="101">
        <f t="shared" si="113"/>
        <v>134400</v>
      </c>
      <c r="Z158" s="101">
        <f t="shared" si="109"/>
        <v>134400</v>
      </c>
    </row>
    <row r="159" spans="1:26" ht="45" x14ac:dyDescent="0.3">
      <c r="A159" s="182" t="s">
        <v>352</v>
      </c>
      <c r="B159" s="113"/>
      <c r="C159" s="118" t="s">
        <v>504</v>
      </c>
      <c r="D159" s="115"/>
      <c r="E159" s="81">
        <v>3049</v>
      </c>
      <c r="F159" s="81"/>
      <c r="G159" s="81"/>
      <c r="H159" s="81"/>
      <c r="I159" s="81">
        <f t="shared" si="104"/>
        <v>3049</v>
      </c>
      <c r="J159" s="81">
        <v>3050</v>
      </c>
      <c r="K159" s="81"/>
      <c r="L159" s="81"/>
      <c r="M159" s="81"/>
      <c r="N159" s="81">
        <f t="shared" ref="N159" si="119">SUM(J159:M159)</f>
        <v>3050</v>
      </c>
      <c r="O159" s="81">
        <v>3050</v>
      </c>
      <c r="P159" s="81"/>
      <c r="Q159" s="81"/>
      <c r="R159" s="81"/>
      <c r="S159" s="81">
        <f t="shared" si="111"/>
        <v>3050</v>
      </c>
      <c r="T159" s="80">
        <v>3050</v>
      </c>
      <c r="U159" s="80"/>
      <c r="V159" s="80"/>
      <c r="W159" s="80"/>
      <c r="X159" s="101">
        <f t="shared" si="112"/>
        <v>3050</v>
      </c>
      <c r="Y159" s="101">
        <f t="shared" si="113"/>
        <v>12199</v>
      </c>
      <c r="Z159" s="101">
        <f t="shared" si="109"/>
        <v>12199</v>
      </c>
    </row>
    <row r="160" spans="1:26" ht="46.5" x14ac:dyDescent="0.3">
      <c r="A160" s="183" t="s">
        <v>505</v>
      </c>
      <c r="B160" s="113"/>
      <c r="C160" s="118" t="s">
        <v>506</v>
      </c>
      <c r="D160" s="115"/>
      <c r="E160" s="102">
        <f>5135-3049</f>
        <v>2086</v>
      </c>
      <c r="F160" s="102"/>
      <c r="G160" s="102"/>
      <c r="H160" s="102"/>
      <c r="I160" s="102">
        <f t="shared" si="104"/>
        <v>2086</v>
      </c>
      <c r="J160" s="102">
        <f>5200-3050</f>
        <v>2150</v>
      </c>
      <c r="K160" s="102"/>
      <c r="L160" s="102"/>
      <c r="M160" s="102"/>
      <c r="N160" s="102">
        <f t="shared" si="110"/>
        <v>2150</v>
      </c>
      <c r="O160" s="102">
        <f>5200-3050</f>
        <v>2150</v>
      </c>
      <c r="P160" s="102"/>
      <c r="Q160" s="102"/>
      <c r="R160" s="102"/>
      <c r="S160" s="102">
        <f t="shared" si="111"/>
        <v>2150</v>
      </c>
      <c r="T160" s="101">
        <f>5200-3050</f>
        <v>2150</v>
      </c>
      <c r="U160" s="101"/>
      <c r="V160" s="101"/>
      <c r="W160" s="101"/>
      <c r="X160" s="101">
        <f t="shared" si="112"/>
        <v>2150</v>
      </c>
      <c r="Y160" s="101">
        <f t="shared" si="113"/>
        <v>8536</v>
      </c>
      <c r="Z160" s="101">
        <f t="shared" si="109"/>
        <v>8536</v>
      </c>
    </row>
    <row r="161" spans="1:26" ht="30" x14ac:dyDescent="0.3">
      <c r="A161" s="182" t="s">
        <v>507</v>
      </c>
      <c r="B161" s="113"/>
      <c r="C161" s="118" t="s">
        <v>508</v>
      </c>
      <c r="D161" s="115"/>
      <c r="E161" s="102">
        <v>1420</v>
      </c>
      <c r="F161" s="102" t="s">
        <v>49</v>
      </c>
      <c r="G161" s="102"/>
      <c r="H161" s="102"/>
      <c r="I161" s="102">
        <f t="shared" si="104"/>
        <v>1420</v>
      </c>
      <c r="J161" s="102">
        <v>1420</v>
      </c>
      <c r="K161" s="102"/>
      <c r="L161" s="102"/>
      <c r="M161" s="102"/>
      <c r="N161" s="102">
        <f t="shared" si="110"/>
        <v>1420</v>
      </c>
      <c r="O161" s="102">
        <v>1420</v>
      </c>
      <c r="P161" s="102"/>
      <c r="Q161" s="102"/>
      <c r="R161" s="102"/>
      <c r="S161" s="102">
        <f t="shared" si="111"/>
        <v>1420</v>
      </c>
      <c r="T161" s="101">
        <v>1420</v>
      </c>
      <c r="U161" s="101"/>
      <c r="V161" s="101"/>
      <c r="W161" s="101"/>
      <c r="X161" s="101">
        <f t="shared" si="112"/>
        <v>1420</v>
      </c>
      <c r="Y161" s="101">
        <f t="shared" si="113"/>
        <v>5680</v>
      </c>
      <c r="Z161" s="101">
        <f t="shared" si="109"/>
        <v>5680</v>
      </c>
    </row>
    <row r="162" spans="1:26" ht="105" x14ac:dyDescent="0.3">
      <c r="A162" s="85"/>
      <c r="B162" s="113"/>
      <c r="C162" s="118" t="s">
        <v>509</v>
      </c>
      <c r="D162" s="115"/>
      <c r="E162" s="102"/>
      <c r="F162" s="102" t="s">
        <v>49</v>
      </c>
      <c r="G162" s="102"/>
      <c r="H162" s="102"/>
      <c r="I162" s="102">
        <f t="shared" si="104"/>
        <v>0</v>
      </c>
      <c r="J162" s="102"/>
      <c r="K162" s="102"/>
      <c r="L162" s="102"/>
      <c r="M162" s="102"/>
      <c r="N162" s="102">
        <f t="shared" si="110"/>
        <v>0</v>
      </c>
      <c r="O162" s="102"/>
      <c r="P162" s="102"/>
      <c r="Q162" s="102"/>
      <c r="R162" s="102"/>
      <c r="S162" s="102">
        <f t="shared" si="111"/>
        <v>0</v>
      </c>
      <c r="T162" s="101"/>
      <c r="U162" s="101"/>
      <c r="V162" s="101"/>
      <c r="W162" s="101"/>
      <c r="X162" s="101">
        <f t="shared" si="112"/>
        <v>0</v>
      </c>
      <c r="Y162" s="101">
        <f t="shared" si="113"/>
        <v>0</v>
      </c>
      <c r="Z162" s="101">
        <f t="shared" si="109"/>
        <v>0</v>
      </c>
    </row>
    <row r="163" spans="1:26" ht="51" x14ac:dyDescent="0.25">
      <c r="A163" s="85"/>
      <c r="B163" s="113"/>
      <c r="C163" s="172" t="s">
        <v>510</v>
      </c>
      <c r="D163" s="115">
        <f>D164+D170+D177+D184+D187+D195</f>
        <v>0</v>
      </c>
      <c r="E163" s="173">
        <f>E164+E170+E177+E184+E187+E195</f>
        <v>296453</v>
      </c>
      <c r="F163" s="173">
        <f t="shared" ref="F163:Z163" si="120">F164+F170+F177+F184+F187+F195</f>
        <v>17600</v>
      </c>
      <c r="G163" s="173">
        <f t="shared" si="120"/>
        <v>1587363</v>
      </c>
      <c r="H163" s="173">
        <f t="shared" si="120"/>
        <v>0</v>
      </c>
      <c r="I163" s="173">
        <f t="shared" si="120"/>
        <v>1901416</v>
      </c>
      <c r="J163" s="173">
        <f t="shared" si="120"/>
        <v>708700</v>
      </c>
      <c r="K163" s="173">
        <f t="shared" si="120"/>
        <v>0</v>
      </c>
      <c r="L163" s="173">
        <f t="shared" si="120"/>
        <v>395571</v>
      </c>
      <c r="M163" s="173">
        <f t="shared" si="120"/>
        <v>0</v>
      </c>
      <c r="N163" s="173">
        <f t="shared" si="120"/>
        <v>1104271</v>
      </c>
      <c r="O163" s="173">
        <f t="shared" si="120"/>
        <v>451200</v>
      </c>
      <c r="P163" s="173">
        <f t="shared" si="120"/>
        <v>0</v>
      </c>
      <c r="Q163" s="173">
        <f t="shared" si="120"/>
        <v>0</v>
      </c>
      <c r="R163" s="173">
        <f t="shared" si="120"/>
        <v>0</v>
      </c>
      <c r="S163" s="173">
        <f t="shared" si="120"/>
        <v>451200</v>
      </c>
      <c r="T163" s="173">
        <f t="shared" si="120"/>
        <v>451200</v>
      </c>
      <c r="U163" s="173">
        <f t="shared" si="120"/>
        <v>0</v>
      </c>
      <c r="V163" s="173">
        <f t="shared" si="120"/>
        <v>0</v>
      </c>
      <c r="W163" s="173">
        <f t="shared" si="120"/>
        <v>0</v>
      </c>
      <c r="X163" s="173">
        <f t="shared" si="120"/>
        <v>451200</v>
      </c>
      <c r="Y163" s="173">
        <f t="shared" si="120"/>
        <v>3908087</v>
      </c>
      <c r="Z163" s="173">
        <f t="shared" si="120"/>
        <v>1907553</v>
      </c>
    </row>
    <row r="164" spans="1:26" ht="33.75" x14ac:dyDescent="0.25">
      <c r="A164" s="85"/>
      <c r="B164" s="113"/>
      <c r="C164" s="184" t="s">
        <v>511</v>
      </c>
      <c r="D164" s="115">
        <f>SUM(D166:D168)</f>
        <v>0</v>
      </c>
      <c r="E164" s="98">
        <f>SUM(E166:E169)</f>
        <v>85600</v>
      </c>
      <c r="F164" s="98">
        <f t="shared" ref="F164:H164" si="121">SUM(F166:F169)</f>
        <v>0</v>
      </c>
      <c r="G164" s="98">
        <f t="shared" si="121"/>
        <v>0</v>
      </c>
      <c r="H164" s="98">
        <f t="shared" si="121"/>
        <v>0</v>
      </c>
      <c r="I164" s="98">
        <f>SUM(E164:H164)</f>
        <v>85600</v>
      </c>
      <c r="J164" s="98">
        <f>SUM(J166:J169)</f>
        <v>85600</v>
      </c>
      <c r="K164" s="98">
        <f t="shared" ref="K164:M164" si="122">SUM(K166:K169)</f>
        <v>0</v>
      </c>
      <c r="L164" s="98">
        <f t="shared" si="122"/>
        <v>0</v>
      </c>
      <c r="M164" s="98">
        <f t="shared" si="122"/>
        <v>0</v>
      </c>
      <c r="N164" s="98">
        <f>SUM(N166:N169)</f>
        <v>85600</v>
      </c>
      <c r="O164" s="98">
        <f>SUM(O166:O169)</f>
        <v>85600</v>
      </c>
      <c r="P164" s="98">
        <f t="shared" ref="P164:R164" si="123">SUM(P166:P169)</f>
        <v>0</v>
      </c>
      <c r="Q164" s="98">
        <f t="shared" si="123"/>
        <v>0</v>
      </c>
      <c r="R164" s="98">
        <f t="shared" si="123"/>
        <v>0</v>
      </c>
      <c r="S164" s="98">
        <f>SUM(S166:S169)</f>
        <v>85600</v>
      </c>
      <c r="T164" s="98">
        <f>SUM(T166:T169)</f>
        <v>85600</v>
      </c>
      <c r="U164" s="98">
        <f t="shared" ref="U164:W164" si="124">SUM(U166:U169)</f>
        <v>0</v>
      </c>
      <c r="V164" s="98">
        <f t="shared" si="124"/>
        <v>0</v>
      </c>
      <c r="W164" s="98">
        <f t="shared" si="124"/>
        <v>0</v>
      </c>
      <c r="X164" s="98">
        <f t="shared" si="112"/>
        <v>85600</v>
      </c>
      <c r="Y164" s="98">
        <f t="shared" si="113"/>
        <v>342400</v>
      </c>
      <c r="Z164" s="98">
        <f t="shared" si="109"/>
        <v>342400</v>
      </c>
    </row>
    <row r="165" spans="1:26" x14ac:dyDescent="0.25">
      <c r="A165" s="85"/>
      <c r="B165" s="113"/>
      <c r="C165" s="100" t="s">
        <v>358</v>
      </c>
      <c r="D165" s="128" t="s">
        <v>512</v>
      </c>
      <c r="E165" s="102"/>
      <c r="F165" s="102"/>
      <c r="G165" s="102"/>
      <c r="H165" s="102"/>
      <c r="I165" s="102">
        <f t="shared" si="104"/>
        <v>0</v>
      </c>
      <c r="J165" s="102"/>
      <c r="K165" s="102"/>
      <c r="L165" s="102"/>
      <c r="M165" s="102"/>
      <c r="N165" s="102">
        <f t="shared" si="110"/>
        <v>0</v>
      </c>
      <c r="O165" s="102"/>
      <c r="P165" s="102"/>
      <c r="Q165" s="102"/>
      <c r="R165" s="102"/>
      <c r="S165" s="102">
        <f t="shared" si="111"/>
        <v>0</v>
      </c>
      <c r="T165" s="101"/>
      <c r="U165" s="101"/>
      <c r="V165" s="101"/>
      <c r="W165" s="101"/>
      <c r="X165" s="101">
        <f t="shared" si="112"/>
        <v>0</v>
      </c>
      <c r="Y165" s="101">
        <f t="shared" si="113"/>
        <v>0</v>
      </c>
      <c r="Z165" s="101">
        <f t="shared" si="109"/>
        <v>0</v>
      </c>
    </row>
    <row r="166" spans="1:26" ht="60" x14ac:dyDescent="0.25">
      <c r="A166" s="288" t="s">
        <v>513</v>
      </c>
      <c r="B166" s="113" t="s">
        <v>514</v>
      </c>
      <c r="C166" s="185" t="s">
        <v>515</v>
      </c>
      <c r="D166" s="115"/>
      <c r="E166" s="102"/>
      <c r="F166" s="102"/>
      <c r="G166" s="102"/>
      <c r="H166" s="102"/>
      <c r="I166" s="102">
        <f t="shared" si="104"/>
        <v>0</v>
      </c>
      <c r="J166" s="102"/>
      <c r="K166" s="102"/>
      <c r="L166" s="102"/>
      <c r="M166" s="102"/>
      <c r="N166" s="102">
        <f t="shared" si="110"/>
        <v>0</v>
      </c>
      <c r="O166" s="102"/>
      <c r="P166" s="102"/>
      <c r="Q166" s="102"/>
      <c r="R166" s="102"/>
      <c r="S166" s="102">
        <f t="shared" si="111"/>
        <v>0</v>
      </c>
      <c r="T166" s="101"/>
      <c r="U166" s="101"/>
      <c r="V166" s="101"/>
      <c r="W166" s="101"/>
      <c r="X166" s="101">
        <f t="shared" si="112"/>
        <v>0</v>
      </c>
      <c r="Y166" s="101">
        <f t="shared" si="113"/>
        <v>0</v>
      </c>
      <c r="Z166" s="101">
        <f t="shared" si="109"/>
        <v>0</v>
      </c>
    </row>
    <row r="167" spans="1:26" ht="60" x14ac:dyDescent="0.25">
      <c r="A167" s="289"/>
      <c r="B167" s="113"/>
      <c r="C167" s="185" t="s">
        <v>516</v>
      </c>
      <c r="D167" s="115"/>
      <c r="E167" s="102"/>
      <c r="F167" s="102"/>
      <c r="G167" s="102"/>
      <c r="H167" s="102"/>
      <c r="I167" s="102">
        <f t="shared" si="104"/>
        <v>0</v>
      </c>
      <c r="J167" s="102"/>
      <c r="K167" s="102"/>
      <c r="L167" s="102"/>
      <c r="M167" s="102"/>
      <c r="N167" s="102">
        <f t="shared" si="110"/>
        <v>0</v>
      </c>
      <c r="O167" s="102"/>
      <c r="P167" s="102"/>
      <c r="Q167" s="102"/>
      <c r="R167" s="102"/>
      <c r="S167" s="102">
        <f t="shared" si="111"/>
        <v>0</v>
      </c>
      <c r="T167" s="101"/>
      <c r="U167" s="101"/>
      <c r="V167" s="101"/>
      <c r="W167" s="101"/>
      <c r="X167" s="101">
        <f t="shared" si="112"/>
        <v>0</v>
      </c>
      <c r="Y167" s="101">
        <f t="shared" si="113"/>
        <v>0</v>
      </c>
      <c r="Z167" s="101">
        <f t="shared" si="109"/>
        <v>0</v>
      </c>
    </row>
    <row r="168" spans="1:26" ht="60" x14ac:dyDescent="0.25">
      <c r="A168" s="289"/>
      <c r="B168" s="113"/>
      <c r="C168" s="185" t="s">
        <v>517</v>
      </c>
      <c r="D168" s="115"/>
      <c r="E168" s="102">
        <f>21100+2500+62000</f>
        <v>85600</v>
      </c>
      <c r="F168" s="102"/>
      <c r="G168" s="102"/>
      <c r="H168" s="102"/>
      <c r="I168" s="102">
        <f t="shared" si="104"/>
        <v>85600</v>
      </c>
      <c r="J168" s="102">
        <v>85600</v>
      </c>
      <c r="K168" s="102"/>
      <c r="L168" s="102"/>
      <c r="M168" s="102"/>
      <c r="N168" s="102">
        <f t="shared" si="110"/>
        <v>85600</v>
      </c>
      <c r="O168" s="102">
        <v>85600</v>
      </c>
      <c r="P168" s="102"/>
      <c r="Q168" s="102"/>
      <c r="R168" s="102"/>
      <c r="S168" s="102">
        <f t="shared" si="111"/>
        <v>85600</v>
      </c>
      <c r="T168" s="101">
        <v>85600</v>
      </c>
      <c r="U168" s="101"/>
      <c r="V168" s="101"/>
      <c r="W168" s="101"/>
      <c r="X168" s="101">
        <f t="shared" si="112"/>
        <v>85600</v>
      </c>
      <c r="Y168" s="101">
        <f t="shared" si="113"/>
        <v>342400</v>
      </c>
      <c r="Z168" s="101">
        <f t="shared" si="109"/>
        <v>342400</v>
      </c>
    </row>
    <row r="169" spans="1:26" ht="75" x14ac:dyDescent="0.25">
      <c r="A169" s="186" t="s">
        <v>518</v>
      </c>
      <c r="B169" s="113"/>
      <c r="C169" s="185" t="s">
        <v>519</v>
      </c>
      <c r="D169" s="115"/>
      <c r="E169" s="102"/>
      <c r="F169" s="102"/>
      <c r="G169" s="102"/>
      <c r="H169" s="102"/>
      <c r="I169" s="102"/>
      <c r="J169" s="102"/>
      <c r="K169" s="102"/>
      <c r="L169" s="102"/>
      <c r="M169" s="102"/>
      <c r="N169" s="102"/>
      <c r="O169" s="102"/>
      <c r="P169" s="102"/>
      <c r="Q169" s="102"/>
      <c r="R169" s="102"/>
      <c r="S169" s="102"/>
      <c r="T169" s="101"/>
      <c r="U169" s="101"/>
      <c r="V169" s="101"/>
      <c r="W169" s="101"/>
      <c r="X169" s="101"/>
      <c r="Y169" s="101">
        <f t="shared" si="113"/>
        <v>0</v>
      </c>
      <c r="Z169" s="101"/>
    </row>
    <row r="170" spans="1:26" ht="16.5" x14ac:dyDescent="0.25">
      <c r="A170" s="85"/>
      <c r="B170" s="166"/>
      <c r="C170" s="187" t="s">
        <v>589</v>
      </c>
      <c r="D170" s="115">
        <f>SUM(D172:D176)</f>
        <v>0</v>
      </c>
      <c r="E170" s="98">
        <f>SUM(E172:E176)</f>
        <v>44163</v>
      </c>
      <c r="F170" s="98">
        <f t="shared" ref="F170:H170" si="125">SUM(F172:F176)</f>
        <v>17600</v>
      </c>
      <c r="G170" s="98">
        <f t="shared" si="125"/>
        <v>897</v>
      </c>
      <c r="H170" s="98">
        <f t="shared" si="125"/>
        <v>0</v>
      </c>
      <c r="I170" s="98">
        <f t="shared" si="104"/>
        <v>62660</v>
      </c>
      <c r="J170" s="98">
        <f>SUM(J171:J176)</f>
        <v>216000</v>
      </c>
      <c r="K170" s="98">
        <f t="shared" ref="K170:M170" si="126">SUM(K171:K176)</f>
        <v>0</v>
      </c>
      <c r="L170" s="98">
        <f t="shared" si="126"/>
        <v>0</v>
      </c>
      <c r="M170" s="98">
        <f t="shared" si="126"/>
        <v>0</v>
      </c>
      <c r="N170" s="98">
        <f t="shared" si="110"/>
        <v>216000</v>
      </c>
      <c r="O170" s="98">
        <f>SUM(O172:O176)</f>
        <v>200000</v>
      </c>
      <c r="P170" s="98">
        <f t="shared" ref="P170:R170" si="127">SUM(P172:P176)</f>
        <v>0</v>
      </c>
      <c r="Q170" s="98">
        <f t="shared" si="127"/>
        <v>0</v>
      </c>
      <c r="R170" s="98">
        <f t="shared" si="127"/>
        <v>0</v>
      </c>
      <c r="S170" s="98">
        <f t="shared" si="111"/>
        <v>200000</v>
      </c>
      <c r="T170" s="98">
        <f>SUM(T172:T176)</f>
        <v>200000</v>
      </c>
      <c r="U170" s="98">
        <f t="shared" ref="U170:W170" si="128">SUM(U172:U176)</f>
        <v>0</v>
      </c>
      <c r="V170" s="98">
        <f t="shared" si="128"/>
        <v>0</v>
      </c>
      <c r="W170" s="98">
        <f t="shared" si="128"/>
        <v>0</v>
      </c>
      <c r="X170" s="98">
        <f t="shared" si="112"/>
        <v>200000</v>
      </c>
      <c r="Y170" s="98">
        <f t="shared" si="113"/>
        <v>678660</v>
      </c>
      <c r="Z170" s="98">
        <f t="shared" si="109"/>
        <v>660163</v>
      </c>
    </row>
    <row r="171" spans="1:26" ht="16.5" x14ac:dyDescent="0.25">
      <c r="A171" s="85"/>
      <c r="B171" s="166"/>
      <c r="C171" s="100" t="s">
        <v>358</v>
      </c>
      <c r="D171" s="115"/>
      <c r="E171" s="102"/>
      <c r="F171" s="102"/>
      <c r="G171" s="102"/>
      <c r="H171" s="102"/>
      <c r="I171" s="102">
        <f t="shared" si="104"/>
        <v>0</v>
      </c>
      <c r="J171" s="102"/>
      <c r="K171" s="102"/>
      <c r="L171" s="102"/>
      <c r="M171" s="102"/>
      <c r="N171" s="102">
        <f t="shared" si="110"/>
        <v>0</v>
      </c>
      <c r="O171" s="102"/>
      <c r="P171" s="102"/>
      <c r="Q171" s="102"/>
      <c r="R171" s="102"/>
      <c r="S171" s="102">
        <f t="shared" si="111"/>
        <v>0</v>
      </c>
      <c r="T171" s="101"/>
      <c r="U171" s="101"/>
      <c r="V171" s="101"/>
      <c r="W171" s="101"/>
      <c r="X171" s="101">
        <f t="shared" si="112"/>
        <v>0</v>
      </c>
      <c r="Y171" s="101">
        <f t="shared" si="113"/>
        <v>0</v>
      </c>
      <c r="Z171" s="101">
        <f t="shared" si="109"/>
        <v>0</v>
      </c>
    </row>
    <row r="172" spans="1:26" ht="60" x14ac:dyDescent="0.3">
      <c r="A172" s="85"/>
      <c r="B172" s="169"/>
      <c r="C172" s="118" t="s">
        <v>520</v>
      </c>
      <c r="D172" s="115"/>
      <c r="E172" s="102"/>
      <c r="F172" s="102"/>
      <c r="G172" s="102">
        <v>897</v>
      </c>
      <c r="H172" s="102"/>
      <c r="I172" s="102">
        <f t="shared" si="104"/>
        <v>897</v>
      </c>
      <c r="J172" s="102"/>
      <c r="K172" s="102"/>
      <c r="L172" s="102"/>
      <c r="M172" s="102"/>
      <c r="N172" s="102">
        <f t="shared" si="110"/>
        <v>0</v>
      </c>
      <c r="O172" s="102"/>
      <c r="P172" s="102"/>
      <c r="Q172" s="102"/>
      <c r="R172" s="102"/>
      <c r="S172" s="102">
        <f t="shared" si="111"/>
        <v>0</v>
      </c>
      <c r="T172" s="101"/>
      <c r="U172" s="101"/>
      <c r="V172" s="101"/>
      <c r="W172" s="101"/>
      <c r="X172" s="101">
        <f t="shared" si="112"/>
        <v>0</v>
      </c>
      <c r="Y172" s="101">
        <f t="shared" si="113"/>
        <v>897</v>
      </c>
      <c r="Z172" s="101">
        <f t="shared" si="109"/>
        <v>0</v>
      </c>
    </row>
    <row r="173" spans="1:26" ht="30" x14ac:dyDescent="0.3">
      <c r="A173" s="116" t="s">
        <v>65</v>
      </c>
      <c r="B173" s="169"/>
      <c r="C173" s="118" t="s">
        <v>521</v>
      </c>
      <c r="D173" s="115"/>
      <c r="E173" s="102">
        <v>25000</v>
      </c>
      <c r="F173" s="163" t="s">
        <v>522</v>
      </c>
      <c r="G173" s="102"/>
      <c r="H173" s="102"/>
      <c r="I173" s="102">
        <f t="shared" si="104"/>
        <v>25000</v>
      </c>
      <c r="J173" s="102">
        <v>200000</v>
      </c>
      <c r="K173" s="102"/>
      <c r="L173" s="102"/>
      <c r="M173" s="102"/>
      <c r="N173" s="102">
        <f t="shared" si="110"/>
        <v>200000</v>
      </c>
      <c r="O173" s="102">
        <v>200000</v>
      </c>
      <c r="P173" s="102"/>
      <c r="Q173" s="102"/>
      <c r="R173" s="102"/>
      <c r="S173" s="102">
        <f t="shared" si="111"/>
        <v>200000</v>
      </c>
      <c r="T173" s="101">
        <v>200000</v>
      </c>
      <c r="U173" s="101"/>
      <c r="V173" s="101"/>
      <c r="W173" s="101"/>
      <c r="X173" s="101">
        <f t="shared" si="112"/>
        <v>200000</v>
      </c>
      <c r="Y173" s="101">
        <f t="shared" si="113"/>
        <v>625000</v>
      </c>
      <c r="Z173" s="101">
        <f t="shared" si="109"/>
        <v>625000</v>
      </c>
    </row>
    <row r="174" spans="1:26" ht="30" x14ac:dyDescent="0.3">
      <c r="A174" s="116" t="s">
        <v>66</v>
      </c>
      <c r="B174" s="169"/>
      <c r="C174" s="118" t="s">
        <v>523</v>
      </c>
      <c r="D174" s="115"/>
      <c r="E174" s="102">
        <f>20763-17600</f>
        <v>3163</v>
      </c>
      <c r="F174" s="102">
        <v>17600</v>
      </c>
      <c r="G174" s="102"/>
      <c r="H174" s="102"/>
      <c r="I174" s="102">
        <f t="shared" si="104"/>
        <v>20763</v>
      </c>
      <c r="J174" s="102"/>
      <c r="K174" s="102"/>
      <c r="L174" s="102"/>
      <c r="M174" s="102"/>
      <c r="N174" s="102">
        <f t="shared" si="110"/>
        <v>0</v>
      </c>
      <c r="O174" s="102"/>
      <c r="P174" s="102"/>
      <c r="Q174" s="102"/>
      <c r="R174" s="102"/>
      <c r="S174" s="102">
        <f t="shared" si="111"/>
        <v>0</v>
      </c>
      <c r="T174" s="101"/>
      <c r="U174" s="101"/>
      <c r="V174" s="101"/>
      <c r="W174" s="101"/>
      <c r="X174" s="101">
        <f t="shared" si="112"/>
        <v>0</v>
      </c>
      <c r="Y174" s="101">
        <f t="shared" si="113"/>
        <v>20763</v>
      </c>
      <c r="Z174" s="101">
        <f t="shared" si="109"/>
        <v>3163</v>
      </c>
    </row>
    <row r="175" spans="1:26" ht="30" x14ac:dyDescent="0.3">
      <c r="A175" s="85"/>
      <c r="B175" s="169"/>
      <c r="C175" s="118" t="s">
        <v>524</v>
      </c>
      <c r="D175" s="115"/>
      <c r="E175" s="102"/>
      <c r="F175" s="102"/>
      <c r="G175" s="102"/>
      <c r="H175" s="102"/>
      <c r="I175" s="102">
        <f t="shared" si="104"/>
        <v>0</v>
      </c>
      <c r="J175" s="102"/>
      <c r="K175" s="102"/>
      <c r="L175" s="102"/>
      <c r="M175" s="102"/>
      <c r="N175" s="102">
        <f t="shared" si="110"/>
        <v>0</v>
      </c>
      <c r="O175" s="102"/>
      <c r="P175" s="102"/>
      <c r="Q175" s="102"/>
      <c r="R175" s="102"/>
      <c r="S175" s="102">
        <f t="shared" si="111"/>
        <v>0</v>
      </c>
      <c r="T175" s="101"/>
      <c r="U175" s="101"/>
      <c r="V175" s="101"/>
      <c r="W175" s="101"/>
      <c r="X175" s="101">
        <f t="shared" si="112"/>
        <v>0</v>
      </c>
      <c r="Y175" s="101">
        <f t="shared" si="113"/>
        <v>0</v>
      </c>
      <c r="Z175" s="101">
        <f t="shared" si="109"/>
        <v>0</v>
      </c>
    </row>
    <row r="176" spans="1:26" ht="30" x14ac:dyDescent="0.3">
      <c r="A176" s="85" t="s">
        <v>525</v>
      </c>
      <c r="B176" s="169"/>
      <c r="C176" s="118" t="s">
        <v>526</v>
      </c>
      <c r="D176" s="115"/>
      <c r="E176" s="102">
        <v>16000</v>
      </c>
      <c r="F176" s="102"/>
      <c r="G176" s="102"/>
      <c r="H176" s="102"/>
      <c r="I176" s="102">
        <f t="shared" si="104"/>
        <v>16000</v>
      </c>
      <c r="J176" s="102">
        <v>16000</v>
      </c>
      <c r="K176" s="102"/>
      <c r="L176" s="102"/>
      <c r="M176" s="102"/>
      <c r="N176" s="102">
        <f t="shared" si="110"/>
        <v>16000</v>
      </c>
      <c r="O176" s="102"/>
      <c r="P176" s="102"/>
      <c r="Q176" s="102"/>
      <c r="R176" s="102"/>
      <c r="S176" s="102">
        <f t="shared" si="111"/>
        <v>0</v>
      </c>
      <c r="T176" s="101"/>
      <c r="U176" s="101"/>
      <c r="V176" s="101"/>
      <c r="W176" s="101"/>
      <c r="X176" s="101">
        <f t="shared" si="112"/>
        <v>0</v>
      </c>
      <c r="Y176" s="101">
        <f t="shared" si="113"/>
        <v>32000</v>
      </c>
      <c r="Z176" s="101">
        <f t="shared" si="109"/>
        <v>32000</v>
      </c>
    </row>
    <row r="177" spans="1:26" ht="16.5" x14ac:dyDescent="0.25">
      <c r="A177" s="85"/>
      <c r="B177" s="166"/>
      <c r="C177" s="179" t="s">
        <v>527</v>
      </c>
      <c r="D177" s="115">
        <f>SUM(D179:D183)</f>
        <v>0</v>
      </c>
      <c r="E177" s="98">
        <f>SUM(E179:E183)</f>
        <v>162690</v>
      </c>
      <c r="F177" s="98">
        <f t="shared" ref="F177:H177" si="129">SUM(F179:F183)</f>
        <v>0</v>
      </c>
      <c r="G177" s="98">
        <f t="shared" si="129"/>
        <v>0</v>
      </c>
      <c r="H177" s="98">
        <f t="shared" si="129"/>
        <v>0</v>
      </c>
      <c r="I177" s="98">
        <f t="shared" si="104"/>
        <v>162690</v>
      </c>
      <c r="J177" s="98">
        <f>SUM(J179:J183)</f>
        <v>161500</v>
      </c>
      <c r="K177" s="98">
        <f t="shared" ref="K177:M177" si="130">SUM(K179:K183)</f>
        <v>0</v>
      </c>
      <c r="L177" s="98">
        <f t="shared" si="130"/>
        <v>0</v>
      </c>
      <c r="M177" s="98">
        <f t="shared" si="130"/>
        <v>0</v>
      </c>
      <c r="N177" s="98">
        <f t="shared" si="110"/>
        <v>161500</v>
      </c>
      <c r="O177" s="98">
        <f>SUM(O179:O183)</f>
        <v>161500</v>
      </c>
      <c r="P177" s="98">
        <f t="shared" ref="P177:R177" si="131">SUM(P179:P183)</f>
        <v>0</v>
      </c>
      <c r="Q177" s="98">
        <f t="shared" si="131"/>
        <v>0</v>
      </c>
      <c r="R177" s="98">
        <f t="shared" si="131"/>
        <v>0</v>
      </c>
      <c r="S177" s="98">
        <f t="shared" si="111"/>
        <v>161500</v>
      </c>
      <c r="T177" s="98">
        <f>SUM(T179:T183)</f>
        <v>161500</v>
      </c>
      <c r="U177" s="98">
        <f t="shared" ref="U177:W177" si="132">SUM(U179:U183)</f>
        <v>0</v>
      </c>
      <c r="V177" s="98">
        <f t="shared" si="132"/>
        <v>0</v>
      </c>
      <c r="W177" s="98">
        <f t="shared" si="132"/>
        <v>0</v>
      </c>
      <c r="X177" s="98">
        <f t="shared" si="112"/>
        <v>161500</v>
      </c>
      <c r="Y177" s="98">
        <f t="shared" si="113"/>
        <v>647190</v>
      </c>
      <c r="Z177" s="98">
        <f t="shared" si="109"/>
        <v>647190</v>
      </c>
    </row>
    <row r="178" spans="1:26" x14ac:dyDescent="0.25">
      <c r="A178" s="85"/>
      <c r="B178" s="113"/>
      <c r="C178" s="100" t="s">
        <v>358</v>
      </c>
      <c r="D178" s="115"/>
      <c r="E178" s="102"/>
      <c r="F178" s="102"/>
      <c r="G178" s="102"/>
      <c r="H178" s="102"/>
      <c r="I178" s="102">
        <f t="shared" si="104"/>
        <v>0</v>
      </c>
      <c r="J178" s="102"/>
      <c r="K178" s="102"/>
      <c r="L178" s="102"/>
      <c r="M178" s="102"/>
      <c r="N178" s="102">
        <f t="shared" si="110"/>
        <v>0</v>
      </c>
      <c r="O178" s="102"/>
      <c r="P178" s="102"/>
      <c r="Q178" s="102"/>
      <c r="R178" s="102"/>
      <c r="S178" s="102">
        <f t="shared" si="111"/>
        <v>0</v>
      </c>
      <c r="T178" s="101"/>
      <c r="U178" s="101"/>
      <c r="V178" s="101"/>
      <c r="W178" s="101"/>
      <c r="X178" s="101">
        <f t="shared" si="112"/>
        <v>0</v>
      </c>
      <c r="Y178" s="101">
        <f t="shared" si="113"/>
        <v>0</v>
      </c>
      <c r="Z178" s="101">
        <f t="shared" si="109"/>
        <v>0</v>
      </c>
    </row>
    <row r="179" spans="1:26" ht="30" x14ac:dyDescent="0.3">
      <c r="A179" s="116" t="s">
        <v>528</v>
      </c>
      <c r="B179" s="113"/>
      <c r="C179" s="118" t="s">
        <v>529</v>
      </c>
      <c r="D179" s="115"/>
      <c r="E179" s="102">
        <f>10000+60000</f>
        <v>70000</v>
      </c>
      <c r="F179" s="102"/>
      <c r="G179" s="102"/>
      <c r="H179" s="102"/>
      <c r="I179" s="102">
        <f t="shared" si="104"/>
        <v>70000</v>
      </c>
      <c r="J179" s="102">
        <f>10000+60000</f>
        <v>70000</v>
      </c>
      <c r="K179" s="102"/>
      <c r="L179" s="102"/>
      <c r="M179" s="102"/>
      <c r="N179" s="102">
        <f t="shared" si="110"/>
        <v>70000</v>
      </c>
      <c r="O179" s="102">
        <f>10000+60000</f>
        <v>70000</v>
      </c>
      <c r="P179" s="102"/>
      <c r="Q179" s="102"/>
      <c r="R179" s="102"/>
      <c r="S179" s="102">
        <f t="shared" si="111"/>
        <v>70000</v>
      </c>
      <c r="T179" s="101">
        <f>10000+60000</f>
        <v>70000</v>
      </c>
      <c r="U179" s="101"/>
      <c r="V179" s="101"/>
      <c r="W179" s="101"/>
      <c r="X179" s="101">
        <f t="shared" si="112"/>
        <v>70000</v>
      </c>
      <c r="Y179" s="101">
        <f t="shared" si="113"/>
        <v>280000</v>
      </c>
      <c r="Z179" s="101">
        <f t="shared" si="109"/>
        <v>280000</v>
      </c>
    </row>
    <row r="180" spans="1:26" ht="45" x14ac:dyDescent="0.3">
      <c r="A180" s="116" t="s">
        <v>530</v>
      </c>
      <c r="B180" s="113"/>
      <c r="C180" s="118" t="s">
        <v>531</v>
      </c>
      <c r="D180" s="115"/>
      <c r="E180" s="102">
        <f>10000+10500+1190</f>
        <v>21690</v>
      </c>
      <c r="F180" s="102"/>
      <c r="G180" s="102"/>
      <c r="H180" s="102"/>
      <c r="I180" s="102">
        <f t="shared" si="104"/>
        <v>21690</v>
      </c>
      <c r="J180" s="102">
        <v>20500</v>
      </c>
      <c r="K180" s="102"/>
      <c r="L180" s="102"/>
      <c r="M180" s="102"/>
      <c r="N180" s="102">
        <f t="shared" si="110"/>
        <v>20500</v>
      </c>
      <c r="O180" s="102">
        <v>20500</v>
      </c>
      <c r="P180" s="102"/>
      <c r="Q180" s="102"/>
      <c r="R180" s="102"/>
      <c r="S180" s="102">
        <f t="shared" si="111"/>
        <v>20500</v>
      </c>
      <c r="T180" s="101">
        <v>20500</v>
      </c>
      <c r="U180" s="101"/>
      <c r="V180" s="101"/>
      <c r="W180" s="101"/>
      <c r="X180" s="101">
        <f t="shared" si="112"/>
        <v>20500</v>
      </c>
      <c r="Y180" s="101">
        <f t="shared" si="113"/>
        <v>83190</v>
      </c>
      <c r="Z180" s="101">
        <f t="shared" si="109"/>
        <v>83190</v>
      </c>
    </row>
    <row r="181" spans="1:26" ht="45" x14ac:dyDescent="0.3">
      <c r="A181" s="116" t="s">
        <v>45</v>
      </c>
      <c r="B181" s="113"/>
      <c r="C181" s="118" t="s">
        <v>532</v>
      </c>
      <c r="D181" s="115"/>
      <c r="E181" s="102">
        <f>55000+8000</f>
        <v>63000</v>
      </c>
      <c r="F181" s="102"/>
      <c r="G181" s="102"/>
      <c r="H181" s="102"/>
      <c r="I181" s="102">
        <f t="shared" si="104"/>
        <v>63000</v>
      </c>
      <c r="J181" s="102">
        <v>63000</v>
      </c>
      <c r="K181" s="102"/>
      <c r="L181" s="102"/>
      <c r="M181" s="102"/>
      <c r="N181" s="102">
        <f t="shared" si="110"/>
        <v>63000</v>
      </c>
      <c r="O181" s="102">
        <v>63000</v>
      </c>
      <c r="P181" s="102"/>
      <c r="Q181" s="102"/>
      <c r="R181" s="102"/>
      <c r="S181" s="102">
        <f t="shared" si="111"/>
        <v>63000</v>
      </c>
      <c r="T181" s="101">
        <v>63000</v>
      </c>
      <c r="U181" s="101"/>
      <c r="V181" s="101"/>
      <c r="W181" s="101"/>
      <c r="X181" s="101">
        <f t="shared" si="112"/>
        <v>63000</v>
      </c>
      <c r="Y181" s="101">
        <f t="shared" si="113"/>
        <v>252000</v>
      </c>
      <c r="Z181" s="101">
        <f t="shared" si="109"/>
        <v>252000</v>
      </c>
    </row>
    <row r="182" spans="1:26" ht="60" x14ac:dyDescent="0.3">
      <c r="A182" s="116" t="s">
        <v>11</v>
      </c>
      <c r="B182" s="113"/>
      <c r="C182" s="161" t="s">
        <v>533</v>
      </c>
      <c r="D182" s="115"/>
      <c r="E182" s="163">
        <v>8000</v>
      </c>
      <c r="F182" s="102"/>
      <c r="G182" s="102"/>
      <c r="H182" s="102"/>
      <c r="I182" s="102">
        <f t="shared" si="104"/>
        <v>8000</v>
      </c>
      <c r="J182" s="102">
        <v>8000</v>
      </c>
      <c r="K182" s="102"/>
      <c r="L182" s="102"/>
      <c r="M182" s="102"/>
      <c r="N182" s="102">
        <f t="shared" si="110"/>
        <v>8000</v>
      </c>
      <c r="O182" s="102">
        <v>8000</v>
      </c>
      <c r="P182" s="102"/>
      <c r="Q182" s="102"/>
      <c r="R182" s="102"/>
      <c r="S182" s="102">
        <f t="shared" si="111"/>
        <v>8000</v>
      </c>
      <c r="T182" s="101">
        <v>8000</v>
      </c>
      <c r="U182" s="101"/>
      <c r="V182" s="101"/>
      <c r="W182" s="101"/>
      <c r="X182" s="101">
        <f t="shared" si="112"/>
        <v>8000</v>
      </c>
      <c r="Y182" s="101">
        <f t="shared" si="113"/>
        <v>32000</v>
      </c>
      <c r="Z182" s="101">
        <f t="shared" si="109"/>
        <v>32000</v>
      </c>
    </row>
    <row r="183" spans="1:26" ht="30.75" x14ac:dyDescent="0.3">
      <c r="A183" s="116"/>
      <c r="B183" s="113"/>
      <c r="C183" s="118" t="s">
        <v>534</v>
      </c>
      <c r="D183" s="115"/>
      <c r="E183" s="102"/>
      <c r="F183" s="102"/>
      <c r="G183" s="102"/>
      <c r="H183" s="102"/>
      <c r="I183" s="102">
        <f t="shared" si="104"/>
        <v>0</v>
      </c>
      <c r="J183" s="102"/>
      <c r="K183" s="102"/>
      <c r="L183" s="102"/>
      <c r="M183" s="102"/>
      <c r="N183" s="102">
        <f t="shared" si="110"/>
        <v>0</v>
      </c>
      <c r="O183" s="102"/>
      <c r="P183" s="102"/>
      <c r="Q183" s="102"/>
      <c r="R183" s="102"/>
      <c r="S183" s="102">
        <f t="shared" si="111"/>
        <v>0</v>
      </c>
      <c r="T183" s="101"/>
      <c r="U183" s="101"/>
      <c r="V183" s="101"/>
      <c r="W183" s="101"/>
      <c r="X183" s="101">
        <f t="shared" si="112"/>
        <v>0</v>
      </c>
      <c r="Y183" s="101">
        <f t="shared" si="113"/>
        <v>0</v>
      </c>
      <c r="Z183" s="101">
        <f t="shared" si="109"/>
        <v>0</v>
      </c>
    </row>
    <row r="184" spans="1:26" s="85" customFormat="1" x14ac:dyDescent="0.25">
      <c r="A184" s="116"/>
      <c r="B184" s="113"/>
      <c r="C184" s="179" t="s">
        <v>535</v>
      </c>
      <c r="D184" s="115">
        <f>SUM(D186)</f>
        <v>0</v>
      </c>
      <c r="E184" s="98">
        <f>SUM(E186)</f>
        <v>2500</v>
      </c>
      <c r="F184" s="98">
        <f t="shared" ref="F184:H184" si="133">SUM(F186)</f>
        <v>0</v>
      </c>
      <c r="G184" s="98">
        <f t="shared" si="133"/>
        <v>0</v>
      </c>
      <c r="H184" s="98">
        <f t="shared" si="133"/>
        <v>0</v>
      </c>
      <c r="I184" s="98">
        <f t="shared" si="104"/>
        <v>2500</v>
      </c>
      <c r="J184" s="98">
        <f>SUM(J186)</f>
        <v>244000</v>
      </c>
      <c r="K184" s="98">
        <f t="shared" ref="K184:M184" si="134">SUM(K186)</f>
        <v>0</v>
      </c>
      <c r="L184" s="98">
        <f t="shared" si="134"/>
        <v>0</v>
      </c>
      <c r="M184" s="98">
        <f t="shared" si="134"/>
        <v>0</v>
      </c>
      <c r="N184" s="98">
        <f t="shared" si="110"/>
        <v>244000</v>
      </c>
      <c r="O184" s="98">
        <f>SUM(O185:O186)</f>
        <v>2500</v>
      </c>
      <c r="P184" s="98">
        <f t="shared" ref="P184:R184" si="135">SUM(P185:P186)</f>
        <v>0</v>
      </c>
      <c r="Q184" s="98">
        <f t="shared" si="135"/>
        <v>0</v>
      </c>
      <c r="R184" s="98">
        <f t="shared" si="135"/>
        <v>0</v>
      </c>
      <c r="S184" s="98">
        <f t="shared" si="111"/>
        <v>2500</v>
      </c>
      <c r="T184" s="98">
        <f>SUM(T186)</f>
        <v>2500</v>
      </c>
      <c r="U184" s="98"/>
      <c r="V184" s="98"/>
      <c r="W184" s="98"/>
      <c r="X184" s="98">
        <f t="shared" si="112"/>
        <v>2500</v>
      </c>
      <c r="Y184" s="98">
        <f t="shared" si="113"/>
        <v>251500</v>
      </c>
      <c r="Z184" s="98">
        <f t="shared" si="109"/>
        <v>251500</v>
      </c>
    </row>
    <row r="185" spans="1:26" x14ac:dyDescent="0.25">
      <c r="A185" s="116"/>
      <c r="B185" s="113"/>
      <c r="C185" s="100" t="s">
        <v>358</v>
      </c>
      <c r="D185" s="115"/>
      <c r="E185" s="102"/>
      <c r="F185" s="102"/>
      <c r="G185" s="102"/>
      <c r="H185" s="102"/>
      <c r="I185" s="102">
        <f t="shared" si="104"/>
        <v>0</v>
      </c>
      <c r="J185" s="102"/>
      <c r="K185" s="102"/>
      <c r="L185" s="102"/>
      <c r="M185" s="102"/>
      <c r="N185" s="102">
        <f t="shared" si="110"/>
        <v>0</v>
      </c>
      <c r="O185" s="102"/>
      <c r="P185" s="102"/>
      <c r="Q185" s="102"/>
      <c r="R185" s="102"/>
      <c r="S185" s="102">
        <f t="shared" si="111"/>
        <v>0</v>
      </c>
      <c r="T185" s="101"/>
      <c r="U185" s="101"/>
      <c r="V185" s="101"/>
      <c r="W185" s="101"/>
      <c r="X185" s="101">
        <f t="shared" si="112"/>
        <v>0</v>
      </c>
      <c r="Y185" s="101">
        <f t="shared" si="113"/>
        <v>0</v>
      </c>
      <c r="Z185" s="101">
        <f t="shared" si="109"/>
        <v>0</v>
      </c>
    </row>
    <row r="186" spans="1:26" ht="15.75" x14ac:dyDescent="0.3">
      <c r="A186" s="116" t="s">
        <v>46</v>
      </c>
      <c r="B186" s="113"/>
      <c r="C186" s="188" t="s">
        <v>536</v>
      </c>
      <c r="D186" s="115"/>
      <c r="E186" s="102">
        <v>2500</v>
      </c>
      <c r="F186" s="102"/>
      <c r="G186" s="102"/>
      <c r="H186" s="102"/>
      <c r="I186" s="102">
        <f t="shared" si="104"/>
        <v>2500</v>
      </c>
      <c r="J186" s="102">
        <v>244000</v>
      </c>
      <c r="K186" s="102"/>
      <c r="L186" s="102"/>
      <c r="M186" s="102"/>
      <c r="N186" s="102">
        <f t="shared" si="110"/>
        <v>244000</v>
      </c>
      <c r="O186" s="102">
        <v>2500</v>
      </c>
      <c r="P186" s="102"/>
      <c r="Q186" s="102"/>
      <c r="R186" s="102"/>
      <c r="S186" s="102">
        <f t="shared" si="111"/>
        <v>2500</v>
      </c>
      <c r="T186" s="101">
        <v>2500</v>
      </c>
      <c r="U186" s="101"/>
      <c r="V186" s="101"/>
      <c r="W186" s="101"/>
      <c r="X186" s="101">
        <f t="shared" si="112"/>
        <v>2500</v>
      </c>
      <c r="Y186" s="101">
        <f t="shared" si="113"/>
        <v>251500</v>
      </c>
      <c r="Z186" s="101">
        <f t="shared" si="109"/>
        <v>251500</v>
      </c>
    </row>
    <row r="187" spans="1:26" x14ac:dyDescent="0.25">
      <c r="A187" s="116"/>
      <c r="B187" s="113"/>
      <c r="C187" s="179" t="s">
        <v>537</v>
      </c>
      <c r="D187" s="115">
        <f>SUM(D189:D192)</f>
        <v>0</v>
      </c>
      <c r="E187" s="98">
        <f>SUM(E189:E194)</f>
        <v>1500</v>
      </c>
      <c r="F187" s="98">
        <f t="shared" ref="F187:H187" si="136">SUM(F189:F194)</f>
        <v>0</v>
      </c>
      <c r="G187" s="98">
        <f t="shared" si="136"/>
        <v>1586466</v>
      </c>
      <c r="H187" s="98">
        <f t="shared" si="136"/>
        <v>0</v>
      </c>
      <c r="I187" s="98">
        <f t="shared" si="104"/>
        <v>1587966</v>
      </c>
      <c r="J187" s="98">
        <f>SUM(J189:J194)</f>
        <v>1600</v>
      </c>
      <c r="K187" s="98">
        <f t="shared" ref="K187:M187" si="137">SUM(K189:K194)</f>
        <v>0</v>
      </c>
      <c r="L187" s="98">
        <f t="shared" si="137"/>
        <v>395571</v>
      </c>
      <c r="M187" s="98">
        <f t="shared" si="137"/>
        <v>0</v>
      </c>
      <c r="N187" s="98">
        <f t="shared" si="110"/>
        <v>397171</v>
      </c>
      <c r="O187" s="98">
        <f>SUM(O189:O194)</f>
        <v>1600</v>
      </c>
      <c r="P187" s="98">
        <f t="shared" ref="P187:R187" si="138">SUM(P189:P194)</f>
        <v>0</v>
      </c>
      <c r="Q187" s="98">
        <f t="shared" si="138"/>
        <v>0</v>
      </c>
      <c r="R187" s="98">
        <f t="shared" si="138"/>
        <v>0</v>
      </c>
      <c r="S187" s="98">
        <f>SUM(O187:R187)</f>
        <v>1600</v>
      </c>
      <c r="T187" s="98">
        <f>SUM(T189:T194)</f>
        <v>1600</v>
      </c>
      <c r="U187" s="98">
        <f t="shared" ref="U187:W187" si="139">SUM(U189:U194)</f>
        <v>0</v>
      </c>
      <c r="V187" s="98">
        <f t="shared" si="139"/>
        <v>0</v>
      </c>
      <c r="W187" s="98">
        <f t="shared" si="139"/>
        <v>0</v>
      </c>
      <c r="X187" s="98">
        <f t="shared" si="112"/>
        <v>1600</v>
      </c>
      <c r="Y187" s="98">
        <f t="shared" si="113"/>
        <v>1988337</v>
      </c>
      <c r="Z187" s="98">
        <f>E187+J187+O187+T187</f>
        <v>6300</v>
      </c>
    </row>
    <row r="188" spans="1:26" x14ac:dyDescent="0.25">
      <c r="A188" s="116" t="s">
        <v>538</v>
      </c>
      <c r="B188" s="113"/>
      <c r="C188" s="100" t="s">
        <v>358</v>
      </c>
      <c r="D188" s="115"/>
      <c r="E188" s="102"/>
      <c r="F188" s="102"/>
      <c r="G188" s="102"/>
      <c r="H188" s="102"/>
      <c r="I188" s="102">
        <f t="shared" si="104"/>
        <v>0</v>
      </c>
      <c r="J188" s="102"/>
      <c r="K188" s="102"/>
      <c r="L188" s="102"/>
      <c r="M188" s="102"/>
      <c r="N188" s="102">
        <f t="shared" si="110"/>
        <v>0</v>
      </c>
      <c r="O188" s="102"/>
      <c r="P188" s="102"/>
      <c r="Q188" s="102"/>
      <c r="R188" s="102"/>
      <c r="S188" s="102">
        <f t="shared" si="111"/>
        <v>0</v>
      </c>
      <c r="T188" s="101"/>
      <c r="U188" s="101"/>
      <c r="V188" s="101"/>
      <c r="W188" s="101"/>
      <c r="X188" s="101">
        <f t="shared" si="112"/>
        <v>0</v>
      </c>
      <c r="Y188" s="101">
        <f t="shared" si="113"/>
        <v>0</v>
      </c>
      <c r="Z188" s="101">
        <f t="shared" si="109"/>
        <v>0</v>
      </c>
    </row>
    <row r="189" spans="1:26" ht="30" x14ac:dyDescent="0.25">
      <c r="A189" s="85" t="s">
        <v>353</v>
      </c>
      <c r="B189" s="113"/>
      <c r="C189" s="205" t="s">
        <v>539</v>
      </c>
      <c r="D189" s="115"/>
      <c r="E189" s="102"/>
      <c r="F189" s="102"/>
      <c r="G189" s="102">
        <v>419005</v>
      </c>
      <c r="H189" s="102"/>
      <c r="I189" s="102">
        <f t="shared" si="104"/>
        <v>419005</v>
      </c>
      <c r="J189" s="102"/>
      <c r="K189" s="102"/>
      <c r="L189" s="102">
        <v>104751</v>
      </c>
      <c r="M189" s="102"/>
      <c r="N189" s="102">
        <f t="shared" si="110"/>
        <v>104751</v>
      </c>
      <c r="O189" s="102"/>
      <c r="P189" s="102"/>
      <c r="Q189" s="102"/>
      <c r="R189" s="102"/>
      <c r="S189" s="102">
        <f t="shared" si="111"/>
        <v>0</v>
      </c>
      <c r="T189" s="101"/>
      <c r="U189" s="101"/>
      <c r="V189" s="101"/>
      <c r="W189" s="101"/>
      <c r="X189" s="101">
        <f t="shared" si="112"/>
        <v>0</v>
      </c>
      <c r="Y189" s="101">
        <f t="shared" si="113"/>
        <v>523756</v>
      </c>
      <c r="Z189" s="101">
        <f t="shared" si="109"/>
        <v>0</v>
      </c>
    </row>
    <row r="190" spans="1:26" ht="60" x14ac:dyDescent="0.25">
      <c r="A190" t="s">
        <v>353</v>
      </c>
      <c r="B190" s="113"/>
      <c r="C190" s="205" t="s">
        <v>540</v>
      </c>
      <c r="D190" s="115"/>
      <c r="E190" s="102"/>
      <c r="F190" s="102"/>
      <c r="G190" s="102">
        <f>1197+567432</f>
        <v>568629</v>
      </c>
      <c r="H190" s="102"/>
      <c r="I190" s="102">
        <f t="shared" si="104"/>
        <v>568629</v>
      </c>
      <c r="J190" s="102"/>
      <c r="K190" s="102"/>
      <c r="L190" s="102">
        <v>141858</v>
      </c>
      <c r="M190" s="102"/>
      <c r="N190" s="102">
        <f t="shared" si="110"/>
        <v>141858</v>
      </c>
      <c r="O190" s="102"/>
      <c r="P190" s="102"/>
      <c r="Q190" s="102"/>
      <c r="R190" s="102"/>
      <c r="S190" s="102">
        <f t="shared" si="111"/>
        <v>0</v>
      </c>
      <c r="T190" s="101"/>
      <c r="U190" s="101"/>
      <c r="V190" s="101"/>
      <c r="W190" s="101"/>
      <c r="X190" s="101">
        <f t="shared" si="112"/>
        <v>0</v>
      </c>
      <c r="Y190" s="101">
        <f t="shared" si="113"/>
        <v>710487</v>
      </c>
      <c r="Z190" s="101">
        <f t="shared" si="109"/>
        <v>0</v>
      </c>
    </row>
    <row r="191" spans="1:26" ht="60" x14ac:dyDescent="0.25">
      <c r="A191" s="168" t="s">
        <v>541</v>
      </c>
      <c r="B191" s="113"/>
      <c r="C191" s="205" t="s">
        <v>542</v>
      </c>
      <c r="D191" s="115"/>
      <c r="E191" s="102"/>
      <c r="F191" s="102"/>
      <c r="G191" s="102"/>
      <c r="H191" s="102"/>
      <c r="I191" s="102">
        <f t="shared" si="104"/>
        <v>0</v>
      </c>
      <c r="J191" s="102"/>
      <c r="K191" s="102"/>
      <c r="L191" s="102"/>
      <c r="M191" s="102"/>
      <c r="N191" s="102">
        <f t="shared" si="110"/>
        <v>0</v>
      </c>
      <c r="O191" s="102"/>
      <c r="P191" s="102"/>
      <c r="Q191" s="102"/>
      <c r="R191" s="102"/>
      <c r="S191" s="102">
        <f t="shared" si="111"/>
        <v>0</v>
      </c>
      <c r="T191" s="101"/>
      <c r="U191" s="101"/>
      <c r="V191" s="101"/>
      <c r="W191" s="101"/>
      <c r="X191" s="101">
        <f t="shared" si="112"/>
        <v>0</v>
      </c>
      <c r="Y191" s="101">
        <f t="shared" si="113"/>
        <v>0</v>
      </c>
      <c r="Z191" s="101">
        <f t="shared" si="109"/>
        <v>0</v>
      </c>
    </row>
    <row r="192" spans="1:26" ht="30" x14ac:dyDescent="0.25">
      <c r="A192" s="85"/>
      <c r="B192" s="113"/>
      <c r="C192" s="205" t="s">
        <v>545</v>
      </c>
      <c r="D192" s="115"/>
      <c r="F192" s="102"/>
      <c r="G192" s="102"/>
      <c r="H192" s="102"/>
      <c r="I192" s="102">
        <f>E192+F192+G192+H192</f>
        <v>0</v>
      </c>
      <c r="J192" s="102"/>
      <c r="K192" s="102"/>
      <c r="L192" s="102"/>
      <c r="M192" s="102"/>
      <c r="N192" s="102">
        <f t="shared" si="110"/>
        <v>0</v>
      </c>
      <c r="O192" s="102"/>
      <c r="P192" s="102"/>
      <c r="Q192" s="102"/>
      <c r="R192" s="102"/>
      <c r="S192" s="102">
        <f t="shared" si="111"/>
        <v>0</v>
      </c>
      <c r="T192" s="101"/>
      <c r="U192" s="101"/>
      <c r="V192" s="101"/>
      <c r="W192" s="101"/>
      <c r="X192" s="101">
        <f t="shared" si="112"/>
        <v>0</v>
      </c>
      <c r="Y192" s="101">
        <f t="shared" si="113"/>
        <v>0</v>
      </c>
      <c r="Z192" s="101">
        <f>E192+J192+O192+T192</f>
        <v>0</v>
      </c>
    </row>
    <row r="193" spans="1:26" ht="57.75" x14ac:dyDescent="0.25">
      <c r="A193" s="189" t="s">
        <v>544</v>
      </c>
      <c r="B193" s="113"/>
      <c r="C193" s="205" t="s">
        <v>543</v>
      </c>
      <c r="D193" s="115"/>
      <c r="F193" s="102"/>
      <c r="G193" s="102">
        <f>1435+1549+595848</f>
        <v>598832</v>
      </c>
      <c r="H193" s="102"/>
      <c r="I193" s="102">
        <v>598832</v>
      </c>
      <c r="J193" s="102"/>
      <c r="K193" s="102"/>
      <c r="L193" s="102">
        <v>148962</v>
      </c>
      <c r="M193" s="102"/>
      <c r="N193" s="102">
        <f t="shared" si="110"/>
        <v>148962</v>
      </c>
      <c r="O193" s="102"/>
      <c r="P193" s="102"/>
      <c r="Q193" s="102"/>
      <c r="R193" s="102"/>
      <c r="S193" s="102">
        <f t="shared" si="111"/>
        <v>0</v>
      </c>
      <c r="T193" s="101"/>
      <c r="U193" s="101"/>
      <c r="V193" s="101"/>
      <c r="W193" s="101"/>
      <c r="X193" s="101">
        <f t="shared" si="112"/>
        <v>0</v>
      </c>
      <c r="Y193" s="101">
        <f t="shared" si="113"/>
        <v>747794</v>
      </c>
      <c r="Z193" s="101">
        <f>E193+J193+O193+T193</f>
        <v>0</v>
      </c>
    </row>
    <row r="194" spans="1:26" ht="67.5" x14ac:dyDescent="0.25">
      <c r="A194" s="168" t="s">
        <v>546</v>
      </c>
      <c r="B194" s="113"/>
      <c r="C194" s="168" t="s">
        <v>547</v>
      </c>
      <c r="D194" s="115"/>
      <c r="E194" s="102">
        <v>1500</v>
      </c>
      <c r="F194" s="102"/>
      <c r="G194" s="102"/>
      <c r="H194" s="102"/>
      <c r="I194" s="102">
        <f t="shared" si="104"/>
        <v>1500</v>
      </c>
      <c r="J194" s="102">
        <v>1600</v>
      </c>
      <c r="K194" s="102"/>
      <c r="L194" s="102"/>
      <c r="M194" s="102"/>
      <c r="N194" s="102">
        <f t="shared" si="110"/>
        <v>1600</v>
      </c>
      <c r="O194" s="102">
        <v>1600</v>
      </c>
      <c r="P194" s="102"/>
      <c r="Q194" s="102"/>
      <c r="R194" s="102"/>
      <c r="S194" s="102">
        <f t="shared" si="111"/>
        <v>1600</v>
      </c>
      <c r="T194" s="101">
        <v>1600</v>
      </c>
      <c r="U194" s="101"/>
      <c r="V194" s="101"/>
      <c r="W194" s="101"/>
      <c r="X194" s="101">
        <f t="shared" si="112"/>
        <v>1600</v>
      </c>
      <c r="Y194" s="101">
        <f t="shared" si="113"/>
        <v>6300</v>
      </c>
      <c r="Z194" s="101">
        <f t="shared" si="109"/>
        <v>6300</v>
      </c>
    </row>
    <row r="195" spans="1:26" x14ac:dyDescent="0.25">
      <c r="A195" s="85"/>
      <c r="B195" s="113"/>
      <c r="C195" s="179" t="s">
        <v>548</v>
      </c>
      <c r="D195" s="115">
        <f t="shared" ref="D195" si="140">SUM(D197:D198)</f>
        <v>0</v>
      </c>
      <c r="E195" s="98">
        <f>SUM(E197:E198)</f>
        <v>0</v>
      </c>
      <c r="F195" s="98">
        <f t="shared" ref="F195:H195" si="141">SUM(F197:F198)</f>
        <v>0</v>
      </c>
      <c r="G195" s="98">
        <f t="shared" si="141"/>
        <v>0</v>
      </c>
      <c r="H195" s="98">
        <f t="shared" si="141"/>
        <v>0</v>
      </c>
      <c r="I195" s="98">
        <f t="shared" si="104"/>
        <v>0</v>
      </c>
      <c r="J195" s="98">
        <f>SUM(J197:J198)</f>
        <v>0</v>
      </c>
      <c r="K195" s="98">
        <f t="shared" ref="K195:L195" si="142">SUM(K197:K198)</f>
        <v>0</v>
      </c>
      <c r="L195" s="98">
        <f t="shared" si="142"/>
        <v>0</v>
      </c>
      <c r="M195" s="98"/>
      <c r="N195" s="98">
        <f t="shared" si="110"/>
        <v>0</v>
      </c>
      <c r="O195" s="98">
        <f>SUM(O197:O198)</f>
        <v>0</v>
      </c>
      <c r="P195" s="98">
        <f t="shared" ref="P195:R195" si="143">SUM(P197:P198)</f>
        <v>0</v>
      </c>
      <c r="Q195" s="98">
        <f t="shared" si="143"/>
        <v>0</v>
      </c>
      <c r="R195" s="98">
        <f t="shared" si="143"/>
        <v>0</v>
      </c>
      <c r="S195" s="98">
        <f t="shared" si="111"/>
        <v>0</v>
      </c>
      <c r="T195" s="98">
        <f>SUM(T197:T198)</f>
        <v>0</v>
      </c>
      <c r="U195" s="98">
        <f t="shared" ref="U195:W195" si="144">SUM(U197:U198)</f>
        <v>0</v>
      </c>
      <c r="V195" s="98">
        <f t="shared" si="144"/>
        <v>0</v>
      </c>
      <c r="W195" s="98">
        <f t="shared" si="144"/>
        <v>0</v>
      </c>
      <c r="X195" s="98">
        <f t="shared" si="112"/>
        <v>0</v>
      </c>
      <c r="Y195" s="98">
        <f t="shared" si="113"/>
        <v>0</v>
      </c>
      <c r="Z195" s="98">
        <f t="shared" si="109"/>
        <v>0</v>
      </c>
    </row>
    <row r="196" spans="1:26" x14ac:dyDescent="0.25">
      <c r="A196" s="85"/>
      <c r="B196" s="113"/>
      <c r="C196" s="100" t="s">
        <v>358</v>
      </c>
      <c r="D196" s="115"/>
      <c r="E196" s="102"/>
      <c r="F196" s="102"/>
      <c r="G196" s="102"/>
      <c r="H196" s="102"/>
      <c r="I196" s="102">
        <f t="shared" si="104"/>
        <v>0</v>
      </c>
      <c r="J196" s="102"/>
      <c r="K196" s="102"/>
      <c r="L196" s="102"/>
      <c r="M196" s="102"/>
      <c r="N196" s="102">
        <f t="shared" si="110"/>
        <v>0</v>
      </c>
      <c r="O196" s="102"/>
      <c r="P196" s="102"/>
      <c r="Q196" s="102"/>
      <c r="R196" s="102"/>
      <c r="S196" s="102">
        <f t="shared" si="111"/>
        <v>0</v>
      </c>
      <c r="T196" s="101"/>
      <c r="U196" s="101"/>
      <c r="V196" s="101"/>
      <c r="W196" s="101"/>
      <c r="X196" s="101">
        <f t="shared" si="112"/>
        <v>0</v>
      </c>
      <c r="Y196" s="101">
        <f t="shared" si="113"/>
        <v>0</v>
      </c>
      <c r="Z196" s="101">
        <f t="shared" si="109"/>
        <v>0</v>
      </c>
    </row>
    <row r="197" spans="1:26" ht="60" x14ac:dyDescent="0.3">
      <c r="A197" s="190"/>
      <c r="B197" s="113"/>
      <c r="C197" s="118" t="s">
        <v>549</v>
      </c>
      <c r="D197" s="115"/>
      <c r="E197" s="102"/>
      <c r="F197" s="102"/>
      <c r="G197" s="102"/>
      <c r="H197" s="102"/>
      <c r="I197" s="102">
        <f t="shared" si="104"/>
        <v>0</v>
      </c>
      <c r="J197" s="102"/>
      <c r="K197" s="102"/>
      <c r="L197" s="102"/>
      <c r="M197" s="102"/>
      <c r="N197" s="102">
        <f t="shared" si="110"/>
        <v>0</v>
      </c>
      <c r="O197" s="102"/>
      <c r="P197" s="102"/>
      <c r="Q197" s="102"/>
      <c r="R197" s="102"/>
      <c r="S197" s="102">
        <f t="shared" si="111"/>
        <v>0</v>
      </c>
      <c r="T197" s="101"/>
      <c r="U197" s="101"/>
      <c r="V197" s="101"/>
      <c r="W197" s="101"/>
      <c r="X197" s="101">
        <f t="shared" si="112"/>
        <v>0</v>
      </c>
      <c r="Y197" s="101">
        <f t="shared" si="113"/>
        <v>0</v>
      </c>
      <c r="Z197" s="101">
        <f t="shared" si="109"/>
        <v>0</v>
      </c>
    </row>
    <row r="198" spans="1:26" ht="75" x14ac:dyDescent="0.3">
      <c r="A198" s="190"/>
      <c r="B198" s="113"/>
      <c r="C198" s="118" t="s">
        <v>550</v>
      </c>
      <c r="D198" s="115"/>
      <c r="E198" s="102"/>
      <c r="F198" s="102"/>
      <c r="G198" s="102"/>
      <c r="H198" s="102"/>
      <c r="I198" s="102">
        <f t="shared" si="104"/>
        <v>0</v>
      </c>
      <c r="J198" s="102"/>
      <c r="K198" s="102"/>
      <c r="L198" s="102"/>
      <c r="M198" s="102"/>
      <c r="N198" s="102">
        <f t="shared" si="110"/>
        <v>0</v>
      </c>
      <c r="O198" s="102"/>
      <c r="P198" s="102"/>
      <c r="Q198" s="102"/>
      <c r="R198" s="102"/>
      <c r="S198" s="102">
        <f t="shared" si="111"/>
        <v>0</v>
      </c>
      <c r="T198" s="101"/>
      <c r="U198" s="101"/>
      <c r="V198" s="101"/>
      <c r="W198" s="101"/>
      <c r="X198" s="101">
        <f t="shared" si="112"/>
        <v>0</v>
      </c>
      <c r="Y198" s="101">
        <f t="shared" si="113"/>
        <v>0</v>
      </c>
      <c r="Z198" s="101">
        <f t="shared" si="109"/>
        <v>0</v>
      </c>
    </row>
    <row r="199" spans="1:26" ht="51" x14ac:dyDescent="0.25">
      <c r="A199" s="85"/>
      <c r="B199" s="113"/>
      <c r="C199" s="191" t="s">
        <v>551</v>
      </c>
      <c r="D199" s="115">
        <f>D200+D207+D212+D220</f>
        <v>0</v>
      </c>
      <c r="E199" s="173">
        <f>E200+E207+E212+E220</f>
        <v>0</v>
      </c>
      <c r="F199" s="173">
        <f t="shared" ref="F199:Z199" si="145">F200+F207+F212+F220</f>
        <v>0</v>
      </c>
      <c r="G199" s="173">
        <f t="shared" si="145"/>
        <v>6705.5</v>
      </c>
      <c r="H199" s="173">
        <f t="shared" si="145"/>
        <v>0</v>
      </c>
      <c r="I199" s="173">
        <f t="shared" si="145"/>
        <v>6705.5</v>
      </c>
      <c r="J199" s="173">
        <f t="shared" si="145"/>
        <v>0</v>
      </c>
      <c r="K199" s="173">
        <f t="shared" si="145"/>
        <v>0</v>
      </c>
      <c r="L199" s="173">
        <f t="shared" si="145"/>
        <v>6705.5</v>
      </c>
      <c r="M199" s="173">
        <f t="shared" si="145"/>
        <v>0</v>
      </c>
      <c r="N199" s="173">
        <f t="shared" si="145"/>
        <v>6705.5</v>
      </c>
      <c r="O199" s="173">
        <f t="shared" si="145"/>
        <v>0</v>
      </c>
      <c r="P199" s="173">
        <f t="shared" si="145"/>
        <v>0</v>
      </c>
      <c r="Q199" s="173">
        <f t="shared" si="145"/>
        <v>0</v>
      </c>
      <c r="R199" s="173">
        <f t="shared" si="145"/>
        <v>0</v>
      </c>
      <c r="S199" s="173">
        <f t="shared" si="145"/>
        <v>0</v>
      </c>
      <c r="T199" s="173">
        <f t="shared" si="145"/>
        <v>0</v>
      </c>
      <c r="U199" s="173">
        <f t="shared" si="145"/>
        <v>0</v>
      </c>
      <c r="V199" s="173">
        <f t="shared" si="145"/>
        <v>0</v>
      </c>
      <c r="W199" s="173">
        <f t="shared" si="145"/>
        <v>0</v>
      </c>
      <c r="X199" s="173">
        <f t="shared" si="145"/>
        <v>0</v>
      </c>
      <c r="Y199" s="173">
        <f t="shared" si="145"/>
        <v>13411</v>
      </c>
      <c r="Z199" s="173">
        <f t="shared" si="145"/>
        <v>0</v>
      </c>
    </row>
    <row r="200" spans="1:26" ht="22.5" x14ac:dyDescent="0.25">
      <c r="A200" s="85"/>
      <c r="B200" s="113"/>
      <c r="C200" s="184" t="s">
        <v>552</v>
      </c>
      <c r="D200" s="115">
        <f>SUM(D202:D206)</f>
        <v>0</v>
      </c>
      <c r="E200" s="98">
        <f>SUM(E202:E206)</f>
        <v>0</v>
      </c>
      <c r="F200" s="98">
        <f t="shared" ref="F200:H200" si="146">SUM(F202:F206)</f>
        <v>0</v>
      </c>
      <c r="G200" s="98">
        <f t="shared" si="146"/>
        <v>0</v>
      </c>
      <c r="H200" s="98">
        <f t="shared" si="146"/>
        <v>0</v>
      </c>
      <c r="I200" s="98">
        <f t="shared" ref="I200:I228" si="147">SUM(E200:H200)</f>
        <v>0</v>
      </c>
      <c r="J200" s="98">
        <f>SUM(J202:J206)</f>
        <v>0</v>
      </c>
      <c r="K200" s="98">
        <f t="shared" ref="K200:M200" si="148">SUM(K202:K206)</f>
        <v>0</v>
      </c>
      <c r="L200" s="98">
        <f t="shared" si="148"/>
        <v>0</v>
      </c>
      <c r="M200" s="98">
        <f t="shared" si="148"/>
        <v>0</v>
      </c>
      <c r="N200" s="98">
        <f t="shared" si="110"/>
        <v>0</v>
      </c>
      <c r="O200" s="98">
        <f>SUM(O202:O206)</f>
        <v>0</v>
      </c>
      <c r="P200" s="98">
        <f t="shared" ref="P200:R200" si="149">SUM(P202:P206)</f>
        <v>0</v>
      </c>
      <c r="Q200" s="98">
        <f t="shared" si="149"/>
        <v>0</v>
      </c>
      <c r="R200" s="98">
        <f t="shared" si="149"/>
        <v>0</v>
      </c>
      <c r="S200" s="98">
        <f t="shared" si="111"/>
        <v>0</v>
      </c>
      <c r="T200" s="98">
        <f>SUM(T202:T206)</f>
        <v>0</v>
      </c>
      <c r="U200" s="98">
        <f t="shared" ref="U200:W200" si="150">SUM(U202:U206)</f>
        <v>0</v>
      </c>
      <c r="V200" s="98">
        <f t="shared" si="150"/>
        <v>0</v>
      </c>
      <c r="W200" s="98">
        <f t="shared" si="150"/>
        <v>0</v>
      </c>
      <c r="X200" s="98">
        <f t="shared" si="112"/>
        <v>0</v>
      </c>
      <c r="Y200" s="98">
        <f t="shared" si="113"/>
        <v>0</v>
      </c>
      <c r="Z200" s="98">
        <f t="shared" ref="Z200:Z228" si="151">E200+J200+O200+T200</f>
        <v>0</v>
      </c>
    </row>
    <row r="201" spans="1:26" x14ac:dyDescent="0.25">
      <c r="A201" s="85"/>
      <c r="B201" s="113"/>
      <c r="C201" s="100" t="s">
        <v>553</v>
      </c>
      <c r="D201" s="115"/>
      <c r="E201" s="102"/>
      <c r="F201" s="102"/>
      <c r="G201" s="102"/>
      <c r="H201" s="102"/>
      <c r="I201" s="102">
        <f t="shared" si="147"/>
        <v>0</v>
      </c>
      <c r="J201" s="102"/>
      <c r="K201" s="102"/>
      <c r="L201" s="102"/>
      <c r="M201" s="102"/>
      <c r="N201" s="102">
        <f t="shared" ref="N201:N228" si="152">SUM(J201:M201)</f>
        <v>0</v>
      </c>
      <c r="O201" s="102"/>
      <c r="P201" s="102"/>
      <c r="Q201" s="102"/>
      <c r="R201" s="102"/>
      <c r="S201" s="102">
        <f t="shared" si="111"/>
        <v>0</v>
      </c>
      <c r="T201" s="101"/>
      <c r="U201" s="101"/>
      <c r="V201" s="101"/>
      <c r="W201" s="101"/>
      <c r="X201" s="101">
        <f t="shared" si="112"/>
        <v>0</v>
      </c>
      <c r="Y201" s="101">
        <f t="shared" si="113"/>
        <v>0</v>
      </c>
      <c r="Z201" s="101">
        <f t="shared" si="151"/>
        <v>0</v>
      </c>
    </row>
    <row r="202" spans="1:26" ht="45.75" x14ac:dyDescent="0.25">
      <c r="A202" s="85"/>
      <c r="B202" s="113"/>
      <c r="C202" s="118" t="s">
        <v>554</v>
      </c>
      <c r="D202" s="115"/>
      <c r="E202" s="102"/>
      <c r="F202" s="102"/>
      <c r="G202" s="102"/>
      <c r="H202" s="102"/>
      <c r="I202" s="102">
        <f t="shared" si="147"/>
        <v>0</v>
      </c>
      <c r="J202" s="102"/>
      <c r="K202" s="102"/>
      <c r="L202" s="102"/>
      <c r="M202" s="102"/>
      <c r="N202" s="102">
        <f t="shared" si="152"/>
        <v>0</v>
      </c>
      <c r="O202" s="102"/>
      <c r="P202" s="102"/>
      <c r="Q202" s="102"/>
      <c r="R202" s="102"/>
      <c r="S202" s="102">
        <f t="shared" si="111"/>
        <v>0</v>
      </c>
      <c r="T202" s="101"/>
      <c r="U202" s="101"/>
      <c r="V202" s="101"/>
      <c r="W202" s="101"/>
      <c r="X202" s="101">
        <f t="shared" si="112"/>
        <v>0</v>
      </c>
      <c r="Y202" s="101">
        <f t="shared" si="113"/>
        <v>0</v>
      </c>
      <c r="Z202" s="101">
        <f t="shared" si="151"/>
        <v>0</v>
      </c>
    </row>
    <row r="203" spans="1:26" ht="57" x14ac:dyDescent="0.25">
      <c r="A203" s="85"/>
      <c r="B203" s="113"/>
      <c r="C203" s="118" t="s">
        <v>555</v>
      </c>
      <c r="D203" s="115"/>
      <c r="E203" s="102"/>
      <c r="F203" s="102"/>
      <c r="G203" s="102"/>
      <c r="H203" s="102"/>
      <c r="I203" s="102">
        <f t="shared" si="147"/>
        <v>0</v>
      </c>
      <c r="J203" s="102"/>
      <c r="K203" s="102"/>
      <c r="L203" s="102"/>
      <c r="M203" s="102"/>
      <c r="N203" s="102">
        <f t="shared" si="152"/>
        <v>0</v>
      </c>
      <c r="O203" s="102"/>
      <c r="P203" s="102"/>
      <c r="Q203" s="102"/>
      <c r="R203" s="102"/>
      <c r="S203" s="102">
        <f t="shared" ref="S203:S228" si="153">SUM(O203:R203)</f>
        <v>0</v>
      </c>
      <c r="T203" s="101"/>
      <c r="U203" s="101"/>
      <c r="V203" s="101"/>
      <c r="W203" s="101"/>
      <c r="X203" s="101">
        <f t="shared" si="112"/>
        <v>0</v>
      </c>
      <c r="Y203" s="101">
        <f t="shared" si="113"/>
        <v>0</v>
      </c>
      <c r="Z203" s="101">
        <f t="shared" si="151"/>
        <v>0</v>
      </c>
    </row>
    <row r="204" spans="1:26" ht="79.5" x14ac:dyDescent="0.25">
      <c r="A204" s="85"/>
      <c r="B204" s="113"/>
      <c r="C204" s="118" t="s">
        <v>556</v>
      </c>
      <c r="D204" s="115"/>
      <c r="E204" s="102"/>
      <c r="F204" s="102"/>
      <c r="G204" s="102"/>
      <c r="H204" s="102"/>
      <c r="I204" s="102">
        <f t="shared" si="147"/>
        <v>0</v>
      </c>
      <c r="J204" s="102"/>
      <c r="K204" s="102"/>
      <c r="L204" s="102"/>
      <c r="M204" s="102"/>
      <c r="N204" s="102">
        <f t="shared" si="152"/>
        <v>0</v>
      </c>
      <c r="O204" s="102"/>
      <c r="P204" s="102"/>
      <c r="Q204" s="102"/>
      <c r="R204" s="102"/>
      <c r="S204" s="102">
        <f t="shared" si="153"/>
        <v>0</v>
      </c>
      <c r="T204" s="101"/>
      <c r="U204" s="101"/>
      <c r="V204" s="101"/>
      <c r="W204" s="101"/>
      <c r="X204" s="101">
        <f t="shared" si="112"/>
        <v>0</v>
      </c>
      <c r="Y204" s="101">
        <f t="shared" si="113"/>
        <v>0</v>
      </c>
      <c r="Z204" s="101">
        <f t="shared" si="151"/>
        <v>0</v>
      </c>
    </row>
    <row r="205" spans="1:26" ht="102" x14ac:dyDescent="0.25">
      <c r="A205" s="85"/>
      <c r="B205" s="113"/>
      <c r="C205" s="118" t="s">
        <v>557</v>
      </c>
      <c r="D205" s="115"/>
      <c r="E205" s="102"/>
      <c r="F205" s="102"/>
      <c r="G205" s="102"/>
      <c r="H205" s="102"/>
      <c r="I205" s="102">
        <f t="shared" si="147"/>
        <v>0</v>
      </c>
      <c r="J205" s="102"/>
      <c r="K205" s="102"/>
      <c r="L205" s="102"/>
      <c r="M205" s="102"/>
      <c r="N205" s="102">
        <f t="shared" si="152"/>
        <v>0</v>
      </c>
      <c r="O205" s="102"/>
      <c r="P205" s="102"/>
      <c r="Q205" s="102"/>
      <c r="R205" s="102"/>
      <c r="S205" s="102">
        <f t="shared" si="153"/>
        <v>0</v>
      </c>
      <c r="T205" s="101"/>
      <c r="U205" s="101"/>
      <c r="V205" s="101"/>
      <c r="W205" s="101"/>
      <c r="X205" s="101">
        <f t="shared" si="112"/>
        <v>0</v>
      </c>
      <c r="Y205" s="101">
        <f t="shared" si="113"/>
        <v>0</v>
      </c>
      <c r="Z205" s="101">
        <f t="shared" si="151"/>
        <v>0</v>
      </c>
    </row>
    <row r="206" spans="1:26" ht="23.25" x14ac:dyDescent="0.25">
      <c r="A206" s="85"/>
      <c r="B206" s="113"/>
      <c r="C206" s="118" t="s">
        <v>558</v>
      </c>
      <c r="D206" s="115"/>
      <c r="E206" s="102"/>
      <c r="F206" s="102"/>
      <c r="G206" s="102"/>
      <c r="H206" s="102"/>
      <c r="I206" s="102">
        <f t="shared" si="147"/>
        <v>0</v>
      </c>
      <c r="J206" s="102"/>
      <c r="K206" s="102"/>
      <c r="L206" s="102"/>
      <c r="M206" s="102"/>
      <c r="N206" s="102">
        <f t="shared" si="152"/>
        <v>0</v>
      </c>
      <c r="O206" s="102"/>
      <c r="P206" s="102"/>
      <c r="Q206" s="102"/>
      <c r="R206" s="102"/>
      <c r="S206" s="102">
        <f t="shared" si="153"/>
        <v>0</v>
      </c>
      <c r="T206" s="101"/>
      <c r="U206" s="101"/>
      <c r="V206" s="101"/>
      <c r="W206" s="101"/>
      <c r="X206" s="101">
        <f t="shared" si="112"/>
        <v>0</v>
      </c>
      <c r="Y206" s="101">
        <f t="shared" si="113"/>
        <v>0</v>
      </c>
      <c r="Z206" s="101">
        <f t="shared" si="151"/>
        <v>0</v>
      </c>
    </row>
    <row r="207" spans="1:26" ht="33.75" x14ac:dyDescent="0.25">
      <c r="A207" s="85"/>
      <c r="B207" s="113"/>
      <c r="C207" s="184" t="s">
        <v>559</v>
      </c>
      <c r="D207" s="115">
        <f>SUM(D209:D211)</f>
        <v>0</v>
      </c>
      <c r="E207" s="98">
        <f>SUM(E209:E211)</f>
        <v>0</v>
      </c>
      <c r="F207" s="98">
        <f t="shared" ref="F207:H207" si="154">SUM(F209:F211)</f>
        <v>0</v>
      </c>
      <c r="G207" s="98">
        <f t="shared" si="154"/>
        <v>6705.5</v>
      </c>
      <c r="H207" s="98">
        <f t="shared" si="154"/>
        <v>0</v>
      </c>
      <c r="I207" s="98">
        <f t="shared" si="147"/>
        <v>6705.5</v>
      </c>
      <c r="J207" s="98">
        <f>SUM(J209:J211)</f>
        <v>0</v>
      </c>
      <c r="K207" s="98">
        <f t="shared" ref="K207:M207" si="155">SUM(K209:K211)</f>
        <v>0</v>
      </c>
      <c r="L207" s="98">
        <f t="shared" si="155"/>
        <v>6705.5</v>
      </c>
      <c r="M207" s="98">
        <f t="shared" si="155"/>
        <v>0</v>
      </c>
      <c r="N207" s="98">
        <f t="shared" si="152"/>
        <v>6705.5</v>
      </c>
      <c r="O207" s="98">
        <f>SUM(O209:O211)</f>
        <v>0</v>
      </c>
      <c r="P207" s="98">
        <f t="shared" ref="P207:R207" si="156">SUM(P209:P211)</f>
        <v>0</v>
      </c>
      <c r="Q207" s="98">
        <f t="shared" si="156"/>
        <v>0</v>
      </c>
      <c r="R207" s="98">
        <f t="shared" si="156"/>
        <v>0</v>
      </c>
      <c r="S207" s="98">
        <f t="shared" si="153"/>
        <v>0</v>
      </c>
      <c r="T207" s="98">
        <f>SUM(T209:T211)</f>
        <v>0</v>
      </c>
      <c r="U207" s="98">
        <f t="shared" ref="U207:W207" si="157">SUM(U209:U211)</f>
        <v>0</v>
      </c>
      <c r="V207" s="98">
        <f t="shared" si="157"/>
        <v>0</v>
      </c>
      <c r="W207" s="98">
        <f t="shared" si="157"/>
        <v>0</v>
      </c>
      <c r="X207" s="98">
        <f t="shared" si="112"/>
        <v>0</v>
      </c>
      <c r="Y207" s="98">
        <f t="shared" si="113"/>
        <v>13411</v>
      </c>
      <c r="Z207" s="98">
        <f t="shared" si="151"/>
        <v>0</v>
      </c>
    </row>
    <row r="208" spans="1:26" x14ac:dyDescent="0.25">
      <c r="A208" s="85"/>
      <c r="B208" s="113"/>
      <c r="C208" s="100" t="s">
        <v>358</v>
      </c>
      <c r="D208" s="115"/>
      <c r="E208" s="102"/>
      <c r="F208" s="102"/>
      <c r="G208" s="102"/>
      <c r="H208" s="102"/>
      <c r="I208" s="102">
        <f t="shared" si="147"/>
        <v>0</v>
      </c>
      <c r="J208" s="102"/>
      <c r="K208" s="102"/>
      <c r="L208" s="102"/>
      <c r="M208" s="102"/>
      <c r="N208" s="102">
        <f t="shared" si="152"/>
        <v>0</v>
      </c>
      <c r="O208" s="102"/>
      <c r="P208" s="102"/>
      <c r="Q208" s="102"/>
      <c r="R208" s="102"/>
      <c r="S208" s="102">
        <f t="shared" si="153"/>
        <v>0</v>
      </c>
      <c r="T208" s="101"/>
      <c r="U208" s="101"/>
      <c r="V208" s="101"/>
      <c r="W208" s="101"/>
      <c r="X208" s="101">
        <f t="shared" si="112"/>
        <v>0</v>
      </c>
      <c r="Y208" s="101">
        <f t="shared" si="113"/>
        <v>0</v>
      </c>
      <c r="Z208" s="101">
        <f t="shared" si="151"/>
        <v>0</v>
      </c>
    </row>
    <row r="209" spans="1:26" ht="68.25" x14ac:dyDescent="0.25">
      <c r="A209" s="85"/>
      <c r="B209" s="113"/>
      <c r="C209" s="118" t="s">
        <v>560</v>
      </c>
      <c r="D209" s="115"/>
      <c r="E209" s="102"/>
      <c r="F209" s="102"/>
      <c r="G209" s="102"/>
      <c r="H209" s="102"/>
      <c r="I209" s="102">
        <f t="shared" si="147"/>
        <v>0</v>
      </c>
      <c r="J209" s="102"/>
      <c r="K209" s="102"/>
      <c r="L209" s="102"/>
      <c r="M209" s="102"/>
      <c r="N209" s="102">
        <f t="shared" si="152"/>
        <v>0</v>
      </c>
      <c r="O209" s="102"/>
      <c r="P209" s="102"/>
      <c r="Q209" s="102"/>
      <c r="R209" s="102"/>
      <c r="S209" s="102">
        <f t="shared" si="153"/>
        <v>0</v>
      </c>
      <c r="T209" s="101"/>
      <c r="U209" s="101"/>
      <c r="V209" s="101"/>
      <c r="W209" s="101"/>
      <c r="X209" s="101">
        <f t="shared" si="112"/>
        <v>0</v>
      </c>
      <c r="Y209" s="101">
        <f t="shared" si="113"/>
        <v>0</v>
      </c>
      <c r="Z209" s="101">
        <f t="shared" si="151"/>
        <v>0</v>
      </c>
    </row>
    <row r="210" spans="1:26" ht="90.75" x14ac:dyDescent="0.25">
      <c r="A210" s="85"/>
      <c r="B210" s="113"/>
      <c r="C210" s="118" t="s">
        <v>561</v>
      </c>
      <c r="D210" s="115"/>
      <c r="E210" s="102"/>
      <c r="F210" s="102"/>
      <c r="G210" s="102">
        <f>13411/2</f>
        <v>6705.5</v>
      </c>
      <c r="H210" s="102"/>
      <c r="I210" s="102">
        <f t="shared" si="147"/>
        <v>6705.5</v>
      </c>
      <c r="J210" s="102"/>
      <c r="K210" s="102"/>
      <c r="L210" s="102">
        <f>13411/2</f>
        <v>6705.5</v>
      </c>
      <c r="M210" s="102"/>
      <c r="N210" s="102">
        <f t="shared" si="152"/>
        <v>6705.5</v>
      </c>
      <c r="O210" s="102"/>
      <c r="P210" s="102"/>
      <c r="Q210" s="102"/>
      <c r="R210" s="102"/>
      <c r="S210" s="102">
        <f t="shared" si="153"/>
        <v>0</v>
      </c>
      <c r="T210" s="101"/>
      <c r="U210" s="101"/>
      <c r="V210" s="101"/>
      <c r="W210" s="101"/>
      <c r="X210" s="101">
        <f t="shared" si="112"/>
        <v>0</v>
      </c>
      <c r="Y210" s="101">
        <f t="shared" si="113"/>
        <v>13411</v>
      </c>
      <c r="Z210" s="101">
        <f t="shared" si="151"/>
        <v>0</v>
      </c>
    </row>
    <row r="211" spans="1:26" ht="57" x14ac:dyDescent="0.25">
      <c r="A211" s="85"/>
      <c r="B211" s="113"/>
      <c r="C211" s="118" t="s">
        <v>562</v>
      </c>
      <c r="D211" s="115"/>
      <c r="E211" s="102"/>
      <c r="F211" s="102"/>
      <c r="G211" s="102"/>
      <c r="H211" s="102"/>
      <c r="I211" s="102">
        <f t="shared" si="147"/>
        <v>0</v>
      </c>
      <c r="J211" s="102"/>
      <c r="K211" s="102"/>
      <c r="L211" s="102"/>
      <c r="M211" s="102"/>
      <c r="N211" s="102">
        <f t="shared" si="152"/>
        <v>0</v>
      </c>
      <c r="O211" s="102"/>
      <c r="P211" s="102"/>
      <c r="Q211" s="102"/>
      <c r="R211" s="102"/>
      <c r="S211" s="102">
        <f t="shared" si="153"/>
        <v>0</v>
      </c>
      <c r="T211" s="101"/>
      <c r="U211" s="101"/>
      <c r="V211" s="101"/>
      <c r="W211" s="101"/>
      <c r="X211" s="101">
        <f t="shared" si="112"/>
        <v>0</v>
      </c>
      <c r="Y211" s="101">
        <f t="shared" si="113"/>
        <v>0</v>
      </c>
      <c r="Z211" s="101">
        <f t="shared" si="151"/>
        <v>0</v>
      </c>
    </row>
    <row r="212" spans="1:26" x14ac:dyDescent="0.25">
      <c r="A212" s="85"/>
      <c r="B212" s="113"/>
      <c r="C212" s="192" t="s">
        <v>563</v>
      </c>
      <c r="D212" s="115">
        <f>SUM(D214:D219)</f>
        <v>0</v>
      </c>
      <c r="E212" s="98">
        <f>SUM(E214:E219)</f>
        <v>0</v>
      </c>
      <c r="F212" s="98">
        <f t="shared" ref="F212:H212" si="158">SUM(F214:F219)</f>
        <v>0</v>
      </c>
      <c r="G212" s="98">
        <f t="shared" si="158"/>
        <v>0</v>
      </c>
      <c r="H212" s="98">
        <f t="shared" si="158"/>
        <v>0</v>
      </c>
      <c r="I212" s="98">
        <f t="shared" si="147"/>
        <v>0</v>
      </c>
      <c r="J212" s="98">
        <f>SUM(J214:J219)</f>
        <v>0</v>
      </c>
      <c r="K212" s="98">
        <f t="shared" ref="K212:M212" si="159">SUM(K214:K219)</f>
        <v>0</v>
      </c>
      <c r="L212" s="98">
        <f t="shared" si="159"/>
        <v>0</v>
      </c>
      <c r="M212" s="98">
        <f t="shared" si="159"/>
        <v>0</v>
      </c>
      <c r="N212" s="98">
        <f t="shared" si="152"/>
        <v>0</v>
      </c>
      <c r="O212" s="98">
        <f>SUM(O214:O219)</f>
        <v>0</v>
      </c>
      <c r="P212" s="98">
        <f t="shared" ref="P212:R212" si="160">SUM(P214:P219)</f>
        <v>0</v>
      </c>
      <c r="Q212" s="98">
        <f t="shared" si="160"/>
        <v>0</v>
      </c>
      <c r="R212" s="98">
        <f t="shared" si="160"/>
        <v>0</v>
      </c>
      <c r="S212" s="98">
        <f t="shared" si="153"/>
        <v>0</v>
      </c>
      <c r="T212" s="98">
        <f>SUM(T214:T219)</f>
        <v>0</v>
      </c>
      <c r="U212" s="98">
        <f t="shared" ref="U212:W212" si="161">SUM(U214:U219)</f>
        <v>0</v>
      </c>
      <c r="V212" s="98">
        <f t="shared" si="161"/>
        <v>0</v>
      </c>
      <c r="W212" s="98">
        <f t="shared" si="161"/>
        <v>0</v>
      </c>
      <c r="X212" s="98">
        <f t="shared" ref="X212:X228" si="162">T212+U212+V212+W212</f>
        <v>0</v>
      </c>
      <c r="Y212" s="98">
        <f t="shared" si="113"/>
        <v>0</v>
      </c>
      <c r="Z212" s="98">
        <f t="shared" si="151"/>
        <v>0</v>
      </c>
    </row>
    <row r="213" spans="1:26" x14ac:dyDescent="0.25">
      <c r="A213" s="85"/>
      <c r="B213" s="113"/>
      <c r="C213" s="100" t="s">
        <v>358</v>
      </c>
      <c r="D213" s="115"/>
      <c r="E213" s="102"/>
      <c r="F213" s="102"/>
      <c r="G213" s="102"/>
      <c r="H213" s="102"/>
      <c r="I213" s="102">
        <f t="shared" si="147"/>
        <v>0</v>
      </c>
      <c r="J213" s="102"/>
      <c r="K213" s="102"/>
      <c r="L213" s="102"/>
      <c r="M213" s="102"/>
      <c r="N213" s="102">
        <f t="shared" si="152"/>
        <v>0</v>
      </c>
      <c r="O213" s="102"/>
      <c r="P213" s="102"/>
      <c r="Q213" s="102"/>
      <c r="R213" s="102"/>
      <c r="S213" s="102">
        <f t="shared" si="153"/>
        <v>0</v>
      </c>
      <c r="T213" s="101"/>
      <c r="U213" s="101"/>
      <c r="V213" s="101"/>
      <c r="W213" s="101"/>
      <c r="X213" s="101">
        <f t="shared" si="162"/>
        <v>0</v>
      </c>
      <c r="Y213" s="101">
        <f t="shared" ref="Y213:Y228" si="163">I213+N213+S213+X213</f>
        <v>0</v>
      </c>
      <c r="Z213" s="101">
        <f t="shared" si="151"/>
        <v>0</v>
      </c>
    </row>
    <row r="214" spans="1:26" ht="57" x14ac:dyDescent="0.25">
      <c r="A214" s="85"/>
      <c r="B214" s="113"/>
      <c r="C214" s="118" t="s">
        <v>564</v>
      </c>
      <c r="D214" s="115"/>
      <c r="E214" s="102"/>
      <c r="F214" s="102"/>
      <c r="G214" s="102"/>
      <c r="H214" s="102"/>
      <c r="I214" s="102">
        <f t="shared" si="147"/>
        <v>0</v>
      </c>
      <c r="J214" s="102"/>
      <c r="K214" s="102"/>
      <c r="L214" s="102"/>
      <c r="M214" s="102"/>
      <c r="N214" s="102">
        <f t="shared" si="152"/>
        <v>0</v>
      </c>
      <c r="O214" s="102"/>
      <c r="P214" s="102"/>
      <c r="Q214" s="102"/>
      <c r="R214" s="102"/>
      <c r="S214" s="102">
        <f t="shared" si="153"/>
        <v>0</v>
      </c>
      <c r="T214" s="101"/>
      <c r="U214" s="101"/>
      <c r="V214" s="101"/>
      <c r="W214" s="101"/>
      <c r="X214" s="101">
        <f t="shared" si="162"/>
        <v>0</v>
      </c>
      <c r="Y214" s="101">
        <f t="shared" si="163"/>
        <v>0</v>
      </c>
      <c r="Z214" s="101">
        <f t="shared" si="151"/>
        <v>0</v>
      </c>
    </row>
    <row r="215" spans="1:26" ht="34.5" x14ac:dyDescent="0.25">
      <c r="A215" s="85"/>
      <c r="B215" s="113"/>
      <c r="C215" s="118" t="s">
        <v>565</v>
      </c>
      <c r="D215" s="115"/>
      <c r="E215" s="102"/>
      <c r="F215" s="102"/>
      <c r="G215" s="102"/>
      <c r="H215" s="102"/>
      <c r="I215" s="102">
        <f t="shared" si="147"/>
        <v>0</v>
      </c>
      <c r="J215" s="102"/>
      <c r="K215" s="102"/>
      <c r="L215" s="102"/>
      <c r="M215" s="102"/>
      <c r="N215" s="102">
        <f t="shared" si="152"/>
        <v>0</v>
      </c>
      <c r="O215" s="102"/>
      <c r="P215" s="102"/>
      <c r="Q215" s="102"/>
      <c r="R215" s="102"/>
      <c r="S215" s="102">
        <f t="shared" si="153"/>
        <v>0</v>
      </c>
      <c r="T215" s="101"/>
      <c r="U215" s="101"/>
      <c r="V215" s="101"/>
      <c r="W215" s="101"/>
      <c r="X215" s="101">
        <f t="shared" si="162"/>
        <v>0</v>
      </c>
      <c r="Y215" s="101">
        <f t="shared" si="163"/>
        <v>0</v>
      </c>
      <c r="Z215" s="101">
        <f t="shared" si="151"/>
        <v>0</v>
      </c>
    </row>
    <row r="216" spans="1:26" ht="45.75" x14ac:dyDescent="0.25">
      <c r="A216" s="85"/>
      <c r="B216" s="113"/>
      <c r="C216" s="118" t="s">
        <v>566</v>
      </c>
      <c r="D216" s="115"/>
      <c r="E216" s="102"/>
      <c r="F216" s="102"/>
      <c r="G216" s="102"/>
      <c r="H216" s="102"/>
      <c r="I216" s="102">
        <f t="shared" si="147"/>
        <v>0</v>
      </c>
      <c r="J216" s="102"/>
      <c r="K216" s="102"/>
      <c r="L216" s="102"/>
      <c r="M216" s="102"/>
      <c r="N216" s="102">
        <f t="shared" si="152"/>
        <v>0</v>
      </c>
      <c r="O216" s="102"/>
      <c r="P216" s="102"/>
      <c r="Q216" s="102"/>
      <c r="R216" s="102"/>
      <c r="S216" s="102">
        <f t="shared" si="153"/>
        <v>0</v>
      </c>
      <c r="T216" s="101"/>
      <c r="U216" s="101"/>
      <c r="V216" s="101"/>
      <c r="W216" s="101"/>
      <c r="X216" s="101">
        <f t="shared" si="162"/>
        <v>0</v>
      </c>
      <c r="Y216" s="101">
        <f t="shared" si="163"/>
        <v>0</v>
      </c>
      <c r="Z216" s="101">
        <f t="shared" si="151"/>
        <v>0</v>
      </c>
    </row>
    <row r="217" spans="1:26" ht="79.5" x14ac:dyDescent="0.25">
      <c r="A217" s="85"/>
      <c r="B217" s="113"/>
      <c r="C217" s="118" t="s">
        <v>567</v>
      </c>
      <c r="D217" s="115"/>
      <c r="E217" s="102"/>
      <c r="F217" s="102"/>
      <c r="G217" s="102"/>
      <c r="H217" s="102"/>
      <c r="I217" s="102">
        <f t="shared" si="147"/>
        <v>0</v>
      </c>
      <c r="J217" s="102"/>
      <c r="K217" s="102"/>
      <c r="L217" s="102"/>
      <c r="M217" s="102"/>
      <c r="N217" s="102">
        <f t="shared" si="152"/>
        <v>0</v>
      </c>
      <c r="O217" s="102"/>
      <c r="P217" s="102"/>
      <c r="Q217" s="102"/>
      <c r="R217" s="102"/>
      <c r="S217" s="102">
        <f t="shared" si="153"/>
        <v>0</v>
      </c>
      <c r="T217" s="101"/>
      <c r="U217" s="101"/>
      <c r="V217" s="101"/>
      <c r="W217" s="101"/>
      <c r="X217" s="101">
        <f t="shared" si="162"/>
        <v>0</v>
      </c>
      <c r="Y217" s="101">
        <f t="shared" si="163"/>
        <v>0</v>
      </c>
      <c r="Z217" s="101">
        <f t="shared" si="151"/>
        <v>0</v>
      </c>
    </row>
    <row r="218" spans="1:26" ht="45.75" x14ac:dyDescent="0.25">
      <c r="A218" s="85"/>
      <c r="B218" s="113"/>
      <c r="C218" s="118" t="s">
        <v>568</v>
      </c>
      <c r="D218" s="115"/>
      <c r="E218" s="102"/>
      <c r="F218" s="102"/>
      <c r="G218" s="102"/>
      <c r="H218" s="102"/>
      <c r="I218" s="102">
        <f t="shared" si="147"/>
        <v>0</v>
      </c>
      <c r="J218" s="102"/>
      <c r="K218" s="102"/>
      <c r="L218" s="102"/>
      <c r="M218" s="102"/>
      <c r="N218" s="102">
        <f t="shared" si="152"/>
        <v>0</v>
      </c>
      <c r="O218" s="102"/>
      <c r="P218" s="102"/>
      <c r="Q218" s="102"/>
      <c r="R218" s="102"/>
      <c r="S218" s="102">
        <f t="shared" si="153"/>
        <v>0</v>
      </c>
      <c r="T218" s="101"/>
      <c r="U218" s="101"/>
      <c r="V218" s="101"/>
      <c r="W218" s="101"/>
      <c r="X218" s="101">
        <f t="shared" si="162"/>
        <v>0</v>
      </c>
      <c r="Y218" s="101">
        <f t="shared" si="163"/>
        <v>0</v>
      </c>
      <c r="Z218" s="101">
        <f t="shared" si="151"/>
        <v>0</v>
      </c>
    </row>
    <row r="219" spans="1:26" ht="23.25" x14ac:dyDescent="0.25">
      <c r="A219" s="85"/>
      <c r="B219" s="113"/>
      <c r="C219" s="118" t="s">
        <v>569</v>
      </c>
      <c r="D219" s="115"/>
      <c r="E219" s="102"/>
      <c r="F219" s="102"/>
      <c r="G219" s="102"/>
      <c r="H219" s="102"/>
      <c r="I219" s="102">
        <f t="shared" si="147"/>
        <v>0</v>
      </c>
      <c r="J219" s="102"/>
      <c r="K219" s="102"/>
      <c r="L219" s="102"/>
      <c r="M219" s="102"/>
      <c r="N219" s="102">
        <f t="shared" si="152"/>
        <v>0</v>
      </c>
      <c r="O219" s="102"/>
      <c r="P219" s="102"/>
      <c r="Q219" s="102"/>
      <c r="R219" s="102"/>
      <c r="S219" s="102">
        <f t="shared" si="153"/>
        <v>0</v>
      </c>
      <c r="T219" s="101"/>
      <c r="U219" s="101"/>
      <c r="V219" s="101"/>
      <c r="W219" s="101"/>
      <c r="X219" s="101">
        <f t="shared" si="162"/>
        <v>0</v>
      </c>
      <c r="Y219" s="101">
        <f t="shared" si="163"/>
        <v>0</v>
      </c>
      <c r="Z219" s="101">
        <f t="shared" si="151"/>
        <v>0</v>
      </c>
    </row>
    <row r="220" spans="1:26" ht="33.75" x14ac:dyDescent="0.25">
      <c r="A220" s="85"/>
      <c r="B220" s="113"/>
      <c r="C220" s="184" t="s">
        <v>570</v>
      </c>
      <c r="D220" s="115">
        <f>SUM(D222:D228)</f>
        <v>0</v>
      </c>
      <c r="E220" s="98">
        <f>SUM(E222:E228)</f>
        <v>0</v>
      </c>
      <c r="F220" s="98">
        <f t="shared" ref="F220:H220" si="164">SUM(F222:F228)</f>
        <v>0</v>
      </c>
      <c r="G220" s="98">
        <f t="shared" si="164"/>
        <v>0</v>
      </c>
      <c r="H220" s="98">
        <f t="shared" si="164"/>
        <v>0</v>
      </c>
      <c r="I220" s="98">
        <f t="shared" si="147"/>
        <v>0</v>
      </c>
      <c r="J220" s="98">
        <f>SUM(J222:J228)</f>
        <v>0</v>
      </c>
      <c r="K220" s="98">
        <f t="shared" ref="K220:M220" si="165">SUM(K222:K228)</f>
        <v>0</v>
      </c>
      <c r="L220" s="98">
        <f t="shared" si="165"/>
        <v>0</v>
      </c>
      <c r="M220" s="98">
        <f t="shared" si="165"/>
        <v>0</v>
      </c>
      <c r="N220" s="98">
        <f t="shared" si="152"/>
        <v>0</v>
      </c>
      <c r="O220" s="98">
        <f>SUM(O222:O228)</f>
        <v>0</v>
      </c>
      <c r="P220" s="98">
        <f t="shared" ref="P220:R220" si="166">SUM(P222:P228)</f>
        <v>0</v>
      </c>
      <c r="Q220" s="98">
        <f t="shared" si="166"/>
        <v>0</v>
      </c>
      <c r="R220" s="98">
        <f t="shared" si="166"/>
        <v>0</v>
      </c>
      <c r="S220" s="98">
        <f t="shared" si="153"/>
        <v>0</v>
      </c>
      <c r="T220" s="98">
        <f>SUM(T222:T228)</f>
        <v>0</v>
      </c>
      <c r="U220" s="98">
        <f t="shared" ref="U220:W220" si="167">SUM(U222:U228)</f>
        <v>0</v>
      </c>
      <c r="V220" s="98">
        <f t="shared" si="167"/>
        <v>0</v>
      </c>
      <c r="W220" s="98">
        <f t="shared" si="167"/>
        <v>0</v>
      </c>
      <c r="X220" s="98">
        <f t="shared" si="162"/>
        <v>0</v>
      </c>
      <c r="Y220" s="98">
        <f t="shared" si="163"/>
        <v>0</v>
      </c>
      <c r="Z220" s="98">
        <f t="shared" si="151"/>
        <v>0</v>
      </c>
    </row>
    <row r="221" spans="1:26" x14ac:dyDescent="0.25">
      <c r="A221" s="85"/>
      <c r="B221" s="113"/>
      <c r="C221" s="100" t="s">
        <v>358</v>
      </c>
      <c r="D221" s="115"/>
      <c r="E221" s="102"/>
      <c r="F221" s="102"/>
      <c r="G221" s="102"/>
      <c r="H221" s="102"/>
      <c r="I221" s="102">
        <f t="shared" si="147"/>
        <v>0</v>
      </c>
      <c r="J221" s="102"/>
      <c r="K221" s="102"/>
      <c r="L221" s="102"/>
      <c r="M221" s="102"/>
      <c r="N221" s="102">
        <f t="shared" si="152"/>
        <v>0</v>
      </c>
      <c r="O221" s="102"/>
      <c r="P221" s="102"/>
      <c r="Q221" s="102"/>
      <c r="R221" s="102"/>
      <c r="S221" s="102">
        <f t="shared" si="153"/>
        <v>0</v>
      </c>
      <c r="T221" s="101"/>
      <c r="U221" s="101"/>
      <c r="V221" s="101"/>
      <c r="W221" s="101"/>
      <c r="X221" s="101">
        <f t="shared" si="162"/>
        <v>0</v>
      </c>
      <c r="Y221" s="101">
        <f t="shared" si="163"/>
        <v>0</v>
      </c>
      <c r="Z221" s="101">
        <f t="shared" si="151"/>
        <v>0</v>
      </c>
    </row>
    <row r="222" spans="1:26" ht="45.75" x14ac:dyDescent="0.25">
      <c r="A222" s="85"/>
      <c r="B222" s="113"/>
      <c r="C222" s="118" t="s">
        <v>571</v>
      </c>
      <c r="D222" s="115"/>
      <c r="E222" s="102"/>
      <c r="F222" s="102"/>
      <c r="G222" s="102"/>
      <c r="H222" s="102"/>
      <c r="I222" s="102">
        <f t="shared" si="147"/>
        <v>0</v>
      </c>
      <c r="J222" s="102"/>
      <c r="K222" s="102"/>
      <c r="L222" s="102"/>
      <c r="M222" s="102"/>
      <c r="N222" s="102">
        <f t="shared" si="152"/>
        <v>0</v>
      </c>
      <c r="O222" s="102"/>
      <c r="P222" s="102"/>
      <c r="Q222" s="102"/>
      <c r="R222" s="102"/>
      <c r="S222" s="102">
        <f t="shared" si="153"/>
        <v>0</v>
      </c>
      <c r="T222" s="101"/>
      <c r="U222" s="101"/>
      <c r="V222" s="101"/>
      <c r="W222" s="101"/>
      <c r="X222" s="101">
        <f t="shared" si="162"/>
        <v>0</v>
      </c>
      <c r="Y222" s="101">
        <f t="shared" si="163"/>
        <v>0</v>
      </c>
      <c r="Z222" s="101">
        <f t="shared" si="151"/>
        <v>0</v>
      </c>
    </row>
    <row r="223" spans="1:26" ht="23.25" x14ac:dyDescent="0.25">
      <c r="A223" s="85"/>
      <c r="B223" s="113"/>
      <c r="C223" s="193" t="s">
        <v>572</v>
      </c>
      <c r="D223" s="115"/>
      <c r="E223" s="102"/>
      <c r="F223" s="102"/>
      <c r="G223" s="102"/>
      <c r="H223" s="102"/>
      <c r="I223" s="102">
        <f t="shared" si="147"/>
        <v>0</v>
      </c>
      <c r="J223" s="102"/>
      <c r="K223" s="102"/>
      <c r="L223" s="102"/>
      <c r="M223" s="102"/>
      <c r="N223" s="102">
        <f t="shared" si="152"/>
        <v>0</v>
      </c>
      <c r="O223" s="102"/>
      <c r="P223" s="102"/>
      <c r="Q223" s="102"/>
      <c r="R223" s="102"/>
      <c r="S223" s="102">
        <f t="shared" si="153"/>
        <v>0</v>
      </c>
      <c r="T223" s="101"/>
      <c r="U223" s="101"/>
      <c r="V223" s="101"/>
      <c r="W223" s="101"/>
      <c r="X223" s="101">
        <f t="shared" si="162"/>
        <v>0</v>
      </c>
      <c r="Y223" s="101">
        <f t="shared" si="163"/>
        <v>0</v>
      </c>
      <c r="Z223" s="101">
        <f t="shared" si="151"/>
        <v>0</v>
      </c>
    </row>
    <row r="224" spans="1:26" ht="45.75" x14ac:dyDescent="0.25">
      <c r="A224" s="85"/>
      <c r="B224" s="113"/>
      <c r="C224" s="193" t="s">
        <v>573</v>
      </c>
      <c r="D224" s="115"/>
      <c r="E224" s="102"/>
      <c r="F224" s="102"/>
      <c r="G224" s="102"/>
      <c r="H224" s="102"/>
      <c r="I224" s="102">
        <f t="shared" si="147"/>
        <v>0</v>
      </c>
      <c r="J224" s="102"/>
      <c r="K224" s="102"/>
      <c r="L224" s="102"/>
      <c r="M224" s="102"/>
      <c r="N224" s="102">
        <f t="shared" si="152"/>
        <v>0</v>
      </c>
      <c r="O224" s="102"/>
      <c r="P224" s="102"/>
      <c r="Q224" s="102"/>
      <c r="R224" s="102"/>
      <c r="S224" s="102">
        <f t="shared" si="153"/>
        <v>0</v>
      </c>
      <c r="T224" s="101"/>
      <c r="U224" s="101"/>
      <c r="V224" s="101"/>
      <c r="W224" s="101"/>
      <c r="X224" s="101">
        <f t="shared" si="162"/>
        <v>0</v>
      </c>
      <c r="Y224" s="101">
        <f t="shared" si="163"/>
        <v>0</v>
      </c>
      <c r="Z224" s="101">
        <f t="shared" si="151"/>
        <v>0</v>
      </c>
    </row>
    <row r="225" spans="1:26" ht="34.5" x14ac:dyDescent="0.25">
      <c r="A225" s="85"/>
      <c r="B225" s="113"/>
      <c r="C225" s="193" t="s">
        <v>574</v>
      </c>
      <c r="D225" s="115"/>
      <c r="E225" s="102"/>
      <c r="F225" s="102"/>
      <c r="G225" s="102"/>
      <c r="H225" s="102"/>
      <c r="I225" s="102">
        <f t="shared" si="147"/>
        <v>0</v>
      </c>
      <c r="J225" s="102"/>
      <c r="K225" s="102"/>
      <c r="L225" s="102"/>
      <c r="M225" s="102"/>
      <c r="N225" s="102">
        <f t="shared" si="152"/>
        <v>0</v>
      </c>
      <c r="O225" s="102"/>
      <c r="P225" s="102"/>
      <c r="Q225" s="102"/>
      <c r="R225" s="102"/>
      <c r="S225" s="102">
        <f t="shared" si="153"/>
        <v>0</v>
      </c>
      <c r="T225" s="101"/>
      <c r="U225" s="101"/>
      <c r="V225" s="101"/>
      <c r="W225" s="101"/>
      <c r="X225" s="101">
        <f t="shared" si="162"/>
        <v>0</v>
      </c>
      <c r="Y225" s="101">
        <f t="shared" si="163"/>
        <v>0</v>
      </c>
      <c r="Z225" s="101">
        <f t="shared" si="151"/>
        <v>0</v>
      </c>
    </row>
    <row r="226" spans="1:26" ht="34.5" x14ac:dyDescent="0.25">
      <c r="A226" s="85"/>
      <c r="B226" s="113"/>
      <c r="C226" s="193" t="s">
        <v>575</v>
      </c>
      <c r="D226" s="115"/>
      <c r="E226" s="102"/>
      <c r="F226" s="102"/>
      <c r="G226" s="102"/>
      <c r="H226" s="102"/>
      <c r="I226" s="102">
        <f t="shared" si="147"/>
        <v>0</v>
      </c>
      <c r="J226" s="102"/>
      <c r="K226" s="102"/>
      <c r="L226" s="102"/>
      <c r="M226" s="102"/>
      <c r="N226" s="102">
        <f t="shared" si="152"/>
        <v>0</v>
      </c>
      <c r="O226" s="102"/>
      <c r="P226" s="102"/>
      <c r="Q226" s="102"/>
      <c r="R226" s="102"/>
      <c r="S226" s="102">
        <f t="shared" si="153"/>
        <v>0</v>
      </c>
      <c r="T226" s="101"/>
      <c r="U226" s="101"/>
      <c r="V226" s="101"/>
      <c r="W226" s="101"/>
      <c r="X226" s="101">
        <f t="shared" si="162"/>
        <v>0</v>
      </c>
      <c r="Y226" s="101">
        <f t="shared" si="163"/>
        <v>0</v>
      </c>
      <c r="Z226" s="101">
        <f t="shared" si="151"/>
        <v>0</v>
      </c>
    </row>
    <row r="227" spans="1:26" ht="34.5" x14ac:dyDescent="0.25">
      <c r="A227" s="85"/>
      <c r="B227" s="113"/>
      <c r="C227" s="193" t="s">
        <v>576</v>
      </c>
      <c r="D227" s="115"/>
      <c r="E227" s="102"/>
      <c r="F227" s="102"/>
      <c r="G227" s="102"/>
      <c r="H227" s="102"/>
      <c r="I227" s="102">
        <f t="shared" si="147"/>
        <v>0</v>
      </c>
      <c r="J227" s="102"/>
      <c r="K227" s="102"/>
      <c r="L227" s="102"/>
      <c r="M227" s="102"/>
      <c r="N227" s="102">
        <f t="shared" si="152"/>
        <v>0</v>
      </c>
      <c r="O227" s="102"/>
      <c r="P227" s="102"/>
      <c r="Q227" s="102"/>
      <c r="R227" s="102"/>
      <c r="S227" s="102">
        <f t="shared" si="153"/>
        <v>0</v>
      </c>
      <c r="T227" s="101"/>
      <c r="U227" s="101"/>
      <c r="V227" s="101"/>
      <c r="W227" s="101"/>
      <c r="X227" s="101">
        <f t="shared" si="162"/>
        <v>0</v>
      </c>
      <c r="Y227" s="101">
        <f t="shared" si="163"/>
        <v>0</v>
      </c>
      <c r="Z227" s="101">
        <f t="shared" si="151"/>
        <v>0</v>
      </c>
    </row>
    <row r="228" spans="1:26" ht="34.5" x14ac:dyDescent="0.25">
      <c r="A228" s="85"/>
      <c r="B228" s="113"/>
      <c r="C228" s="118" t="s">
        <v>577</v>
      </c>
      <c r="D228" s="115"/>
      <c r="E228" s="102"/>
      <c r="F228" s="102"/>
      <c r="G228" s="102"/>
      <c r="H228" s="102"/>
      <c r="I228" s="102">
        <f t="shared" si="147"/>
        <v>0</v>
      </c>
      <c r="J228" s="102"/>
      <c r="K228" s="102"/>
      <c r="L228" s="102"/>
      <c r="M228" s="102"/>
      <c r="N228" s="102">
        <f t="shared" si="152"/>
        <v>0</v>
      </c>
      <c r="O228" s="102"/>
      <c r="P228" s="102"/>
      <c r="Q228" s="102"/>
      <c r="R228" s="102"/>
      <c r="S228" s="102">
        <f t="shared" si="153"/>
        <v>0</v>
      </c>
      <c r="T228" s="101"/>
      <c r="U228" s="101"/>
      <c r="V228" s="101"/>
      <c r="W228" s="101"/>
      <c r="X228" s="101">
        <f t="shared" si="162"/>
        <v>0</v>
      </c>
      <c r="Y228" s="101">
        <f t="shared" si="163"/>
        <v>0</v>
      </c>
      <c r="Z228" s="101">
        <f t="shared" si="151"/>
        <v>0</v>
      </c>
    </row>
    <row r="229" spans="1:26" x14ac:dyDescent="0.25">
      <c r="A229" s="85"/>
      <c r="C229" s="116"/>
      <c r="D229"/>
      <c r="E229" s="132"/>
      <c r="F229" s="132"/>
      <c r="G229" s="132"/>
      <c r="H229" s="132"/>
      <c r="I229" s="132"/>
      <c r="J229" s="132"/>
      <c r="K229" s="132"/>
      <c r="L229" s="132"/>
      <c r="M229" s="132"/>
      <c r="N229" s="132"/>
      <c r="O229" s="132"/>
      <c r="P229" s="132"/>
      <c r="Q229" s="132"/>
      <c r="R229" s="132"/>
      <c r="S229" s="132"/>
      <c r="T229" s="132"/>
      <c r="U229" s="132"/>
      <c r="V229" s="132"/>
      <c r="W229" s="132"/>
      <c r="X229" s="132"/>
      <c r="Y229" s="132"/>
      <c r="Z229" s="132"/>
    </row>
    <row r="230" spans="1:26" ht="18" x14ac:dyDescent="0.25">
      <c r="A230" s="85"/>
      <c r="C230" s="194" t="s">
        <v>0</v>
      </c>
      <c r="D230" s="195">
        <f>D3+D70+D113+D163+D199</f>
        <v>666217</v>
      </c>
      <c r="E230" s="196"/>
      <c r="F230" s="196"/>
      <c r="G230" s="196"/>
      <c r="H230" s="196"/>
      <c r="I230" s="196"/>
      <c r="J230" s="196"/>
      <c r="K230" s="196"/>
      <c r="L230" s="196"/>
      <c r="M230" s="196"/>
      <c r="N230" s="196"/>
      <c r="O230" s="196"/>
      <c r="P230" s="196"/>
      <c r="Q230" s="196"/>
      <c r="R230" s="196"/>
      <c r="S230" s="196"/>
      <c r="T230" s="196"/>
      <c r="U230" s="196"/>
      <c r="V230" s="196"/>
      <c r="W230" s="196"/>
      <c r="X230" s="196"/>
      <c r="Y230" s="196"/>
      <c r="Z230" s="132"/>
    </row>
    <row r="231" spans="1:26" x14ac:dyDescent="0.25">
      <c r="D231" s="197"/>
      <c r="E231" s="132"/>
      <c r="F231" s="132"/>
      <c r="G231" s="132"/>
      <c r="H231" s="132"/>
      <c r="I231" s="132"/>
      <c r="J231" s="132"/>
      <c r="K231" s="132"/>
      <c r="L231" s="132"/>
      <c r="M231" s="132"/>
      <c r="N231" s="132"/>
      <c r="O231" s="132"/>
      <c r="P231" s="132"/>
      <c r="Q231" s="132"/>
      <c r="R231" s="132"/>
      <c r="S231" s="132"/>
      <c r="T231" s="132"/>
      <c r="U231" s="132"/>
      <c r="V231" s="132"/>
      <c r="W231" s="132"/>
      <c r="X231" s="132"/>
      <c r="Y231" s="132"/>
      <c r="Z231" s="132"/>
    </row>
    <row r="232" spans="1:26" x14ac:dyDescent="0.25">
      <c r="D232" s="197"/>
      <c r="E232" s="132"/>
      <c r="F232" s="132"/>
      <c r="G232" s="132"/>
      <c r="H232" s="132"/>
      <c r="I232" s="132"/>
      <c r="J232" s="132"/>
      <c r="K232" s="132"/>
      <c r="L232" s="132"/>
      <c r="M232" s="132"/>
      <c r="N232" s="132"/>
      <c r="O232" s="132"/>
      <c r="P232" s="132"/>
      <c r="Q232" s="132"/>
      <c r="R232" s="132"/>
      <c r="S232" s="132"/>
      <c r="T232" s="132"/>
      <c r="U232" s="132"/>
      <c r="V232" s="132"/>
      <c r="W232" s="132"/>
      <c r="X232" s="132"/>
      <c r="Y232" s="132"/>
      <c r="Z232" s="132"/>
    </row>
    <row r="233" spans="1:26" x14ac:dyDescent="0.25">
      <c r="D233" s="197"/>
      <c r="E233" s="132"/>
      <c r="F233" s="132"/>
      <c r="G233" s="132"/>
      <c r="H233" s="132"/>
      <c r="I233" s="132"/>
      <c r="J233" s="132"/>
      <c r="K233" s="132"/>
      <c r="L233" s="132"/>
      <c r="M233" s="132"/>
      <c r="N233" s="132"/>
      <c r="O233" s="132"/>
      <c r="P233" s="132"/>
      <c r="Q233" s="132"/>
      <c r="R233" s="132"/>
      <c r="S233" s="132"/>
      <c r="T233" s="132"/>
      <c r="U233" s="132"/>
      <c r="V233" s="132"/>
      <c r="W233" s="132"/>
      <c r="X233" s="132"/>
      <c r="Y233" s="132"/>
      <c r="Z233" s="132"/>
    </row>
    <row r="234" spans="1:26" x14ac:dyDescent="0.25">
      <c r="D234" s="197"/>
      <c r="E234" s="132"/>
      <c r="F234" s="132"/>
      <c r="G234" s="132"/>
      <c r="H234" s="132"/>
      <c r="I234" s="132"/>
      <c r="J234" s="132"/>
      <c r="K234" s="132"/>
      <c r="L234" s="132"/>
      <c r="M234" s="132"/>
      <c r="N234" s="132"/>
      <c r="O234" s="132"/>
      <c r="P234" s="132"/>
      <c r="Q234" s="132"/>
      <c r="R234" s="132"/>
      <c r="S234" s="132"/>
      <c r="T234" s="132"/>
      <c r="U234" s="132"/>
      <c r="V234" s="132"/>
      <c r="W234" s="132"/>
      <c r="X234" s="132"/>
      <c r="Y234" s="132"/>
      <c r="Z234" s="132"/>
    </row>
    <row r="235" spans="1:26" x14ac:dyDescent="0.25">
      <c r="D235" s="197"/>
      <c r="E235" s="132"/>
      <c r="F235" s="132"/>
      <c r="G235" s="132"/>
      <c r="H235" s="132"/>
      <c r="I235" s="132"/>
      <c r="J235" s="132"/>
      <c r="K235" s="132"/>
      <c r="L235" s="132"/>
      <c r="M235" s="132"/>
      <c r="N235" s="132"/>
      <c r="O235" s="132"/>
      <c r="P235" s="132"/>
      <c r="Q235" s="132"/>
      <c r="R235" s="132"/>
      <c r="S235" s="132"/>
      <c r="T235" s="132"/>
      <c r="U235" s="132"/>
      <c r="V235" s="132"/>
      <c r="W235" s="132"/>
      <c r="X235" s="132"/>
      <c r="Y235" s="132"/>
      <c r="Z235" s="132"/>
    </row>
    <row r="236" spans="1:26" x14ac:dyDescent="0.25">
      <c r="D236" s="197"/>
      <c r="E236" s="132"/>
      <c r="F236" s="132"/>
      <c r="G236" s="132"/>
      <c r="H236" s="132"/>
      <c r="I236" s="132"/>
      <c r="J236" s="132"/>
      <c r="K236" s="132"/>
      <c r="L236" s="132"/>
      <c r="M236" s="132"/>
      <c r="N236" s="132"/>
      <c r="O236" s="132"/>
      <c r="P236" s="132"/>
      <c r="Q236" s="132"/>
      <c r="R236" s="132"/>
      <c r="S236" s="132"/>
      <c r="T236" s="132"/>
      <c r="U236" s="132"/>
      <c r="V236" s="132"/>
      <c r="W236" s="132"/>
      <c r="X236" s="132"/>
      <c r="Y236" s="132"/>
      <c r="Z236" s="132"/>
    </row>
    <row r="237" spans="1:26" x14ac:dyDescent="0.25">
      <c r="D237" s="197"/>
      <c r="E237" s="132"/>
      <c r="F237" s="132"/>
      <c r="G237" s="132"/>
      <c r="H237" s="132"/>
      <c r="I237" s="132"/>
      <c r="J237" s="132"/>
      <c r="K237" s="132"/>
      <c r="L237" s="132"/>
      <c r="M237" s="132"/>
      <c r="N237" s="132"/>
      <c r="O237" s="132"/>
      <c r="P237" s="132"/>
      <c r="Q237" s="132"/>
      <c r="R237" s="132"/>
      <c r="S237" s="132"/>
      <c r="T237" s="132"/>
      <c r="U237" s="132"/>
      <c r="V237" s="132"/>
      <c r="W237" s="132"/>
      <c r="X237" s="132"/>
      <c r="Y237" s="132"/>
      <c r="Z237" s="132"/>
    </row>
    <row r="238" spans="1:26" x14ac:dyDescent="0.25">
      <c r="D238" s="197"/>
      <c r="E238" s="132"/>
      <c r="F238" s="132"/>
      <c r="G238" s="132"/>
      <c r="H238" s="132"/>
      <c r="I238" s="132"/>
      <c r="J238" s="132"/>
      <c r="K238" s="132"/>
      <c r="L238" s="132"/>
      <c r="M238" s="132"/>
      <c r="N238" s="132"/>
      <c r="O238" s="132"/>
      <c r="P238" s="132"/>
      <c r="Q238" s="132"/>
      <c r="R238" s="132"/>
      <c r="S238" s="132"/>
      <c r="T238" s="132"/>
      <c r="U238" s="132"/>
      <c r="V238" s="132"/>
      <c r="W238" s="132"/>
      <c r="X238" s="132"/>
      <c r="Y238" s="132"/>
      <c r="Z238" s="132"/>
    </row>
    <row r="239" spans="1:26" x14ac:dyDescent="0.25">
      <c r="D239" s="197"/>
    </row>
    <row r="240" spans="1:26" x14ac:dyDescent="0.25">
      <c r="D240" s="197"/>
    </row>
    <row r="241" spans="4:4" x14ac:dyDescent="0.25">
      <c r="D241" s="197"/>
    </row>
    <row r="242" spans="4:4" x14ac:dyDescent="0.25">
      <c r="D242" s="197"/>
    </row>
    <row r="243" spans="4:4" x14ac:dyDescent="0.25">
      <c r="D243" s="197"/>
    </row>
    <row r="244" spans="4:4" x14ac:dyDescent="0.25">
      <c r="D244" s="197"/>
    </row>
    <row r="245" spans="4:4" x14ac:dyDescent="0.25">
      <c r="D245" s="197"/>
    </row>
    <row r="246" spans="4:4" x14ac:dyDescent="0.25">
      <c r="D246" s="197"/>
    </row>
    <row r="247" spans="4:4" x14ac:dyDescent="0.25">
      <c r="D247" s="197"/>
    </row>
    <row r="248" spans="4:4" x14ac:dyDescent="0.25">
      <c r="D248" s="197"/>
    </row>
    <row r="249" spans="4:4" x14ac:dyDescent="0.25">
      <c r="D249" s="197"/>
    </row>
    <row r="250" spans="4:4" x14ac:dyDescent="0.25">
      <c r="D250" s="197"/>
    </row>
    <row r="251" spans="4:4" x14ac:dyDescent="0.25">
      <c r="D251" s="197"/>
    </row>
    <row r="252" spans="4:4" x14ac:dyDescent="0.25">
      <c r="D252" s="197"/>
    </row>
    <row r="253" spans="4:4" x14ac:dyDescent="0.25">
      <c r="D253" s="197"/>
    </row>
    <row r="254" spans="4:4" x14ac:dyDescent="0.25">
      <c r="D254" s="197"/>
    </row>
    <row r="255" spans="4:4" x14ac:dyDescent="0.25">
      <c r="D255" s="197"/>
    </row>
    <row r="256" spans="4:4" x14ac:dyDescent="0.25">
      <c r="D256" s="197"/>
    </row>
    <row r="257" spans="4:4" x14ac:dyDescent="0.25">
      <c r="D257" s="197"/>
    </row>
    <row r="258" spans="4:4" x14ac:dyDescent="0.25">
      <c r="D258" s="197"/>
    </row>
    <row r="259" spans="4:4" x14ac:dyDescent="0.25">
      <c r="D259" s="197"/>
    </row>
    <row r="260" spans="4:4" x14ac:dyDescent="0.25">
      <c r="D260" s="197"/>
    </row>
    <row r="261" spans="4:4" x14ac:dyDescent="0.25">
      <c r="D261" s="197"/>
    </row>
    <row r="262" spans="4:4" x14ac:dyDescent="0.25">
      <c r="D262" s="197"/>
    </row>
    <row r="263" spans="4:4" x14ac:dyDescent="0.25">
      <c r="D263" s="197"/>
    </row>
    <row r="264" spans="4:4" x14ac:dyDescent="0.25">
      <c r="D264" s="197"/>
    </row>
    <row r="265" spans="4:4" x14ac:dyDescent="0.25">
      <c r="D265" s="197"/>
    </row>
    <row r="266" spans="4:4" x14ac:dyDescent="0.25">
      <c r="D266" s="197"/>
    </row>
    <row r="267" spans="4:4" x14ac:dyDescent="0.25">
      <c r="D267" s="197"/>
    </row>
  </sheetData>
  <mergeCells count="7">
    <mergeCell ref="A166:A168"/>
    <mergeCell ref="E1:I1"/>
    <mergeCell ref="J1:N1"/>
    <mergeCell ref="O1:S1"/>
    <mergeCell ref="T1:X1"/>
    <mergeCell ref="B7:B8"/>
    <mergeCell ref="A37:A40"/>
  </mergeCells>
  <pageMargins left="0.7" right="0.7" top="0.75" bottom="0.75" header="0.3" footer="0.3"/>
  <legacy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70</vt:i4>
      </vt:variant>
    </vt:vector>
  </HeadingPairs>
  <TitlesOfParts>
    <vt:vector size="74" baseType="lpstr">
      <vt:lpstr>ფინანსური ცხრილი</vt:lpstr>
      <vt:lpstr>F.T ENG</vt:lpstr>
      <vt:lpstr>LS</vt:lpstr>
      <vt:lpstr>Sheet1</vt:lpstr>
      <vt:lpstr>'F.T ENG'!_Toc499105478</vt:lpstr>
      <vt:lpstr>'ფინანსური ცხრილი'!_Toc499105478</vt:lpstr>
      <vt:lpstr>'F.T ENG'!_Toc499105479</vt:lpstr>
      <vt:lpstr>'ფინანსური ცხრილი'!_Toc499105479</vt:lpstr>
      <vt:lpstr>'F.T ENG'!_Toc499105480</vt:lpstr>
      <vt:lpstr>'ფინანსური ცხრილი'!_Toc499105480</vt:lpstr>
      <vt:lpstr>'F.T ENG'!_Toc499105481</vt:lpstr>
      <vt:lpstr>'ფინანსური ცხრილი'!_Toc499105481</vt:lpstr>
      <vt:lpstr>'F.T ENG'!_Toc499105482</vt:lpstr>
      <vt:lpstr>'ფინანსური ცხრილი'!_Toc499105482</vt:lpstr>
      <vt:lpstr>'F.T ENG'!_Toc499105483</vt:lpstr>
      <vt:lpstr>'ფინანსური ცხრილი'!_Toc499105483</vt:lpstr>
      <vt:lpstr>'F.T ENG'!_Toc499105484</vt:lpstr>
      <vt:lpstr>'ფინანსური ცხრილი'!_Toc499105484</vt:lpstr>
      <vt:lpstr>'F.T ENG'!_Toc499105485</vt:lpstr>
      <vt:lpstr>'ფინანსური ცხრილი'!_Toc499105485</vt:lpstr>
      <vt:lpstr>'F.T ENG'!_Toc499105486</vt:lpstr>
      <vt:lpstr>'ფინანსური ცხრილი'!_Toc499105486</vt:lpstr>
      <vt:lpstr>'F.T ENG'!_Toc499105487</vt:lpstr>
      <vt:lpstr>'ფინანსური ცხრილი'!_Toc499105487</vt:lpstr>
      <vt:lpstr>'F.T ENG'!_Toc499105490</vt:lpstr>
      <vt:lpstr>'ფინანსური ცხრილი'!_Toc499105490</vt:lpstr>
      <vt:lpstr>'F.T ENG'!_Toc499105491</vt:lpstr>
      <vt:lpstr>'ფინანსური ცხრილი'!_Toc499105491</vt:lpstr>
      <vt:lpstr>'F.T ENG'!_Toc499105492</vt:lpstr>
      <vt:lpstr>'ფინანსური ცხრილი'!_Toc499105492</vt:lpstr>
      <vt:lpstr>'F.T ENG'!_Toc499105493</vt:lpstr>
      <vt:lpstr>'ფინანსური ცხრილი'!_Toc499105493</vt:lpstr>
      <vt:lpstr>'F.T ENG'!_Toc499105494</vt:lpstr>
      <vt:lpstr>'ფინანსური ცხრილი'!_Toc499105494</vt:lpstr>
      <vt:lpstr>'F.T ENG'!_Toc499105495</vt:lpstr>
      <vt:lpstr>'ფინანსური ცხრილი'!_Toc499105495</vt:lpstr>
      <vt:lpstr>'F.T ENG'!_Toc499105496</vt:lpstr>
      <vt:lpstr>'ფინანსური ცხრილი'!_Toc499105496</vt:lpstr>
      <vt:lpstr>'F.T ENG'!_Toc499105497</vt:lpstr>
      <vt:lpstr>'ფინანსური ცხრილი'!_Toc499105497</vt:lpstr>
      <vt:lpstr>'F.T ENG'!_Toc499105498</vt:lpstr>
      <vt:lpstr>'ფინანსური ცხრილი'!_Toc499105498</vt:lpstr>
      <vt:lpstr>'F.T ENG'!_Toc499105499</vt:lpstr>
      <vt:lpstr>'ფინანსური ცხრილი'!_Toc499105499</vt:lpstr>
      <vt:lpstr>'F.T ENG'!_Toc499105500</vt:lpstr>
      <vt:lpstr>'ფინანსური ცხრილი'!_Toc499105500</vt:lpstr>
      <vt:lpstr>'F.T ENG'!_Toc499105501</vt:lpstr>
      <vt:lpstr>'ფინანსური ცხრილი'!_Toc499105501</vt:lpstr>
      <vt:lpstr>'F.T ENG'!_Toc499105502</vt:lpstr>
      <vt:lpstr>'ფინანსური ცხრილი'!_Toc499105502</vt:lpstr>
      <vt:lpstr>'F.T ENG'!_Toc499105503</vt:lpstr>
      <vt:lpstr>'ფინანსური ცხრილი'!_Toc499105503</vt:lpstr>
      <vt:lpstr>'F.T ENG'!_Toc499105504</vt:lpstr>
      <vt:lpstr>'ფინანსური ცხრილი'!_Toc499105504</vt:lpstr>
      <vt:lpstr>'F.T ENG'!_Toc499105505</vt:lpstr>
      <vt:lpstr>'ფინანსური ცხრილი'!_Toc499105505</vt:lpstr>
      <vt:lpstr>'F.T ENG'!_Toc499105506</vt:lpstr>
      <vt:lpstr>'ფინანსური ცხრილი'!_Toc499105506</vt:lpstr>
      <vt:lpstr>'F.T ENG'!_Toc499105507</vt:lpstr>
      <vt:lpstr>'ფინანსური ცხრილი'!_Toc499105507</vt:lpstr>
      <vt:lpstr>'F.T ENG'!_Toc499105508</vt:lpstr>
      <vt:lpstr>'ფინანსური ცხრილი'!_Toc499105508</vt:lpstr>
      <vt:lpstr>'F.T ENG'!_Toc499105509</vt:lpstr>
      <vt:lpstr>'ფინანსური ცხრილი'!_Toc499105509</vt:lpstr>
      <vt:lpstr>'F.T ENG'!_Toc499105510</vt:lpstr>
      <vt:lpstr>'ფინანსური ცხრილი'!_Toc499105510</vt:lpstr>
      <vt:lpstr>'F.T ENG'!_Toc499105511</vt:lpstr>
      <vt:lpstr>'ფინანსური ცხრილი'!_Toc499105511</vt:lpstr>
      <vt:lpstr>'F.T ENG'!_Toc499105512</vt:lpstr>
      <vt:lpstr>'ფინანსური ცხრილი'!_Toc499105512</vt:lpstr>
      <vt:lpstr>'F.T ENG'!_Toc499105513</vt:lpstr>
      <vt:lpstr>'ფინანსური ცხრილი'!_Toc499105513</vt:lpstr>
      <vt:lpstr>'F.T ENG'!_Toc499105514</vt:lpstr>
      <vt:lpstr>'ფინანსური ცხრილი'!_Toc499105514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MRDI</cp:lastModifiedBy>
  <cp:lastPrinted>2018-02-17T15:27:28Z</cp:lastPrinted>
  <dcterms:created xsi:type="dcterms:W3CDTF">2018-01-10T06:19:29Z</dcterms:created>
  <dcterms:modified xsi:type="dcterms:W3CDTF">2018-03-21T18:53:21Z</dcterms:modified>
</cp:coreProperties>
</file>