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65" windowWidth="14805" windowHeight="7650" tabRatio="864" firstSheet="7" activeTab="8"/>
  </bookViews>
  <sheets>
    <sheet name="ჯამური ბიუჯეტი" sheetId="8" r:id="rId1"/>
    <sheet name="სამეგრელო-ზემო სვანეთი" sheetId="48" r:id="rId2"/>
    <sheet name="სამეგრელო (2)" sheetId="49" r:id="rId3"/>
    <sheet name="სამეგრელო (3)" sheetId="50" r:id="rId4"/>
    <sheet name="სამეგრელო (4)" sheetId="51" r:id="rId5"/>
    <sheet name="მონიტორინგის კვლევები" sheetId="1" r:id="rId6"/>
    <sheet name="მონიტორინგი-CORE" sheetId="44" r:id="rId7"/>
    <sheet name="მონიტორინგი-პჯდ" sheetId="53" r:id="rId8"/>
    <sheet name="მონიტორინგი-მრჩეველი" sheetId="55" r:id="rId9"/>
    <sheet name="მონიტორინგის კვლევების ჯგუფები" sheetId="2" r:id="rId10"/>
    <sheet name="მონიტორინგის კვლევების ჯგუფებიC" sheetId="45" r:id="rId11"/>
    <sheet name="მკურნალობაში ჩართვის კვლევები" sheetId="10" r:id="rId12"/>
    <sheet name="მკურნალობაში ჩართვა - პჯდ" sheetId="52" r:id="rId13"/>
    <sheet name="მკურნალობაში ჩართვა-მრჩეველი" sheetId="54" r:id="rId14"/>
    <sheet name="მკურნალობაში ჩართვის ჯგუფები" sheetId="11" r:id="rId15"/>
    <sheet name="10%-30%" sheetId="12" r:id="rId16"/>
    <sheet name="5%-20%" sheetId="13" r:id="rId17"/>
    <sheet name="0%-10%" sheetId="16" r:id="rId18"/>
    <sheet name="0%-0%" sheetId="14" r:id="rId19"/>
    <sheet name="რნა 0-50 ლარი" sheetId="35" r:id="rId20"/>
    <sheet name="რნა 50-100 ლარი" sheetId="36" r:id="rId21"/>
    <sheet name="რნა-სრული დაფინანსება 30 70" sheetId="37" r:id="rId22"/>
    <sheet name="რნმ-სრული 5-20" sheetId="38" r:id="rId23"/>
    <sheet name="core antigenit 50-100" sheetId="15" r:id="rId24"/>
    <sheet name="core-antigenit 0-50" sheetId="17" r:id="rId25"/>
    <sheet name="core-antigenit 0-0" sheetId="18" r:id="rId26"/>
    <sheet name="CORE-30%-70%" sheetId="19" r:id="rId27"/>
    <sheet name="CORE 5-20%" sheetId="41" r:id="rId28"/>
    <sheet name="CORE-50-100-2017" sheetId="20" r:id="rId29"/>
    <sheet name="CORE 0-50-2017" sheetId="21" r:id="rId30"/>
    <sheet name="CORE 0-0-2017" sheetId="22" r:id="rId31"/>
    <sheet name="RNA-30-70-2017" sheetId="23" r:id="rId32"/>
    <sheet name="RNA SRULI DAFINANSEBA-2017" sheetId="24" r:id="rId33"/>
    <sheet name="core sruli-2018-30-70%" sheetId="26" r:id="rId34"/>
    <sheet name="CORE SRULI-2018-5-20%" sheetId="42" r:id="rId35"/>
    <sheet name="CORE-SRULI-30-70" sheetId="28" r:id="rId36"/>
    <sheet name="CORE SRULI DAFINANSEBA" sheetId="29" r:id="rId37"/>
    <sheet name="Sheet3" sheetId="30" r:id="rId38"/>
    <sheet name="Sheet1" sheetId="31" r:id="rId39"/>
    <sheet name="Sheet2" sheetId="32" r:id="rId40"/>
    <sheet name="Sheet4" sheetId="33" r:id="rId41"/>
    <sheet name="შედარება" sheetId="34" r:id="rId42"/>
    <sheet name="CORE-PRE-POST KVLEVEBI" sheetId="43" r:id="rId43"/>
    <sheet name="Sheet5" sheetId="46" r:id="rId44"/>
    <sheet name="Sheet6" sheetId="47" r:id="rId45"/>
  </sheets>
  <calcPr calcId="145621"/>
</workbook>
</file>

<file path=xl/calcChain.xml><?xml version="1.0" encoding="utf-8"?>
<calcChain xmlns="http://schemas.openxmlformats.org/spreadsheetml/2006/main">
  <c r="J20" i="54" l="1"/>
  <c r="I20" i="54"/>
  <c r="L9" i="10"/>
  <c r="L8" i="10"/>
  <c r="L13" i="10"/>
  <c r="L12" i="10"/>
  <c r="G10" i="54" l="1"/>
  <c r="G9" i="54"/>
  <c r="G12" i="52"/>
  <c r="G7" i="52"/>
  <c r="I37" i="55" l="1"/>
  <c r="F37" i="55"/>
  <c r="E37" i="55"/>
  <c r="D37" i="55"/>
  <c r="I28" i="55"/>
  <c r="F28" i="55"/>
  <c r="E28" i="55"/>
  <c r="D28" i="55"/>
  <c r="F16" i="55"/>
  <c r="E16" i="55"/>
  <c r="D16" i="55"/>
  <c r="F8" i="55"/>
  <c r="E8" i="55"/>
  <c r="D8" i="55"/>
  <c r="L36" i="55"/>
  <c r="L25" i="55"/>
  <c r="L24" i="55"/>
  <c r="L23" i="55"/>
  <c r="L22" i="55"/>
  <c r="J15" i="55"/>
  <c r="M35" i="55"/>
  <c r="L35" i="55"/>
  <c r="L34" i="55"/>
  <c r="M33" i="55"/>
  <c r="M36" i="55" s="1"/>
  <c r="L33" i="55"/>
  <c r="M26" i="55"/>
  <c r="L26" i="55"/>
  <c r="M22" i="55"/>
  <c r="M27" i="55" s="1"/>
  <c r="I14" i="55"/>
  <c r="I13" i="55"/>
  <c r="I12" i="55"/>
  <c r="I5" i="55"/>
  <c r="I4" i="55"/>
  <c r="J3" i="55"/>
  <c r="J7" i="55" s="1"/>
  <c r="I3" i="55"/>
  <c r="G20" i="54"/>
  <c r="D16" i="53"/>
  <c r="D8" i="53"/>
  <c r="J15" i="53"/>
  <c r="I7" i="53"/>
  <c r="I15" i="53"/>
  <c r="J7" i="53"/>
  <c r="J3" i="53"/>
  <c r="J6" i="53"/>
  <c r="I6" i="53"/>
  <c r="I5" i="53"/>
  <c r="I4" i="53"/>
  <c r="I3" i="53"/>
  <c r="I14" i="53"/>
  <c r="I13" i="53"/>
  <c r="I12" i="53"/>
  <c r="L27" i="55" l="1"/>
  <c r="I15" i="55"/>
  <c r="I7" i="55"/>
  <c r="E27" i="10" l="1"/>
  <c r="C67" i="51" l="1"/>
  <c r="G43" i="51"/>
  <c r="G44" i="51"/>
  <c r="H44" i="51"/>
  <c r="H43" i="51"/>
  <c r="E23" i="51"/>
  <c r="E19" i="51"/>
  <c r="D29" i="51"/>
  <c r="E29" i="51"/>
  <c r="C65" i="51"/>
  <c r="E65" i="51" s="1"/>
  <c r="C61" i="51"/>
  <c r="C49" i="51"/>
  <c r="C48" i="51"/>
  <c r="E47" i="51"/>
  <c r="E49" i="51" s="1"/>
  <c r="D47" i="51"/>
  <c r="D49" i="51" s="1"/>
  <c r="K27" i="51"/>
  <c r="J27" i="51"/>
  <c r="D27" i="51"/>
  <c r="D25" i="51"/>
  <c r="D24" i="51"/>
  <c r="D23" i="51"/>
  <c r="D21" i="51"/>
  <c r="D20" i="51"/>
  <c r="D19" i="51"/>
  <c r="D17" i="51"/>
  <c r="E16" i="51" s="1"/>
  <c r="D14" i="51"/>
  <c r="D13" i="51"/>
  <c r="E12" i="51"/>
  <c r="D38" i="51" s="1"/>
  <c r="D10" i="51"/>
  <c r="E9" i="51"/>
  <c r="D33" i="51" s="1"/>
  <c r="D7" i="51"/>
  <c r="D6" i="51"/>
  <c r="E5" i="51" s="1"/>
  <c r="C65" i="50"/>
  <c r="E65" i="50" s="1"/>
  <c r="C61" i="50"/>
  <c r="C49" i="50"/>
  <c r="C48" i="50"/>
  <c r="E47" i="50"/>
  <c r="E48" i="50" s="1"/>
  <c r="D47" i="50"/>
  <c r="D49" i="50" s="1"/>
  <c r="K27" i="50"/>
  <c r="D27" i="50"/>
  <c r="D25" i="50"/>
  <c r="D24" i="50"/>
  <c r="E23" i="50"/>
  <c r="H23" i="50" s="1"/>
  <c r="D23" i="50"/>
  <c r="D21" i="50"/>
  <c r="D20" i="50"/>
  <c r="D19" i="50"/>
  <c r="E19" i="50" s="1"/>
  <c r="D17" i="50"/>
  <c r="E16" i="50"/>
  <c r="K16" i="50" s="1"/>
  <c r="D14" i="50"/>
  <c r="D13" i="50"/>
  <c r="E12" i="50"/>
  <c r="D38" i="50" s="1"/>
  <c r="D10" i="50"/>
  <c r="K9" i="50"/>
  <c r="G9" i="50"/>
  <c r="E9" i="50"/>
  <c r="H9" i="50" s="1"/>
  <c r="D7" i="50"/>
  <c r="E5" i="50" s="1"/>
  <c r="D6" i="50"/>
  <c r="C65" i="49"/>
  <c r="E65" i="49" s="1"/>
  <c r="C61" i="49"/>
  <c r="C49" i="49"/>
  <c r="C48" i="49"/>
  <c r="E47" i="49"/>
  <c r="E48" i="49" s="1"/>
  <c r="D47" i="49"/>
  <c r="D49" i="49" s="1"/>
  <c r="K27" i="49"/>
  <c r="D27" i="49"/>
  <c r="D25" i="49"/>
  <c r="D24" i="49"/>
  <c r="D23" i="49"/>
  <c r="E23" i="49" s="1"/>
  <c r="D21" i="49"/>
  <c r="D20" i="49"/>
  <c r="D19" i="49"/>
  <c r="E19" i="49" s="1"/>
  <c r="D17" i="49"/>
  <c r="E16" i="49" s="1"/>
  <c r="D14" i="49"/>
  <c r="D13" i="49"/>
  <c r="E12" i="49"/>
  <c r="D35" i="49" s="1"/>
  <c r="D10" i="49"/>
  <c r="E9" i="49"/>
  <c r="D30" i="49" s="1"/>
  <c r="D7" i="49"/>
  <c r="D6" i="49"/>
  <c r="E5" i="49" s="1"/>
  <c r="C65" i="48"/>
  <c r="E65" i="48" s="1"/>
  <c r="C61" i="48"/>
  <c r="C49" i="48"/>
  <c r="C48" i="48"/>
  <c r="E47" i="48"/>
  <c r="E48" i="48" s="1"/>
  <c r="D47" i="48"/>
  <c r="D49" i="48" s="1"/>
  <c r="K27" i="48"/>
  <c r="J27" i="48"/>
  <c r="D27" i="48"/>
  <c r="D25" i="48"/>
  <c r="D24" i="48"/>
  <c r="D23" i="48"/>
  <c r="E23" i="48" s="1"/>
  <c r="D21" i="48"/>
  <c r="D20" i="48"/>
  <c r="D19" i="48"/>
  <c r="E19" i="48" s="1"/>
  <c r="D17" i="48"/>
  <c r="E16" i="48"/>
  <c r="D14" i="48"/>
  <c r="D13" i="48"/>
  <c r="E12" i="48"/>
  <c r="D10" i="48"/>
  <c r="E9" i="48"/>
  <c r="D7" i="48"/>
  <c r="D6" i="48"/>
  <c r="E5" i="48"/>
  <c r="D48" i="51" l="1"/>
  <c r="D48" i="48"/>
  <c r="D52" i="48" s="1"/>
  <c r="D32" i="51"/>
  <c r="E32" i="51" s="1"/>
  <c r="K5" i="51"/>
  <c r="J5" i="51"/>
  <c r="J19" i="51"/>
  <c r="G19" i="51"/>
  <c r="K19" i="51"/>
  <c r="H19" i="51"/>
  <c r="D39" i="51"/>
  <c r="E38" i="51" s="1"/>
  <c r="K16" i="51"/>
  <c r="D36" i="51"/>
  <c r="J16" i="51"/>
  <c r="J23" i="51"/>
  <c r="G23" i="51"/>
  <c r="K23" i="51"/>
  <c r="H23" i="51"/>
  <c r="K9" i="51"/>
  <c r="K12" i="51"/>
  <c r="D30" i="51"/>
  <c r="D35" i="51"/>
  <c r="E35" i="51" s="1"/>
  <c r="E48" i="51"/>
  <c r="J9" i="51"/>
  <c r="J12" i="51"/>
  <c r="D53" i="50"/>
  <c r="D58" i="50"/>
  <c r="D32" i="50"/>
  <c r="D29" i="50"/>
  <c r="H5" i="50"/>
  <c r="K5" i="50"/>
  <c r="G5" i="50"/>
  <c r="K19" i="50"/>
  <c r="G19" i="50"/>
  <c r="H19" i="50"/>
  <c r="E52" i="50"/>
  <c r="H12" i="50"/>
  <c r="H16" i="50"/>
  <c r="G23" i="50"/>
  <c r="K23" i="50"/>
  <c r="D30" i="50"/>
  <c r="D33" i="50"/>
  <c r="D36" i="50"/>
  <c r="D39" i="50"/>
  <c r="E38" i="50" s="1"/>
  <c r="D48" i="50"/>
  <c r="E49" i="50"/>
  <c r="G12" i="50"/>
  <c r="K12" i="50"/>
  <c r="G16" i="50"/>
  <c r="D35" i="50"/>
  <c r="E35" i="50" s="1"/>
  <c r="D36" i="49"/>
  <c r="G16" i="49"/>
  <c r="D39" i="49"/>
  <c r="K16" i="49"/>
  <c r="H16" i="49"/>
  <c r="K23" i="49"/>
  <c r="H23" i="49"/>
  <c r="G23" i="49"/>
  <c r="D53" i="49"/>
  <c r="D29" i="49"/>
  <c r="E29" i="49" s="1"/>
  <c r="G5" i="49"/>
  <c r="D32" i="49"/>
  <c r="K5" i="49"/>
  <c r="H5" i="49"/>
  <c r="E35" i="49"/>
  <c r="K19" i="49"/>
  <c r="H19" i="49"/>
  <c r="G19" i="49"/>
  <c r="E52" i="49"/>
  <c r="G9" i="49"/>
  <c r="G12" i="49"/>
  <c r="D33" i="49"/>
  <c r="D38" i="49"/>
  <c r="E38" i="49" s="1"/>
  <c r="D48" i="49"/>
  <c r="E49" i="49"/>
  <c r="H9" i="49"/>
  <c r="K9" i="49"/>
  <c r="H12" i="49"/>
  <c r="K12" i="49"/>
  <c r="D36" i="48"/>
  <c r="J16" i="48"/>
  <c r="G16" i="48"/>
  <c r="D39" i="48"/>
  <c r="K16" i="48"/>
  <c r="H16" i="48"/>
  <c r="K19" i="48"/>
  <c r="H19" i="48"/>
  <c r="J19" i="48"/>
  <c r="G19" i="48"/>
  <c r="D29" i="48"/>
  <c r="E29" i="48" s="1"/>
  <c r="D30" i="48"/>
  <c r="D35" i="48"/>
  <c r="E35" i="48" s="1"/>
  <c r="J12" i="48"/>
  <c r="G12" i="48"/>
  <c r="D38" i="48"/>
  <c r="E38" i="48" s="1"/>
  <c r="K12" i="48"/>
  <c r="H12" i="48"/>
  <c r="K23" i="48"/>
  <c r="H23" i="48"/>
  <c r="J23" i="48"/>
  <c r="G23" i="48"/>
  <c r="G5" i="48"/>
  <c r="J5" i="48"/>
  <c r="G9" i="48"/>
  <c r="J9" i="48"/>
  <c r="D32" i="48"/>
  <c r="E32" i="48" s="1"/>
  <c r="D33" i="48"/>
  <c r="E49" i="48"/>
  <c r="H5" i="48"/>
  <c r="K5" i="48"/>
  <c r="H9" i="48"/>
  <c r="K9" i="48"/>
  <c r="C21" i="46"/>
  <c r="E20" i="46"/>
  <c r="D20" i="46"/>
  <c r="D17" i="46"/>
  <c r="E16" i="46" s="1"/>
  <c r="D14" i="46"/>
  <c r="D13" i="46"/>
  <c r="E12" i="46" s="1"/>
  <c r="D10" i="46"/>
  <c r="E9" i="46"/>
  <c r="D7" i="46"/>
  <c r="D6" i="46"/>
  <c r="E5" i="46" s="1"/>
  <c r="J38" i="51" l="1"/>
  <c r="G38" i="51"/>
  <c r="K38" i="51"/>
  <c r="H38" i="51"/>
  <c r="K35" i="51"/>
  <c r="H35" i="51"/>
  <c r="J35" i="51"/>
  <c r="G35" i="51"/>
  <c r="E44" i="51"/>
  <c r="J32" i="51"/>
  <c r="G32" i="51"/>
  <c r="K32" i="51"/>
  <c r="H32" i="51"/>
  <c r="K38" i="50"/>
  <c r="G38" i="50"/>
  <c r="H38" i="50"/>
  <c r="D57" i="50"/>
  <c r="D52" i="50"/>
  <c r="E32" i="50"/>
  <c r="K35" i="50"/>
  <c r="G35" i="50"/>
  <c r="H35" i="50"/>
  <c r="E53" i="50"/>
  <c r="E54" i="50" s="1"/>
  <c r="E29" i="50"/>
  <c r="D52" i="49"/>
  <c r="E32" i="49"/>
  <c r="E53" i="49"/>
  <c r="E54" i="49" s="1"/>
  <c r="K38" i="49"/>
  <c r="H38" i="49"/>
  <c r="G38" i="49"/>
  <c r="G35" i="49"/>
  <c r="K35" i="49"/>
  <c r="H35" i="49"/>
  <c r="E43" i="49"/>
  <c r="G29" i="49"/>
  <c r="K29" i="49"/>
  <c r="H29" i="49"/>
  <c r="K32" i="48"/>
  <c r="H32" i="48"/>
  <c r="E44" i="48"/>
  <c r="J32" i="48"/>
  <c r="G32" i="48"/>
  <c r="J35" i="48"/>
  <c r="G35" i="48"/>
  <c r="K35" i="48"/>
  <c r="H35" i="48"/>
  <c r="E43" i="48"/>
  <c r="J29" i="48"/>
  <c r="G29" i="48"/>
  <c r="K29" i="48"/>
  <c r="H29" i="48"/>
  <c r="K38" i="48"/>
  <c r="H38" i="48"/>
  <c r="J38" i="48"/>
  <c r="G38" i="48"/>
  <c r="J5" i="46"/>
  <c r="K5" i="46"/>
  <c r="H5" i="46"/>
  <c r="G5" i="46"/>
  <c r="J16" i="46"/>
  <c r="G16" i="46"/>
  <c r="K16" i="46"/>
  <c r="H16" i="46"/>
  <c r="G9" i="46"/>
  <c r="J9" i="46"/>
  <c r="G12" i="46"/>
  <c r="J12" i="46"/>
  <c r="H9" i="46"/>
  <c r="K9" i="46"/>
  <c r="H12" i="46"/>
  <c r="K12" i="46"/>
  <c r="H5" i="43"/>
  <c r="E53" i="51" l="1"/>
  <c r="D53" i="51"/>
  <c r="K29" i="51"/>
  <c r="H29" i="51"/>
  <c r="E43" i="51"/>
  <c r="J29" i="51"/>
  <c r="G29" i="51"/>
  <c r="E43" i="50"/>
  <c r="K43" i="50" s="1"/>
  <c r="E57" i="50" s="1"/>
  <c r="K29" i="50"/>
  <c r="G29" i="50"/>
  <c r="H29" i="50"/>
  <c r="C53" i="50"/>
  <c r="D59" i="50"/>
  <c r="C57" i="50"/>
  <c r="E44" i="50"/>
  <c r="K44" i="50" s="1"/>
  <c r="E58" i="50" s="1"/>
  <c r="C58" i="50" s="1"/>
  <c r="K32" i="50"/>
  <c r="G32" i="50"/>
  <c r="H32" i="50"/>
  <c r="C52" i="50"/>
  <c r="D54" i="50"/>
  <c r="C53" i="49"/>
  <c r="K32" i="49"/>
  <c r="H32" i="49"/>
  <c r="E44" i="49"/>
  <c r="G32" i="49"/>
  <c r="C52" i="49"/>
  <c r="C54" i="49" s="1"/>
  <c r="D54" i="49"/>
  <c r="K43" i="49"/>
  <c r="E57" i="49" s="1"/>
  <c r="D57" i="49"/>
  <c r="H43" i="48"/>
  <c r="E52" i="48" s="1"/>
  <c r="G43" i="48"/>
  <c r="G44" i="48"/>
  <c r="D53" i="48" s="1"/>
  <c r="H44" i="48"/>
  <c r="E53" i="48" s="1"/>
  <c r="K44" i="43"/>
  <c r="J44" i="43"/>
  <c r="K43" i="43"/>
  <c r="J43" i="43"/>
  <c r="H44" i="43"/>
  <c r="G44" i="43"/>
  <c r="H43" i="43"/>
  <c r="G43" i="43"/>
  <c r="K38" i="43"/>
  <c r="J38" i="43"/>
  <c r="H38" i="43"/>
  <c r="G38" i="43"/>
  <c r="H35" i="43"/>
  <c r="G35" i="43"/>
  <c r="H32" i="43"/>
  <c r="G32" i="43"/>
  <c r="K29" i="43"/>
  <c r="J29" i="43"/>
  <c r="H29" i="43"/>
  <c r="G29" i="43"/>
  <c r="D29" i="43"/>
  <c r="E29" i="43"/>
  <c r="J5" i="43"/>
  <c r="K23" i="43"/>
  <c r="J23" i="43"/>
  <c r="K19" i="43"/>
  <c r="J19" i="43"/>
  <c r="H23" i="43"/>
  <c r="G23" i="43"/>
  <c r="H19" i="43"/>
  <c r="G19" i="43"/>
  <c r="E19" i="43"/>
  <c r="D25" i="43"/>
  <c r="D24" i="43"/>
  <c r="D23" i="43"/>
  <c r="D21" i="43"/>
  <c r="D20" i="43"/>
  <c r="D19" i="43"/>
  <c r="E10" i="45"/>
  <c r="E9" i="45"/>
  <c r="E8" i="45"/>
  <c r="E7" i="45"/>
  <c r="E6" i="45"/>
  <c r="E5" i="45"/>
  <c r="N54" i="44"/>
  <c r="M54" i="44"/>
  <c r="M53" i="44"/>
  <c r="M52" i="44"/>
  <c r="M51" i="44"/>
  <c r="M50" i="44"/>
  <c r="M49" i="44"/>
  <c r="M48" i="44"/>
  <c r="N47" i="44"/>
  <c r="N55" i="44" s="1"/>
  <c r="M47" i="44"/>
  <c r="M55" i="44" s="1"/>
  <c r="M40" i="44"/>
  <c r="O39" i="44"/>
  <c r="M39" i="44"/>
  <c r="N39" i="44" s="1"/>
  <c r="N38" i="44"/>
  <c r="M38" i="44"/>
  <c r="N37" i="44"/>
  <c r="M37" i="44"/>
  <c r="N36" i="44"/>
  <c r="M36" i="44"/>
  <c r="M35" i="44"/>
  <c r="N35" i="44" s="1"/>
  <c r="M34" i="44"/>
  <c r="N34" i="44" s="1"/>
  <c r="M33" i="44"/>
  <c r="N33" i="44" s="1"/>
  <c r="O32" i="44"/>
  <c r="O41" i="44" s="1"/>
  <c r="M32" i="44"/>
  <c r="M41" i="44" s="1"/>
  <c r="K24" i="44"/>
  <c r="J24" i="44"/>
  <c r="J22" i="44"/>
  <c r="J21" i="44"/>
  <c r="J19" i="44"/>
  <c r="J18" i="44"/>
  <c r="K17" i="44"/>
  <c r="K25" i="44" s="1"/>
  <c r="J17" i="44"/>
  <c r="J25" i="44" s="1"/>
  <c r="J11" i="44"/>
  <c r="L10" i="44"/>
  <c r="J10" i="44"/>
  <c r="K10" i="44" s="1"/>
  <c r="K9" i="44"/>
  <c r="J9" i="44"/>
  <c r="K8" i="44"/>
  <c r="J8" i="44"/>
  <c r="K7" i="44"/>
  <c r="J7" i="44"/>
  <c r="K6" i="44"/>
  <c r="J6" i="44"/>
  <c r="K5" i="44"/>
  <c r="J5" i="44"/>
  <c r="K4" i="44"/>
  <c r="J4" i="44"/>
  <c r="L3" i="44"/>
  <c r="L12" i="44" s="1"/>
  <c r="J3" i="44"/>
  <c r="J12" i="44" s="1"/>
  <c r="G5" i="43"/>
  <c r="C65" i="43"/>
  <c r="E65" i="43" s="1"/>
  <c r="C61" i="43"/>
  <c r="C49" i="43"/>
  <c r="C48" i="43"/>
  <c r="E47" i="43"/>
  <c r="E49" i="43" s="1"/>
  <c r="D47" i="43"/>
  <c r="D48" i="43" s="1"/>
  <c r="K27" i="43"/>
  <c r="J27" i="43"/>
  <c r="D27" i="43"/>
  <c r="E23" i="43"/>
  <c r="D17" i="43"/>
  <c r="H16" i="43" s="1"/>
  <c r="G16" i="43"/>
  <c r="D14" i="43"/>
  <c r="G12" i="43" s="1"/>
  <c r="D13" i="43"/>
  <c r="H12" i="43"/>
  <c r="E12" i="43"/>
  <c r="D10" i="43"/>
  <c r="H9" i="43"/>
  <c r="G9" i="43"/>
  <c r="E9" i="43"/>
  <c r="D7" i="43"/>
  <c r="D6" i="43"/>
  <c r="G5" i="33"/>
  <c r="C54" i="50" l="1"/>
  <c r="C57" i="49"/>
  <c r="C53" i="51"/>
  <c r="D52" i="51"/>
  <c r="E52" i="51"/>
  <c r="E54" i="51" s="1"/>
  <c r="J44" i="51"/>
  <c r="D58" i="51" s="1"/>
  <c r="K44" i="51"/>
  <c r="E58" i="51" s="1"/>
  <c r="C59" i="50"/>
  <c r="C62" i="50" s="1"/>
  <c r="E59" i="50"/>
  <c r="D58" i="49"/>
  <c r="K44" i="49"/>
  <c r="E58" i="49" s="1"/>
  <c r="E59" i="49" s="1"/>
  <c r="C53" i="48"/>
  <c r="C52" i="48"/>
  <c r="D54" i="48"/>
  <c r="E54" i="48"/>
  <c r="K44" i="48"/>
  <c r="E58" i="48" s="1"/>
  <c r="J44" i="48"/>
  <c r="D58" i="48" s="1"/>
  <c r="J43" i="48"/>
  <c r="D57" i="48" s="1"/>
  <c r="K43" i="48"/>
  <c r="E57" i="48" s="1"/>
  <c r="D33" i="43"/>
  <c r="D38" i="43"/>
  <c r="K3" i="44"/>
  <c r="K12" i="44" s="1"/>
  <c r="N32" i="44"/>
  <c r="N41" i="44" s="1"/>
  <c r="K9" i="43"/>
  <c r="K12" i="43"/>
  <c r="D30" i="43"/>
  <c r="D35" i="43"/>
  <c r="E48" i="43"/>
  <c r="D49" i="43"/>
  <c r="E5" i="43"/>
  <c r="J9" i="43"/>
  <c r="J12" i="43"/>
  <c r="E16" i="43"/>
  <c r="H62" i="28"/>
  <c r="C67" i="50" l="1"/>
  <c r="C71" i="48"/>
  <c r="E59" i="48"/>
  <c r="D54" i="51"/>
  <c r="C52" i="51"/>
  <c r="C54" i="51" s="1"/>
  <c r="C58" i="51"/>
  <c r="K43" i="51"/>
  <c r="E57" i="51" s="1"/>
  <c r="E59" i="51" s="1"/>
  <c r="J43" i="51"/>
  <c r="D57" i="51" s="1"/>
  <c r="C58" i="49"/>
  <c r="C59" i="49" s="1"/>
  <c r="C62" i="49" s="1"/>
  <c r="D59" i="49"/>
  <c r="C58" i="48"/>
  <c r="C54" i="48"/>
  <c r="D59" i="48"/>
  <c r="C57" i="48"/>
  <c r="D39" i="43"/>
  <c r="E38" i="43" s="1"/>
  <c r="K16" i="43"/>
  <c r="D36" i="43"/>
  <c r="J16" i="43"/>
  <c r="D32" i="43"/>
  <c r="E32" i="43" s="1"/>
  <c r="K5" i="43"/>
  <c r="E35" i="43"/>
  <c r="G63" i="24"/>
  <c r="G62" i="24"/>
  <c r="C69" i="48" l="1"/>
  <c r="C67" i="49"/>
  <c r="C57" i="51"/>
  <c r="C59" i="51" s="1"/>
  <c r="C62" i="51" s="1"/>
  <c r="C73" i="48" s="1"/>
  <c r="D59" i="51"/>
  <c r="C59" i="48"/>
  <c r="C62" i="48" s="1"/>
  <c r="C67" i="48" s="1"/>
  <c r="D67" i="48" s="1"/>
  <c r="C23" i="46"/>
  <c r="C27" i="46" s="1"/>
  <c r="E44" i="43"/>
  <c r="J32" i="43"/>
  <c r="K32" i="43"/>
  <c r="K35" i="43"/>
  <c r="J35" i="43"/>
  <c r="E43" i="43"/>
  <c r="G16" i="29"/>
  <c r="G12" i="29"/>
  <c r="G9" i="29"/>
  <c r="G5" i="29"/>
  <c r="G5" i="24"/>
  <c r="I41" i="30"/>
  <c r="G41" i="30"/>
  <c r="I40" i="30"/>
  <c r="I39" i="30"/>
  <c r="H39" i="30"/>
  <c r="G39" i="30"/>
  <c r="F39" i="30"/>
  <c r="E28" i="30"/>
  <c r="I28" i="30" s="1"/>
  <c r="J30" i="32"/>
  <c r="D52" i="43" l="1"/>
  <c r="E52" i="43"/>
  <c r="E53" i="43"/>
  <c r="D53" i="43"/>
  <c r="G28" i="30"/>
  <c r="G40" i="30"/>
  <c r="C62" i="18"/>
  <c r="C65" i="29"/>
  <c r="E65" i="29" s="1"/>
  <c r="C65" i="28"/>
  <c r="E65" i="28" s="1"/>
  <c r="C65" i="24"/>
  <c r="E65" i="24" s="1"/>
  <c r="C65" i="23"/>
  <c r="E65" i="23" s="1"/>
  <c r="C65" i="22"/>
  <c r="E65" i="22" s="1"/>
  <c r="C65" i="21"/>
  <c r="E65" i="21" s="1"/>
  <c r="C65" i="20"/>
  <c r="E65" i="20" s="1"/>
  <c r="C65" i="18"/>
  <c r="E65" i="18" s="1"/>
  <c r="C62" i="17"/>
  <c r="C65" i="17"/>
  <c r="E65" i="17" s="1"/>
  <c r="C62" i="15"/>
  <c r="C65" i="15"/>
  <c r="E65" i="15" s="1"/>
  <c r="C65" i="36"/>
  <c r="E65" i="36" s="1"/>
  <c r="C62" i="35"/>
  <c r="E65" i="35"/>
  <c r="C65" i="35"/>
  <c r="C65" i="14"/>
  <c r="E65" i="14" s="1"/>
  <c r="C65" i="16"/>
  <c r="E65" i="16" s="1"/>
  <c r="C65" i="12"/>
  <c r="E65" i="12" s="1"/>
  <c r="C62" i="42"/>
  <c r="C65" i="42"/>
  <c r="E65" i="42" s="1"/>
  <c r="C62" i="38"/>
  <c r="C65" i="38"/>
  <c r="E65" i="38" s="1"/>
  <c r="C62" i="41"/>
  <c r="C62" i="19"/>
  <c r="C65" i="19"/>
  <c r="E65" i="19" s="1"/>
  <c r="C62" i="26"/>
  <c r="C65" i="26"/>
  <c r="E65" i="26" s="1"/>
  <c r="G43" i="37"/>
  <c r="J5" i="37"/>
  <c r="G5" i="37"/>
  <c r="C62" i="37"/>
  <c r="E65" i="37"/>
  <c r="C65" i="37"/>
  <c r="E65" i="41"/>
  <c r="C65" i="41"/>
  <c r="C65" i="13"/>
  <c r="E65" i="13" s="1"/>
  <c r="E65" i="8"/>
  <c r="C65" i="8"/>
  <c r="H50" i="26"/>
  <c r="H49" i="26"/>
  <c r="G5" i="26"/>
  <c r="H50" i="37"/>
  <c r="H49" i="37"/>
  <c r="C61" i="19"/>
  <c r="C59" i="19"/>
  <c r="E59" i="19"/>
  <c r="D59" i="19"/>
  <c r="E58" i="19"/>
  <c r="D58" i="19"/>
  <c r="E57" i="19"/>
  <c r="D57" i="19"/>
  <c r="C54" i="19"/>
  <c r="E54" i="19"/>
  <c r="D54" i="19"/>
  <c r="E53" i="19"/>
  <c r="E52" i="19"/>
  <c r="D53" i="19"/>
  <c r="D52" i="19"/>
  <c r="K44" i="19"/>
  <c r="K43" i="19"/>
  <c r="J44" i="19"/>
  <c r="J43" i="19"/>
  <c r="H44" i="19"/>
  <c r="H43" i="19"/>
  <c r="G44" i="19"/>
  <c r="G43" i="19"/>
  <c r="E44" i="19"/>
  <c r="E43" i="19"/>
  <c r="K38" i="19"/>
  <c r="J38" i="19"/>
  <c r="K35" i="19"/>
  <c r="J35" i="19"/>
  <c r="K32" i="19"/>
  <c r="J32" i="19"/>
  <c r="K29" i="19"/>
  <c r="J29" i="19"/>
  <c r="H38" i="19"/>
  <c r="G38" i="19"/>
  <c r="H35" i="19"/>
  <c r="G35" i="19"/>
  <c r="H32" i="19"/>
  <c r="G32" i="19"/>
  <c r="H29" i="19"/>
  <c r="G29" i="19"/>
  <c r="D29" i="19"/>
  <c r="E29" i="19"/>
  <c r="K23" i="19"/>
  <c r="J23" i="19"/>
  <c r="K19" i="19"/>
  <c r="J19" i="19"/>
  <c r="H23" i="19"/>
  <c r="G23" i="19"/>
  <c r="H19" i="19"/>
  <c r="G19" i="19"/>
  <c r="K16" i="19"/>
  <c r="J16" i="19"/>
  <c r="K12" i="19"/>
  <c r="J12" i="19"/>
  <c r="K9" i="19"/>
  <c r="J9" i="19"/>
  <c r="K5" i="19"/>
  <c r="J5" i="19"/>
  <c r="H16" i="19"/>
  <c r="G16" i="19"/>
  <c r="H12" i="19"/>
  <c r="G12" i="19"/>
  <c r="H9" i="19"/>
  <c r="G5" i="19"/>
  <c r="G9" i="19"/>
  <c r="H5" i="19"/>
  <c r="C61" i="8"/>
  <c r="K23" i="8"/>
  <c r="J23" i="8"/>
  <c r="K19" i="8"/>
  <c r="J19" i="8"/>
  <c r="H23" i="8"/>
  <c r="H19" i="8"/>
  <c r="G23" i="8"/>
  <c r="G19" i="8"/>
  <c r="E23" i="8"/>
  <c r="E19" i="8"/>
  <c r="D19" i="8"/>
  <c r="C61" i="42"/>
  <c r="C49" i="42"/>
  <c r="E48" i="42"/>
  <c r="C48" i="42"/>
  <c r="E47" i="42"/>
  <c r="E49" i="42" s="1"/>
  <c r="D47" i="42"/>
  <c r="D48" i="42" s="1"/>
  <c r="K27" i="42"/>
  <c r="J27" i="42"/>
  <c r="D27" i="42"/>
  <c r="D25" i="42"/>
  <c r="D24" i="42"/>
  <c r="E23" i="42"/>
  <c r="J23" i="42" s="1"/>
  <c r="D23" i="42"/>
  <c r="D21" i="42"/>
  <c r="D20" i="42"/>
  <c r="E19" i="42"/>
  <c r="J19" i="42" s="1"/>
  <c r="D19" i="42"/>
  <c r="D17" i="42"/>
  <c r="H16" i="42" s="1"/>
  <c r="G16" i="42"/>
  <c r="D14" i="42"/>
  <c r="G12" i="42" s="1"/>
  <c r="D13" i="42"/>
  <c r="H12" i="42"/>
  <c r="E12" i="42"/>
  <c r="D38" i="42" s="1"/>
  <c r="D10" i="42"/>
  <c r="H9" i="42"/>
  <c r="G9" i="42"/>
  <c r="E9" i="42"/>
  <c r="D33" i="42" s="1"/>
  <c r="D7" i="42"/>
  <c r="D6" i="42"/>
  <c r="H5" i="42" s="1"/>
  <c r="G5" i="42"/>
  <c r="C61" i="41"/>
  <c r="C49" i="41"/>
  <c r="C48" i="41"/>
  <c r="E47" i="41"/>
  <c r="E48" i="41" s="1"/>
  <c r="D47" i="41"/>
  <c r="D49" i="41" s="1"/>
  <c r="K27" i="41"/>
  <c r="J27" i="41"/>
  <c r="D27" i="41"/>
  <c r="D25" i="41"/>
  <c r="D24" i="41"/>
  <c r="D23" i="41"/>
  <c r="E23" i="41" s="1"/>
  <c r="D21" i="41"/>
  <c r="D20" i="41"/>
  <c r="D19" i="41"/>
  <c r="E19" i="41" s="1"/>
  <c r="D17" i="41"/>
  <c r="G16" i="41"/>
  <c r="E16" i="41"/>
  <c r="D14" i="41"/>
  <c r="D13" i="41"/>
  <c r="E12" i="41"/>
  <c r="D35" i="41" s="1"/>
  <c r="D10" i="41"/>
  <c r="E9" i="41"/>
  <c r="D30" i="41" s="1"/>
  <c r="D7" i="41"/>
  <c r="D6" i="41"/>
  <c r="E5" i="41" s="1"/>
  <c r="C61" i="38"/>
  <c r="E58" i="38"/>
  <c r="E57" i="38"/>
  <c r="D58" i="38"/>
  <c r="D59" i="38"/>
  <c r="D57" i="38"/>
  <c r="E53" i="38"/>
  <c r="D53" i="38"/>
  <c r="E52" i="38"/>
  <c r="D52" i="38"/>
  <c r="G44" i="38"/>
  <c r="K43" i="38"/>
  <c r="J43" i="38"/>
  <c r="G43" i="38"/>
  <c r="E44" i="38"/>
  <c r="E43" i="38"/>
  <c r="G29" i="38"/>
  <c r="E29" i="38"/>
  <c r="D29" i="38"/>
  <c r="G5" i="38"/>
  <c r="C49" i="38"/>
  <c r="C48" i="38"/>
  <c r="E47" i="38"/>
  <c r="E48" i="38" s="1"/>
  <c r="D47" i="38"/>
  <c r="D49" i="38" s="1"/>
  <c r="K27" i="38"/>
  <c r="J27" i="38"/>
  <c r="D27" i="38"/>
  <c r="D25" i="38"/>
  <c r="D24" i="38"/>
  <c r="D23" i="38"/>
  <c r="E23" i="38" s="1"/>
  <c r="D21" i="38"/>
  <c r="D20" i="38"/>
  <c r="D19" i="38"/>
  <c r="E19" i="38" s="1"/>
  <c r="D17" i="38"/>
  <c r="H16" i="38" s="1"/>
  <c r="G16" i="38"/>
  <c r="D14" i="38"/>
  <c r="G12" i="38" s="1"/>
  <c r="D13" i="38"/>
  <c r="H12" i="38"/>
  <c r="E12" i="38"/>
  <c r="D35" i="38" s="1"/>
  <c r="D10" i="38"/>
  <c r="H9" i="38"/>
  <c r="G9" i="38"/>
  <c r="E9" i="38"/>
  <c r="D30" i="38" s="1"/>
  <c r="D7" i="38"/>
  <c r="D6" i="38"/>
  <c r="H5" i="38" s="1"/>
  <c r="H38" i="37"/>
  <c r="G38" i="37"/>
  <c r="H35" i="37"/>
  <c r="G35" i="37"/>
  <c r="H32" i="37"/>
  <c r="G32" i="37"/>
  <c r="H29" i="37"/>
  <c r="G29" i="37"/>
  <c r="D29" i="37"/>
  <c r="E43" i="37"/>
  <c r="C61" i="37"/>
  <c r="C49" i="37"/>
  <c r="C48" i="37"/>
  <c r="E47" i="37"/>
  <c r="E48" i="37" s="1"/>
  <c r="D47" i="37"/>
  <c r="D49" i="37" s="1"/>
  <c r="K27" i="37"/>
  <c r="J27" i="37"/>
  <c r="D27" i="37"/>
  <c r="D25" i="37"/>
  <c r="D24" i="37"/>
  <c r="D23" i="37"/>
  <c r="E23" i="37" s="1"/>
  <c r="D21" i="37"/>
  <c r="D20" i="37"/>
  <c r="D19" i="37"/>
  <c r="E19" i="37" s="1"/>
  <c r="D17" i="37"/>
  <c r="H16" i="37" s="1"/>
  <c r="G16" i="37"/>
  <c r="D14" i="37"/>
  <c r="G12" i="37" s="1"/>
  <c r="D13" i="37"/>
  <c r="H12" i="37"/>
  <c r="E12" i="37"/>
  <c r="D10" i="37"/>
  <c r="H9" i="37"/>
  <c r="G9" i="37"/>
  <c r="E9" i="37"/>
  <c r="D30" i="37" s="1"/>
  <c r="D7" i="37"/>
  <c r="D6" i="37"/>
  <c r="H5" i="37" s="1"/>
  <c r="C61" i="36"/>
  <c r="C49" i="36"/>
  <c r="C48" i="36"/>
  <c r="E47" i="36"/>
  <c r="E48" i="36" s="1"/>
  <c r="D47" i="36"/>
  <c r="D49" i="36" s="1"/>
  <c r="K27" i="36"/>
  <c r="J27" i="36"/>
  <c r="D27" i="36"/>
  <c r="D25" i="36"/>
  <c r="D24" i="36"/>
  <c r="D23" i="36"/>
  <c r="E23" i="36" s="1"/>
  <c r="D21" i="36"/>
  <c r="D20" i="36"/>
  <c r="D19" i="36"/>
  <c r="E19" i="36" s="1"/>
  <c r="D17" i="36"/>
  <c r="E16" i="36" s="1"/>
  <c r="D14" i="36"/>
  <c r="D13" i="36"/>
  <c r="E12" i="36"/>
  <c r="D35" i="36" s="1"/>
  <c r="D10" i="36"/>
  <c r="E9" i="36"/>
  <c r="D30" i="36" s="1"/>
  <c r="D7" i="36"/>
  <c r="D6" i="36"/>
  <c r="E5" i="36"/>
  <c r="C61" i="35"/>
  <c r="C49" i="35"/>
  <c r="C48" i="35"/>
  <c r="E47" i="35"/>
  <c r="E48" i="35" s="1"/>
  <c r="D47" i="35"/>
  <c r="D49" i="35" s="1"/>
  <c r="K27" i="35"/>
  <c r="J27" i="35"/>
  <c r="D27" i="35"/>
  <c r="D25" i="35"/>
  <c r="D24" i="35"/>
  <c r="D23" i="35"/>
  <c r="E23" i="35" s="1"/>
  <c r="D21" i="35"/>
  <c r="D20" i="35"/>
  <c r="D19" i="35"/>
  <c r="E19" i="35" s="1"/>
  <c r="D17" i="35"/>
  <c r="E16" i="35" s="1"/>
  <c r="D14" i="35"/>
  <c r="D13" i="35"/>
  <c r="E12" i="35"/>
  <c r="D10" i="35"/>
  <c r="E9" i="35"/>
  <c r="D7" i="35"/>
  <c r="D6" i="35"/>
  <c r="E5" i="35" s="1"/>
  <c r="E5" i="18"/>
  <c r="C53" i="43" l="1"/>
  <c r="E54" i="43"/>
  <c r="C52" i="43"/>
  <c r="C54" i="43" s="1"/>
  <c r="D54" i="43"/>
  <c r="D58" i="43"/>
  <c r="E58" i="43"/>
  <c r="E57" i="43"/>
  <c r="D57" i="43"/>
  <c r="K9" i="42"/>
  <c r="K12" i="42"/>
  <c r="H19" i="42"/>
  <c r="K19" i="42"/>
  <c r="H23" i="42"/>
  <c r="K23" i="42"/>
  <c r="D30" i="42"/>
  <c r="D35" i="42"/>
  <c r="D49" i="42"/>
  <c r="E5" i="42"/>
  <c r="J9" i="42"/>
  <c r="J12" i="42"/>
  <c r="E16" i="42"/>
  <c r="G19" i="42"/>
  <c r="G23" i="42"/>
  <c r="K19" i="41"/>
  <c r="H19" i="41"/>
  <c r="J19" i="41"/>
  <c r="G19" i="41"/>
  <c r="D29" i="41"/>
  <c r="E29" i="41" s="1"/>
  <c r="J5" i="41"/>
  <c r="G5" i="41"/>
  <c r="D32" i="41"/>
  <c r="K5" i="41"/>
  <c r="H5" i="41"/>
  <c r="D36" i="41"/>
  <c r="E35" i="41" s="1"/>
  <c r="K23" i="41"/>
  <c r="H23" i="41"/>
  <c r="J23" i="41"/>
  <c r="G23" i="41"/>
  <c r="G9" i="41"/>
  <c r="J9" i="41"/>
  <c r="G12" i="41"/>
  <c r="J12" i="41"/>
  <c r="H16" i="41"/>
  <c r="K16" i="41"/>
  <c r="D33" i="41"/>
  <c r="D38" i="41"/>
  <c r="D39" i="41"/>
  <c r="D48" i="41"/>
  <c r="E49" i="41"/>
  <c r="H9" i="41"/>
  <c r="K9" i="41"/>
  <c r="H12" i="41"/>
  <c r="K12" i="41"/>
  <c r="J16" i="41"/>
  <c r="K19" i="38"/>
  <c r="H19" i="38"/>
  <c r="J19" i="38"/>
  <c r="G19" i="38"/>
  <c r="K23" i="38"/>
  <c r="H23" i="38"/>
  <c r="J23" i="38"/>
  <c r="G23" i="38"/>
  <c r="E5" i="38"/>
  <c r="J9" i="38"/>
  <c r="J12" i="38"/>
  <c r="E16" i="38"/>
  <c r="D33" i="38"/>
  <c r="D38" i="38"/>
  <c r="D48" i="38"/>
  <c r="E49" i="38"/>
  <c r="K9" i="38"/>
  <c r="K12" i="38"/>
  <c r="K19" i="37"/>
  <c r="H19" i="37"/>
  <c r="J19" i="37"/>
  <c r="G19" i="37"/>
  <c r="D35" i="37"/>
  <c r="K23" i="37"/>
  <c r="H23" i="37"/>
  <c r="J23" i="37"/>
  <c r="G23" i="37"/>
  <c r="E5" i="37"/>
  <c r="J9" i="37"/>
  <c r="J12" i="37"/>
  <c r="E16" i="37"/>
  <c r="D33" i="37"/>
  <c r="D38" i="37"/>
  <c r="D48" i="37"/>
  <c r="E49" i="37"/>
  <c r="K9" i="37"/>
  <c r="K12" i="37"/>
  <c r="K19" i="36"/>
  <c r="H19" i="36"/>
  <c r="J19" i="36"/>
  <c r="G19" i="36"/>
  <c r="E52" i="36"/>
  <c r="D29" i="36"/>
  <c r="E29" i="36" s="1"/>
  <c r="D36" i="36"/>
  <c r="E35" i="36" s="1"/>
  <c r="J16" i="36"/>
  <c r="G16" i="36"/>
  <c r="D39" i="36"/>
  <c r="K16" i="36"/>
  <c r="H16" i="36"/>
  <c r="K23" i="36"/>
  <c r="H23" i="36"/>
  <c r="J23" i="36"/>
  <c r="G23" i="36"/>
  <c r="D53" i="36"/>
  <c r="H5" i="36"/>
  <c r="K5" i="36"/>
  <c r="G9" i="36"/>
  <c r="J9" i="36"/>
  <c r="G12" i="36"/>
  <c r="J12" i="36"/>
  <c r="D32" i="36"/>
  <c r="D33" i="36"/>
  <c r="D38" i="36"/>
  <c r="E38" i="36" s="1"/>
  <c r="D48" i="36"/>
  <c r="E49" i="36"/>
  <c r="G5" i="36"/>
  <c r="J5" i="36"/>
  <c r="H9" i="36"/>
  <c r="K9" i="36"/>
  <c r="H12" i="36"/>
  <c r="K12" i="36"/>
  <c r="K19" i="35"/>
  <c r="H19" i="35"/>
  <c r="J19" i="35"/>
  <c r="G19" i="35"/>
  <c r="E52" i="35"/>
  <c r="D29" i="35"/>
  <c r="J5" i="35"/>
  <c r="G5" i="35"/>
  <c r="D32" i="35"/>
  <c r="K5" i="35"/>
  <c r="H5" i="35"/>
  <c r="D30" i="35"/>
  <c r="D35" i="35"/>
  <c r="D36" i="35"/>
  <c r="J16" i="35"/>
  <c r="G16" i="35"/>
  <c r="D39" i="35"/>
  <c r="K16" i="35"/>
  <c r="H16" i="35"/>
  <c r="K23" i="35"/>
  <c r="H23" i="35"/>
  <c r="J23" i="35"/>
  <c r="G23" i="35"/>
  <c r="D53" i="35"/>
  <c r="G9" i="35"/>
  <c r="J9" i="35"/>
  <c r="G12" i="35"/>
  <c r="J12" i="35"/>
  <c r="D33" i="35"/>
  <c r="D38" i="35"/>
  <c r="E38" i="35" s="1"/>
  <c r="D48" i="35"/>
  <c r="E49" i="35"/>
  <c r="H9" i="35"/>
  <c r="K9" i="35"/>
  <c r="H12" i="35"/>
  <c r="K12" i="35"/>
  <c r="E59" i="43" l="1"/>
  <c r="C58" i="43"/>
  <c r="D59" i="43"/>
  <c r="C57" i="43"/>
  <c r="C59" i="43" s="1"/>
  <c r="C62" i="43" s="1"/>
  <c r="H63" i="43" s="1"/>
  <c r="H64" i="43" s="1"/>
  <c r="D39" i="42"/>
  <c r="E38" i="42" s="1"/>
  <c r="K16" i="42"/>
  <c r="D36" i="42"/>
  <c r="J16" i="42"/>
  <c r="E35" i="42"/>
  <c r="D32" i="42"/>
  <c r="E32" i="42" s="1"/>
  <c r="K5" i="42"/>
  <c r="D29" i="42"/>
  <c r="E29" i="42" s="1"/>
  <c r="J5" i="42"/>
  <c r="J35" i="41"/>
  <c r="G35" i="41"/>
  <c r="K35" i="41"/>
  <c r="H35" i="41"/>
  <c r="E38" i="41"/>
  <c r="E43" i="41"/>
  <c r="J29" i="41"/>
  <c r="G29" i="41"/>
  <c r="K29" i="41"/>
  <c r="H29" i="41"/>
  <c r="E32" i="41"/>
  <c r="J5" i="38"/>
  <c r="D32" i="38"/>
  <c r="E32" i="38" s="1"/>
  <c r="K5" i="38"/>
  <c r="E38" i="38"/>
  <c r="D36" i="38"/>
  <c r="E35" i="38" s="1"/>
  <c r="J16" i="38"/>
  <c r="D39" i="38"/>
  <c r="K16" i="38"/>
  <c r="E29" i="37"/>
  <c r="D32" i="37"/>
  <c r="E32" i="37" s="1"/>
  <c r="K5" i="37"/>
  <c r="E38" i="37"/>
  <c r="D36" i="37"/>
  <c r="J16" i="37"/>
  <c r="D39" i="37"/>
  <c r="K16" i="37"/>
  <c r="E35" i="37"/>
  <c r="J35" i="36"/>
  <c r="G35" i="36"/>
  <c r="K35" i="36"/>
  <c r="H35" i="36"/>
  <c r="D52" i="36"/>
  <c r="E43" i="36"/>
  <c r="J29" i="36"/>
  <c r="G29" i="36"/>
  <c r="K29" i="36"/>
  <c r="H29" i="36"/>
  <c r="E53" i="36"/>
  <c r="E54" i="36" s="1"/>
  <c r="K38" i="36"/>
  <c r="H38" i="36"/>
  <c r="J38" i="36"/>
  <c r="G38" i="36"/>
  <c r="E32" i="36"/>
  <c r="E53" i="35"/>
  <c r="K38" i="35"/>
  <c r="H38" i="35"/>
  <c r="J38" i="35"/>
  <c r="G38" i="35"/>
  <c r="E35" i="35"/>
  <c r="E32" i="35"/>
  <c r="D52" i="35"/>
  <c r="C53" i="35"/>
  <c r="E29" i="35"/>
  <c r="E54" i="35"/>
  <c r="C53" i="36" l="1"/>
  <c r="C67" i="43"/>
  <c r="K29" i="42"/>
  <c r="H29" i="42"/>
  <c r="E43" i="42"/>
  <c r="J29" i="42"/>
  <c r="G29" i="42"/>
  <c r="E44" i="42"/>
  <c r="J32" i="42"/>
  <c r="G32" i="42"/>
  <c r="K32" i="42"/>
  <c r="H32" i="42"/>
  <c r="K35" i="42"/>
  <c r="H35" i="42"/>
  <c r="J35" i="42"/>
  <c r="G35" i="42"/>
  <c r="J38" i="42"/>
  <c r="G38" i="42"/>
  <c r="K38" i="42"/>
  <c r="H38" i="42"/>
  <c r="H43" i="41"/>
  <c r="E52" i="41" s="1"/>
  <c r="G43" i="41"/>
  <c r="D52" i="41" s="1"/>
  <c r="K32" i="41"/>
  <c r="H32" i="41"/>
  <c r="E44" i="41"/>
  <c r="J32" i="41"/>
  <c r="G32" i="41"/>
  <c r="K38" i="41"/>
  <c r="H38" i="41"/>
  <c r="J38" i="41"/>
  <c r="G38" i="41"/>
  <c r="J35" i="38"/>
  <c r="G35" i="38"/>
  <c r="K35" i="38"/>
  <c r="H35" i="38"/>
  <c r="K38" i="38"/>
  <c r="H38" i="38"/>
  <c r="J38" i="38"/>
  <c r="G38" i="38"/>
  <c r="K32" i="38"/>
  <c r="H32" i="38"/>
  <c r="J32" i="38"/>
  <c r="G32" i="38"/>
  <c r="J29" i="38"/>
  <c r="K29" i="38"/>
  <c r="H29" i="38"/>
  <c r="J35" i="37"/>
  <c r="K35" i="37"/>
  <c r="K38" i="37"/>
  <c r="J38" i="37"/>
  <c r="K32" i="37"/>
  <c r="E44" i="37"/>
  <c r="J32" i="37"/>
  <c r="J29" i="37"/>
  <c r="K29" i="37"/>
  <c r="C52" i="36"/>
  <c r="D54" i="36"/>
  <c r="K32" i="36"/>
  <c r="H32" i="36"/>
  <c r="E44" i="36"/>
  <c r="J32" i="36"/>
  <c r="G32" i="36"/>
  <c r="K43" i="36"/>
  <c r="E57" i="36" s="1"/>
  <c r="J43" i="36"/>
  <c r="D57" i="36" s="1"/>
  <c r="E43" i="35"/>
  <c r="J29" i="35"/>
  <c r="G29" i="35"/>
  <c r="K29" i="35"/>
  <c r="H29" i="35"/>
  <c r="C52" i="35"/>
  <c r="C54" i="35" s="1"/>
  <c r="D54" i="35"/>
  <c r="K32" i="35"/>
  <c r="H32" i="35"/>
  <c r="E44" i="35"/>
  <c r="J32" i="35"/>
  <c r="G32" i="35"/>
  <c r="J35" i="35"/>
  <c r="G35" i="35"/>
  <c r="K35" i="35"/>
  <c r="H35" i="35"/>
  <c r="C54" i="36" l="1"/>
  <c r="H44" i="42"/>
  <c r="E53" i="42" s="1"/>
  <c r="G44" i="42"/>
  <c r="D53" i="42" s="1"/>
  <c r="G43" i="42"/>
  <c r="D52" i="42" s="1"/>
  <c r="H43" i="42"/>
  <c r="E52" i="42" s="1"/>
  <c r="E54" i="42" s="1"/>
  <c r="C52" i="41"/>
  <c r="G44" i="41"/>
  <c r="D53" i="41" s="1"/>
  <c r="D54" i="41" s="1"/>
  <c r="H44" i="41"/>
  <c r="E53" i="41" s="1"/>
  <c r="E54" i="41" s="1"/>
  <c r="J43" i="41"/>
  <c r="D57" i="41" s="1"/>
  <c r="K43" i="41"/>
  <c r="E57" i="41" s="1"/>
  <c r="H43" i="38"/>
  <c r="H44" i="38"/>
  <c r="H43" i="37"/>
  <c r="E52" i="37" s="1"/>
  <c r="D52" i="37"/>
  <c r="G44" i="37"/>
  <c r="D53" i="37" s="1"/>
  <c r="H44" i="37"/>
  <c r="E53" i="37" s="1"/>
  <c r="C57" i="36"/>
  <c r="J44" i="36"/>
  <c r="D58" i="36" s="1"/>
  <c r="K44" i="36"/>
  <c r="E58" i="36" s="1"/>
  <c r="E59" i="36" s="1"/>
  <c r="J44" i="35"/>
  <c r="D58" i="35" s="1"/>
  <c r="K44" i="35"/>
  <c r="E58" i="35" s="1"/>
  <c r="K43" i="35"/>
  <c r="E57" i="35" s="1"/>
  <c r="J43" i="35"/>
  <c r="D57" i="35" s="1"/>
  <c r="C53" i="42" l="1"/>
  <c r="D54" i="42"/>
  <c r="C52" i="42"/>
  <c r="C54" i="42" s="1"/>
  <c r="K43" i="42"/>
  <c r="E57" i="42" s="1"/>
  <c r="J43" i="42"/>
  <c r="D57" i="42" s="1"/>
  <c r="J44" i="42"/>
  <c r="D58" i="42" s="1"/>
  <c r="C58" i="42" s="1"/>
  <c r="K44" i="42"/>
  <c r="E58" i="42" s="1"/>
  <c r="C57" i="41"/>
  <c r="K44" i="41"/>
  <c r="E58" i="41" s="1"/>
  <c r="J44" i="41"/>
  <c r="D58" i="41" s="1"/>
  <c r="E59" i="41"/>
  <c r="C53" i="41"/>
  <c r="C54" i="41" s="1"/>
  <c r="C53" i="38"/>
  <c r="C52" i="38"/>
  <c r="D54" i="38"/>
  <c r="E54" i="38"/>
  <c r="K44" i="38"/>
  <c r="J44" i="38"/>
  <c r="E59" i="38"/>
  <c r="C53" i="37"/>
  <c r="C52" i="37"/>
  <c r="D54" i="37"/>
  <c r="E54" i="37"/>
  <c r="K44" i="37"/>
  <c r="E58" i="37" s="1"/>
  <c r="J44" i="37"/>
  <c r="D58" i="37" s="1"/>
  <c r="C58" i="37" s="1"/>
  <c r="J43" i="37"/>
  <c r="D57" i="37" s="1"/>
  <c r="K43" i="37"/>
  <c r="E57" i="37" s="1"/>
  <c r="E59" i="37" s="1"/>
  <c r="C58" i="36"/>
  <c r="C59" i="36" s="1"/>
  <c r="D59" i="36"/>
  <c r="E59" i="35"/>
  <c r="C58" i="35"/>
  <c r="D59" i="35"/>
  <c r="C57" i="35"/>
  <c r="C62" i="36" l="1"/>
  <c r="C67" i="36" s="1"/>
  <c r="C69" i="36" s="1"/>
  <c r="C57" i="42"/>
  <c r="C59" i="42" s="1"/>
  <c r="D59" i="42"/>
  <c r="C67" i="42"/>
  <c r="E59" i="42"/>
  <c r="C58" i="41"/>
  <c r="C59" i="41" s="1"/>
  <c r="C67" i="41" s="1"/>
  <c r="D59" i="41"/>
  <c r="C58" i="38"/>
  <c r="C54" i="38"/>
  <c r="C57" i="38"/>
  <c r="C59" i="38" s="1"/>
  <c r="C54" i="37"/>
  <c r="D59" i="37"/>
  <c r="C57" i="37"/>
  <c r="C59" i="37" s="1"/>
  <c r="C59" i="35"/>
  <c r="C67" i="35" s="1"/>
  <c r="C67" i="38" l="1"/>
  <c r="C67" i="37"/>
  <c r="E5" i="33" l="1"/>
  <c r="E9" i="33"/>
  <c r="E16" i="33"/>
  <c r="E19" i="33"/>
  <c r="G5" i="28"/>
  <c r="J5" i="24"/>
  <c r="G5" i="23"/>
  <c r="G43" i="29"/>
  <c r="I16" i="31"/>
  <c r="G16" i="31"/>
  <c r="K16" i="32" l="1"/>
  <c r="J16" i="32"/>
  <c r="K12" i="32"/>
  <c r="J12" i="32"/>
  <c r="K9" i="32"/>
  <c r="J9" i="32"/>
  <c r="K5" i="32"/>
  <c r="J5" i="32"/>
  <c r="H16" i="32"/>
  <c r="H12" i="32"/>
  <c r="H9" i="32"/>
  <c r="H5" i="32"/>
  <c r="G16" i="32"/>
  <c r="G12" i="32"/>
  <c r="G9" i="32"/>
  <c r="G5" i="32"/>
  <c r="E24" i="32"/>
  <c r="D24" i="32"/>
  <c r="D17" i="32"/>
  <c r="D14" i="32"/>
  <c r="D13" i="32"/>
  <c r="E12" i="32"/>
  <c r="D10" i="32"/>
  <c r="E9" i="32"/>
  <c r="D7" i="32"/>
  <c r="D6" i="32"/>
  <c r="H19" i="32" s="1"/>
  <c r="E27" i="32" s="1"/>
  <c r="G19" i="32"/>
  <c r="D27" i="32" s="1"/>
  <c r="K19" i="33"/>
  <c r="J19" i="33"/>
  <c r="H19" i="33"/>
  <c r="E24" i="33"/>
  <c r="E28" i="33" s="1"/>
  <c r="D24" i="33"/>
  <c r="D28" i="33" s="1"/>
  <c r="D17" i="33"/>
  <c r="H16" i="33"/>
  <c r="G16" i="33"/>
  <c r="J16" i="33"/>
  <c r="D14" i="33"/>
  <c r="D13" i="33"/>
  <c r="H12" i="33" s="1"/>
  <c r="D10" i="33"/>
  <c r="H9" i="33" s="1"/>
  <c r="D7" i="33"/>
  <c r="D6" i="33"/>
  <c r="H5" i="33"/>
  <c r="J5" i="23"/>
  <c r="L27" i="31"/>
  <c r="L26" i="31"/>
  <c r="E24" i="31"/>
  <c r="I24" i="31" s="1"/>
  <c r="E23" i="31"/>
  <c r="I23" i="31" s="1"/>
  <c r="I26" i="31" s="1"/>
  <c r="E9" i="31"/>
  <c r="I9" i="31" s="1"/>
  <c r="F8" i="31"/>
  <c r="E8" i="31"/>
  <c r="H8" i="31" s="1"/>
  <c r="I11" i="31" s="1"/>
  <c r="G6" i="31"/>
  <c r="F6" i="31"/>
  <c r="G7" i="31" s="1"/>
  <c r="I4" i="31"/>
  <c r="H6" i="31" s="1"/>
  <c r="I7" i="31" s="1"/>
  <c r="H4" i="31"/>
  <c r="I6" i="31" s="1"/>
  <c r="L27" i="30"/>
  <c r="L26" i="30"/>
  <c r="E24" i="30"/>
  <c r="I24" i="30" s="1"/>
  <c r="E23" i="30"/>
  <c r="I23" i="30" s="1"/>
  <c r="I26" i="30" s="1"/>
  <c r="I4" i="30"/>
  <c r="H4" i="30"/>
  <c r="E9" i="30"/>
  <c r="G6" i="30" s="1"/>
  <c r="E8" i="30"/>
  <c r="H6" i="30" s="1"/>
  <c r="F8" i="30" l="1"/>
  <c r="H8" i="30"/>
  <c r="F6" i="30"/>
  <c r="G7" i="30" s="1"/>
  <c r="I6" i="30"/>
  <c r="I7" i="30" s="1"/>
  <c r="F23" i="30"/>
  <c r="F24" i="30"/>
  <c r="H23" i="30"/>
  <c r="H26" i="30" s="1"/>
  <c r="I21" i="30" s="1"/>
  <c r="H28" i="30" s="1"/>
  <c r="H24" i="30"/>
  <c r="G9" i="30"/>
  <c r="I9" i="30"/>
  <c r="G23" i="30"/>
  <c r="G26" i="30" s="1"/>
  <c r="G24" i="30"/>
  <c r="F23" i="31"/>
  <c r="C28" i="33"/>
  <c r="H23" i="31"/>
  <c r="D27" i="33"/>
  <c r="E27" i="33"/>
  <c r="E29" i="33" s="1"/>
  <c r="C27" i="32"/>
  <c r="E5" i="32"/>
  <c r="E16" i="32"/>
  <c r="D20" i="32"/>
  <c r="G9" i="33"/>
  <c r="G19" i="33" s="1"/>
  <c r="G12" i="33"/>
  <c r="K5" i="33"/>
  <c r="K16" i="33"/>
  <c r="D19" i="33"/>
  <c r="J5" i="33"/>
  <c r="E12" i="33"/>
  <c r="G9" i="31"/>
  <c r="G11" i="31" s="1"/>
  <c r="G23" i="31"/>
  <c r="F24" i="31"/>
  <c r="F26" i="31" s="1"/>
  <c r="H24" i="31"/>
  <c r="H26" i="31" s="1"/>
  <c r="I21" i="31" s="1"/>
  <c r="I28" i="31" s="1"/>
  <c r="G24" i="31"/>
  <c r="J48" i="29"/>
  <c r="H48" i="29"/>
  <c r="C61" i="29"/>
  <c r="C49" i="29"/>
  <c r="C48" i="29"/>
  <c r="E47" i="29"/>
  <c r="E48" i="29" s="1"/>
  <c r="D47" i="29"/>
  <c r="D49" i="29" s="1"/>
  <c r="K27" i="29"/>
  <c r="J27" i="29"/>
  <c r="D27" i="29"/>
  <c r="D25" i="29"/>
  <c r="D24" i="29"/>
  <c r="D23" i="29"/>
  <c r="E23" i="29" s="1"/>
  <c r="D21" i="29"/>
  <c r="D20" i="29"/>
  <c r="D19" i="29"/>
  <c r="E19" i="29" s="1"/>
  <c r="D17" i="29"/>
  <c r="H16" i="29" s="1"/>
  <c r="E16" i="29"/>
  <c r="D14" i="29"/>
  <c r="D13" i="29"/>
  <c r="H12" i="29"/>
  <c r="E12" i="29"/>
  <c r="D10" i="29"/>
  <c r="H9" i="29"/>
  <c r="E9" i="29"/>
  <c r="D7" i="29"/>
  <c r="D6" i="29"/>
  <c r="H5" i="29" s="1"/>
  <c r="C61" i="28"/>
  <c r="C49" i="28"/>
  <c r="C48" i="28"/>
  <c r="E47" i="28"/>
  <c r="E49" i="28" s="1"/>
  <c r="D47" i="28"/>
  <c r="D49" i="28" s="1"/>
  <c r="K27" i="28"/>
  <c r="J27" i="28"/>
  <c r="D27" i="28"/>
  <c r="D25" i="28"/>
  <c r="D24" i="28"/>
  <c r="D23" i="28"/>
  <c r="E23" i="28" s="1"/>
  <c r="D21" i="28"/>
  <c r="D20" i="28"/>
  <c r="D19" i="28"/>
  <c r="E19" i="28" s="1"/>
  <c r="D17" i="28"/>
  <c r="E16" i="28"/>
  <c r="D36" i="28" s="1"/>
  <c r="D14" i="28"/>
  <c r="D13" i="28"/>
  <c r="E12" i="28"/>
  <c r="D35" i="28" s="1"/>
  <c r="D10" i="28"/>
  <c r="E9" i="28"/>
  <c r="D30" i="28" s="1"/>
  <c r="D7" i="28"/>
  <c r="D6" i="28"/>
  <c r="E5" i="28"/>
  <c r="D29" i="28" s="1"/>
  <c r="E29" i="28" s="1"/>
  <c r="H44" i="26"/>
  <c r="G43" i="26"/>
  <c r="F26" i="30" l="1"/>
  <c r="I29" i="30"/>
  <c r="I30" i="30" s="1"/>
  <c r="H32" i="30"/>
  <c r="G21" i="30"/>
  <c r="F28" i="30" s="1"/>
  <c r="G29" i="30" s="1"/>
  <c r="G30" i="30" s="1"/>
  <c r="G11" i="30"/>
  <c r="G16" i="30" s="1"/>
  <c r="I11" i="30"/>
  <c r="I16" i="30" s="1"/>
  <c r="C27" i="33"/>
  <c r="D29" i="33"/>
  <c r="C29" i="33" s="1"/>
  <c r="D19" i="32"/>
  <c r="E19" i="32" s="1"/>
  <c r="K12" i="33"/>
  <c r="D20" i="33"/>
  <c r="J12" i="33"/>
  <c r="K9" i="33"/>
  <c r="J9" i="33"/>
  <c r="G26" i="31"/>
  <c r="G21" i="31" s="1"/>
  <c r="J49" i="29"/>
  <c r="H49" i="29"/>
  <c r="E48" i="28"/>
  <c r="K19" i="29"/>
  <c r="H19" i="29"/>
  <c r="J19" i="29"/>
  <c r="G19" i="29"/>
  <c r="D30" i="29"/>
  <c r="D35" i="29"/>
  <c r="E35" i="29" s="1"/>
  <c r="D36" i="29"/>
  <c r="K23" i="29"/>
  <c r="H23" i="29"/>
  <c r="J23" i="29"/>
  <c r="G23" i="29"/>
  <c r="E5" i="29"/>
  <c r="J9" i="29"/>
  <c r="J12" i="29"/>
  <c r="K16" i="29"/>
  <c r="D33" i="29"/>
  <c r="D38" i="29"/>
  <c r="D39" i="29"/>
  <c r="D48" i="29"/>
  <c r="E49" i="29"/>
  <c r="K9" i="29"/>
  <c r="K12" i="29"/>
  <c r="J16" i="29"/>
  <c r="E35" i="28"/>
  <c r="J35" i="28" s="1"/>
  <c r="G35" i="28"/>
  <c r="H35" i="28"/>
  <c r="K23" i="28"/>
  <c r="H23" i="28"/>
  <c r="J23" i="28"/>
  <c r="G23" i="28"/>
  <c r="E43" i="28"/>
  <c r="J29" i="28"/>
  <c r="G29" i="28"/>
  <c r="K29" i="28"/>
  <c r="H29" i="28"/>
  <c r="K19" i="28"/>
  <c r="H19" i="28"/>
  <c r="J19" i="28"/>
  <c r="G19" i="28"/>
  <c r="H5" i="28"/>
  <c r="K5" i="28"/>
  <c r="G9" i="28"/>
  <c r="J9" i="28"/>
  <c r="G12" i="28"/>
  <c r="J12" i="28"/>
  <c r="H16" i="28"/>
  <c r="K16" i="28"/>
  <c r="D32" i="28"/>
  <c r="D33" i="28"/>
  <c r="D38" i="28"/>
  <c r="D39" i="28"/>
  <c r="D48" i="28"/>
  <c r="J5" i="28"/>
  <c r="H9" i="28"/>
  <c r="K9" i="28"/>
  <c r="H12" i="28"/>
  <c r="K12" i="28"/>
  <c r="G16" i="28"/>
  <c r="J16" i="28"/>
  <c r="G29" i="33" l="1"/>
  <c r="G30" i="33" s="1"/>
  <c r="K49" i="29"/>
  <c r="J19" i="32"/>
  <c r="D28" i="32" s="1"/>
  <c r="K19" i="32"/>
  <c r="E28" i="32" s="1"/>
  <c r="E29" i="32" s="1"/>
  <c r="G28" i="31"/>
  <c r="F31" i="31"/>
  <c r="I31" i="31" s="1"/>
  <c r="F30" i="31"/>
  <c r="I30" i="31" s="1"/>
  <c r="D29" i="29"/>
  <c r="E29" i="29" s="1"/>
  <c r="J5" i="29"/>
  <c r="D32" i="29"/>
  <c r="E32" i="29" s="1"/>
  <c r="K5" i="29"/>
  <c r="J35" i="29"/>
  <c r="G35" i="29"/>
  <c r="K35" i="29"/>
  <c r="H35" i="29"/>
  <c r="E38" i="29"/>
  <c r="K35" i="28"/>
  <c r="E38" i="28"/>
  <c r="K38" i="28" s="1"/>
  <c r="H38" i="28"/>
  <c r="G38" i="28"/>
  <c r="E32" i="28"/>
  <c r="H43" i="28"/>
  <c r="E52" i="28" s="1"/>
  <c r="G43" i="28"/>
  <c r="D52" i="28" s="1"/>
  <c r="C28" i="32" l="1"/>
  <c r="D29" i="32"/>
  <c r="C29" i="32" s="1"/>
  <c r="G29" i="32" s="1"/>
  <c r="G30" i="32" s="1"/>
  <c r="G30" i="31"/>
  <c r="G31" i="31"/>
  <c r="K38" i="29"/>
  <c r="H38" i="29"/>
  <c r="J38" i="29"/>
  <c r="G38" i="29"/>
  <c r="K32" i="29"/>
  <c r="H32" i="29"/>
  <c r="E44" i="29"/>
  <c r="J32" i="29"/>
  <c r="G32" i="29"/>
  <c r="E43" i="29"/>
  <c r="J29" i="29"/>
  <c r="G29" i="29"/>
  <c r="K29" i="29"/>
  <c r="H29" i="29"/>
  <c r="J38" i="28"/>
  <c r="C52" i="28"/>
  <c r="K32" i="28"/>
  <c r="H32" i="28"/>
  <c r="E44" i="28"/>
  <c r="J32" i="28"/>
  <c r="G32" i="28"/>
  <c r="J43" i="28"/>
  <c r="D57" i="28" s="1"/>
  <c r="K43" i="28"/>
  <c r="E57" i="28" s="1"/>
  <c r="H43" i="29" l="1"/>
  <c r="E52" i="29" s="1"/>
  <c r="D52" i="29"/>
  <c r="G44" i="29"/>
  <c r="D53" i="29" s="1"/>
  <c r="H44" i="29"/>
  <c r="E53" i="29" s="1"/>
  <c r="C57" i="28"/>
  <c r="G44" i="28"/>
  <c r="D53" i="28" s="1"/>
  <c r="H44" i="28"/>
  <c r="E53" i="28" s="1"/>
  <c r="E54" i="28" s="1"/>
  <c r="G43" i="24"/>
  <c r="C53" i="29" l="1"/>
  <c r="E54" i="29"/>
  <c r="C52" i="29"/>
  <c r="C54" i="29" s="1"/>
  <c r="D54" i="29"/>
  <c r="K44" i="29"/>
  <c r="E58" i="29" s="1"/>
  <c r="J44" i="29"/>
  <c r="D58" i="29" s="1"/>
  <c r="J43" i="29"/>
  <c r="D57" i="29" s="1"/>
  <c r="K43" i="29"/>
  <c r="E57" i="29" s="1"/>
  <c r="E59" i="29" s="1"/>
  <c r="K44" i="28"/>
  <c r="E58" i="28" s="1"/>
  <c r="E59" i="28" s="1"/>
  <c r="J44" i="28"/>
  <c r="D58" i="28" s="1"/>
  <c r="C53" i="28"/>
  <c r="C54" i="28" s="1"/>
  <c r="D54" i="28"/>
  <c r="C58" i="29" l="1"/>
  <c r="D59" i="29"/>
  <c r="C57" i="29"/>
  <c r="C59" i="29" s="1"/>
  <c r="C62" i="29" s="1"/>
  <c r="H63" i="29" s="1"/>
  <c r="H64" i="29" s="1"/>
  <c r="C58" i="28"/>
  <c r="C59" i="28" s="1"/>
  <c r="C62" i="28" s="1"/>
  <c r="D59" i="28"/>
  <c r="C67" i="28" l="1"/>
  <c r="C67" i="29"/>
  <c r="H16" i="24" l="1"/>
  <c r="H12" i="24"/>
  <c r="H9" i="24"/>
  <c r="H5" i="24"/>
  <c r="G16" i="24"/>
  <c r="G12" i="24"/>
  <c r="G9" i="24"/>
  <c r="C61" i="26" l="1"/>
  <c r="C49" i="26"/>
  <c r="C48" i="26"/>
  <c r="E47" i="26"/>
  <c r="E49" i="26" s="1"/>
  <c r="D47" i="26"/>
  <c r="D48" i="26" s="1"/>
  <c r="K27" i="26"/>
  <c r="J27" i="26"/>
  <c r="D27" i="26"/>
  <c r="D25" i="26"/>
  <c r="D24" i="26"/>
  <c r="E23" i="26"/>
  <c r="J23" i="26" s="1"/>
  <c r="D23" i="26"/>
  <c r="D21" i="26"/>
  <c r="D20" i="26"/>
  <c r="E19" i="26"/>
  <c r="J19" i="26" s="1"/>
  <c r="D19" i="26"/>
  <c r="D17" i="26"/>
  <c r="H16" i="26" s="1"/>
  <c r="G16" i="26"/>
  <c r="D14" i="26"/>
  <c r="G12" i="26" s="1"/>
  <c r="D13" i="26"/>
  <c r="H12" i="26"/>
  <c r="E12" i="26"/>
  <c r="D38" i="26" s="1"/>
  <c r="D10" i="26"/>
  <c r="H9" i="26"/>
  <c r="G9" i="26"/>
  <c r="E9" i="26"/>
  <c r="D33" i="26" s="1"/>
  <c r="D7" i="26"/>
  <c r="D6" i="26"/>
  <c r="H5" i="26" s="1"/>
  <c r="E48" i="26" l="1"/>
  <c r="K9" i="26"/>
  <c r="K12" i="26"/>
  <c r="H19" i="26"/>
  <c r="K19" i="26"/>
  <c r="H23" i="26"/>
  <c r="K23" i="26"/>
  <c r="D30" i="26"/>
  <c r="D35" i="26"/>
  <c r="D49" i="26"/>
  <c r="E5" i="26"/>
  <c r="J9" i="26"/>
  <c r="J12" i="26"/>
  <c r="E16" i="26"/>
  <c r="G19" i="26"/>
  <c r="G23" i="26"/>
  <c r="G19" i="24"/>
  <c r="E5" i="24"/>
  <c r="C61" i="24"/>
  <c r="C49" i="24"/>
  <c r="C48" i="24"/>
  <c r="E47" i="24"/>
  <c r="D47" i="24"/>
  <c r="K27" i="24"/>
  <c r="J27" i="24"/>
  <c r="D27" i="24"/>
  <c r="D25" i="24"/>
  <c r="D24" i="24"/>
  <c r="D23" i="24"/>
  <c r="E23" i="24" s="1"/>
  <c r="D21" i="24"/>
  <c r="D20" i="24"/>
  <c r="D19" i="24"/>
  <c r="E19" i="24" s="1"/>
  <c r="D17" i="24"/>
  <c r="E16" i="24" s="1"/>
  <c r="D14" i="24"/>
  <c r="D13" i="24"/>
  <c r="E12" i="24"/>
  <c r="D10" i="24"/>
  <c r="E9" i="24"/>
  <c r="D7" i="24"/>
  <c r="D6" i="24"/>
  <c r="D49" i="24" l="1"/>
  <c r="K16" i="24"/>
  <c r="J16" i="24"/>
  <c r="J12" i="24"/>
  <c r="K12" i="24"/>
  <c r="K9" i="24"/>
  <c r="J9" i="24"/>
  <c r="K5" i="24"/>
  <c r="D29" i="24"/>
  <c r="E48" i="24"/>
  <c r="D39" i="26"/>
  <c r="E38" i="26" s="1"/>
  <c r="K16" i="26"/>
  <c r="D36" i="26"/>
  <c r="J16" i="26"/>
  <c r="E35" i="26"/>
  <c r="D32" i="26"/>
  <c r="E32" i="26" s="1"/>
  <c r="K5" i="26"/>
  <c r="D29" i="26"/>
  <c r="E29" i="26" s="1"/>
  <c r="J5" i="26"/>
  <c r="K19" i="24"/>
  <c r="H19" i="24"/>
  <c r="J19" i="24"/>
  <c r="D30" i="24"/>
  <c r="D35" i="24"/>
  <c r="D36" i="24"/>
  <c r="D39" i="24"/>
  <c r="K23" i="24"/>
  <c r="H23" i="24"/>
  <c r="J23" i="24"/>
  <c r="G23" i="24"/>
  <c r="D32" i="24"/>
  <c r="D33" i="24"/>
  <c r="D38" i="24"/>
  <c r="E38" i="24" s="1"/>
  <c r="D48" i="24"/>
  <c r="E49" i="24"/>
  <c r="H38" i="24" l="1"/>
  <c r="G38" i="24"/>
  <c r="E29" i="24"/>
  <c r="H29" i="24" s="1"/>
  <c r="G29" i="24"/>
  <c r="K29" i="26"/>
  <c r="H29" i="26"/>
  <c r="E43" i="26"/>
  <c r="J29" i="26"/>
  <c r="G29" i="26"/>
  <c r="E44" i="26"/>
  <c r="J32" i="26"/>
  <c r="G32" i="26"/>
  <c r="K32" i="26"/>
  <c r="H32" i="26"/>
  <c r="K35" i="26"/>
  <c r="H35" i="26"/>
  <c r="J35" i="26"/>
  <c r="G35" i="26"/>
  <c r="J38" i="26"/>
  <c r="G38" i="26"/>
  <c r="K38" i="26"/>
  <c r="H38" i="26"/>
  <c r="K38" i="24"/>
  <c r="J38" i="24"/>
  <c r="E32" i="24"/>
  <c r="E35" i="24"/>
  <c r="J29" i="24"/>
  <c r="K29" i="24"/>
  <c r="H35" i="24" l="1"/>
  <c r="G35" i="24"/>
  <c r="E43" i="24"/>
  <c r="H43" i="24"/>
  <c r="H32" i="24"/>
  <c r="G32" i="24"/>
  <c r="E53" i="26"/>
  <c r="G44" i="26"/>
  <c r="D53" i="26" s="1"/>
  <c r="C53" i="26" s="1"/>
  <c r="D52" i="26"/>
  <c r="H43" i="26"/>
  <c r="E52" i="26" s="1"/>
  <c r="E54" i="26" s="1"/>
  <c r="J35" i="24"/>
  <c r="K35" i="24"/>
  <c r="K43" i="24"/>
  <c r="E57" i="24" s="1"/>
  <c r="E52" i="24"/>
  <c r="K32" i="24"/>
  <c r="E44" i="24"/>
  <c r="J32" i="24"/>
  <c r="D52" i="24" l="1"/>
  <c r="J43" i="24"/>
  <c r="D57" i="24" s="1"/>
  <c r="C57" i="24" s="1"/>
  <c r="G44" i="24"/>
  <c r="H44" i="24"/>
  <c r="D54" i="26"/>
  <c r="C52" i="26"/>
  <c r="C54" i="26" s="1"/>
  <c r="K43" i="26"/>
  <c r="E57" i="26" s="1"/>
  <c r="J43" i="26"/>
  <c r="D57" i="26" s="1"/>
  <c r="J44" i="26"/>
  <c r="D58" i="26" s="1"/>
  <c r="K44" i="26"/>
  <c r="E58" i="26" s="1"/>
  <c r="C52" i="24"/>
  <c r="D53" i="24"/>
  <c r="E53" i="24"/>
  <c r="E54" i="24" s="1"/>
  <c r="D54" i="24" l="1"/>
  <c r="C57" i="26"/>
  <c r="D59" i="26"/>
  <c r="C58" i="26"/>
  <c r="E59" i="26"/>
  <c r="K44" i="24"/>
  <c r="E58" i="24" s="1"/>
  <c r="E59" i="24" s="1"/>
  <c r="J44" i="24"/>
  <c r="D58" i="24" s="1"/>
  <c r="C53" i="24"/>
  <c r="C54" i="24" s="1"/>
  <c r="C59" i="26" l="1"/>
  <c r="C67" i="26" s="1"/>
  <c r="C58" i="24"/>
  <c r="C59" i="24" s="1"/>
  <c r="C62" i="24" s="1"/>
  <c r="D59" i="24"/>
  <c r="C67" i="24" l="1"/>
  <c r="C61" i="23"/>
  <c r="C49" i="23"/>
  <c r="C48" i="23"/>
  <c r="E47" i="23"/>
  <c r="E49" i="23" s="1"/>
  <c r="D47" i="23"/>
  <c r="D49" i="23" s="1"/>
  <c r="K27" i="23"/>
  <c r="J27" i="23"/>
  <c r="D27" i="23"/>
  <c r="D25" i="23"/>
  <c r="D24" i="23"/>
  <c r="D23" i="23"/>
  <c r="E23" i="23" s="1"/>
  <c r="D21" i="23"/>
  <c r="D20" i="23"/>
  <c r="D19" i="23"/>
  <c r="E19" i="23" s="1"/>
  <c r="D17" i="23"/>
  <c r="E16" i="23"/>
  <c r="D36" i="23" s="1"/>
  <c r="D14" i="23"/>
  <c r="D13" i="23"/>
  <c r="E12" i="23"/>
  <c r="D35" i="23" s="1"/>
  <c r="D10" i="23"/>
  <c r="E9" i="23"/>
  <c r="D30" i="23" s="1"/>
  <c r="D7" i="23"/>
  <c r="D6" i="23"/>
  <c r="E5" i="23" s="1"/>
  <c r="C61" i="22"/>
  <c r="C49" i="22"/>
  <c r="C48" i="22"/>
  <c r="E47" i="22"/>
  <c r="E49" i="22" s="1"/>
  <c r="D47" i="22"/>
  <c r="D49" i="22" s="1"/>
  <c r="K27" i="22"/>
  <c r="J27" i="22"/>
  <c r="D27" i="22"/>
  <c r="D25" i="22"/>
  <c r="D24" i="22"/>
  <c r="D23" i="22"/>
  <c r="E23" i="22" s="1"/>
  <c r="D21" i="22"/>
  <c r="D20" i="22"/>
  <c r="D19" i="22"/>
  <c r="E19" i="22" s="1"/>
  <c r="D17" i="22"/>
  <c r="E16" i="22"/>
  <c r="D36" i="22" s="1"/>
  <c r="D14" i="22"/>
  <c r="D13" i="22"/>
  <c r="E12" i="22"/>
  <c r="D35" i="22" s="1"/>
  <c r="E35" i="22" s="1"/>
  <c r="D10" i="22"/>
  <c r="E9" i="22"/>
  <c r="D30" i="22" s="1"/>
  <c r="D7" i="22"/>
  <c r="D6" i="22"/>
  <c r="E5" i="22"/>
  <c r="D29" i="22" s="1"/>
  <c r="C61" i="21"/>
  <c r="C49" i="21"/>
  <c r="C48" i="21"/>
  <c r="E47" i="21"/>
  <c r="E48" i="21" s="1"/>
  <c r="D47" i="21"/>
  <c r="D49" i="21" s="1"/>
  <c r="K27" i="21"/>
  <c r="J27" i="21"/>
  <c r="D27" i="21"/>
  <c r="D25" i="21"/>
  <c r="D24" i="21"/>
  <c r="D23" i="21"/>
  <c r="E23" i="21" s="1"/>
  <c r="D21" i="21"/>
  <c r="D20" i="21"/>
  <c r="D19" i="21"/>
  <c r="E19" i="21" s="1"/>
  <c r="D17" i="21"/>
  <c r="E16" i="21" s="1"/>
  <c r="D14" i="21"/>
  <c r="D13" i="21"/>
  <c r="E12" i="21"/>
  <c r="D35" i="21" s="1"/>
  <c r="D10" i="21"/>
  <c r="E9" i="21"/>
  <c r="D30" i="21" s="1"/>
  <c r="D7" i="21"/>
  <c r="D6" i="21"/>
  <c r="E5" i="21" s="1"/>
  <c r="C61" i="20"/>
  <c r="C49" i="20"/>
  <c r="C48" i="20"/>
  <c r="E47" i="20"/>
  <c r="E48" i="20" s="1"/>
  <c r="D47" i="20"/>
  <c r="D49" i="20" s="1"/>
  <c r="K27" i="20"/>
  <c r="J27" i="20"/>
  <c r="D27" i="20"/>
  <c r="D25" i="20"/>
  <c r="D24" i="20"/>
  <c r="D23" i="20"/>
  <c r="E23" i="20" s="1"/>
  <c r="D21" i="20"/>
  <c r="D20" i="20"/>
  <c r="D19" i="20"/>
  <c r="E19" i="20" s="1"/>
  <c r="D17" i="20"/>
  <c r="E16" i="20" s="1"/>
  <c r="D14" i="20"/>
  <c r="D13" i="20"/>
  <c r="E12" i="20"/>
  <c r="D35" i="20" s="1"/>
  <c r="D10" i="20"/>
  <c r="E9" i="20"/>
  <c r="D30" i="20" s="1"/>
  <c r="D7" i="20"/>
  <c r="D6" i="20"/>
  <c r="E5" i="20" s="1"/>
  <c r="C58" i="19"/>
  <c r="C57" i="19"/>
  <c r="C53" i="19"/>
  <c r="C52" i="19"/>
  <c r="E49" i="19"/>
  <c r="G16" i="23" l="1"/>
  <c r="E48" i="23"/>
  <c r="K23" i="23"/>
  <c r="H23" i="23"/>
  <c r="J23" i="23"/>
  <c r="G23" i="23"/>
  <c r="D29" i="23"/>
  <c r="E29" i="23" s="1"/>
  <c r="D32" i="23"/>
  <c r="K5" i="23"/>
  <c r="H5" i="23"/>
  <c r="E35" i="23"/>
  <c r="K19" i="23"/>
  <c r="H19" i="23"/>
  <c r="J19" i="23"/>
  <c r="G19" i="23"/>
  <c r="G9" i="23"/>
  <c r="J9" i="23"/>
  <c r="G12" i="23"/>
  <c r="J12" i="23"/>
  <c r="H16" i="23"/>
  <c r="K16" i="23"/>
  <c r="D33" i="23"/>
  <c r="D38" i="23"/>
  <c r="E38" i="23" s="1"/>
  <c r="D39" i="23"/>
  <c r="D48" i="23"/>
  <c r="H9" i="23"/>
  <c r="K9" i="23"/>
  <c r="H12" i="23"/>
  <c r="K12" i="23"/>
  <c r="J16" i="23"/>
  <c r="E48" i="22"/>
  <c r="E52" i="22" s="1"/>
  <c r="J35" i="22"/>
  <c r="G35" i="22"/>
  <c r="K35" i="22"/>
  <c r="H35" i="22"/>
  <c r="K23" i="22"/>
  <c r="H23" i="22"/>
  <c r="J23" i="22"/>
  <c r="G23" i="22"/>
  <c r="D53" i="22"/>
  <c r="E29" i="22"/>
  <c r="K19" i="22"/>
  <c r="H19" i="22"/>
  <c r="J19" i="22"/>
  <c r="G19" i="22"/>
  <c r="E53" i="22"/>
  <c r="E54" i="22" s="1"/>
  <c r="H5" i="22"/>
  <c r="K5" i="22"/>
  <c r="G9" i="22"/>
  <c r="J9" i="22"/>
  <c r="G12" i="22"/>
  <c r="J12" i="22"/>
  <c r="H16" i="22"/>
  <c r="K16" i="22"/>
  <c r="D32" i="22"/>
  <c r="E32" i="22" s="1"/>
  <c r="D33" i="22"/>
  <c r="D38" i="22"/>
  <c r="E38" i="22" s="1"/>
  <c r="D39" i="22"/>
  <c r="D48" i="22"/>
  <c r="G5" i="22"/>
  <c r="J5" i="22"/>
  <c r="H9" i="22"/>
  <c r="K9" i="22"/>
  <c r="H12" i="22"/>
  <c r="K12" i="22"/>
  <c r="G16" i="22"/>
  <c r="J16" i="22"/>
  <c r="D29" i="21"/>
  <c r="E29" i="21" s="1"/>
  <c r="J5" i="21"/>
  <c r="G5" i="21"/>
  <c r="D32" i="21"/>
  <c r="K5" i="21"/>
  <c r="H5" i="21"/>
  <c r="K19" i="21"/>
  <c r="H19" i="21"/>
  <c r="J19" i="21"/>
  <c r="G19" i="21"/>
  <c r="E52" i="21"/>
  <c r="D36" i="21"/>
  <c r="E35" i="21" s="1"/>
  <c r="J16" i="21"/>
  <c r="G16" i="21"/>
  <c r="D39" i="21"/>
  <c r="K16" i="21"/>
  <c r="H16" i="21"/>
  <c r="K23" i="21"/>
  <c r="H23" i="21"/>
  <c r="J23" i="21"/>
  <c r="G23" i="21"/>
  <c r="D53" i="21"/>
  <c r="G9" i="21"/>
  <c r="J9" i="21"/>
  <c r="G12" i="21"/>
  <c r="J12" i="21"/>
  <c r="D33" i="21"/>
  <c r="D38" i="21"/>
  <c r="E38" i="21" s="1"/>
  <c r="D48" i="21"/>
  <c r="E49" i="21"/>
  <c r="H9" i="21"/>
  <c r="K9" i="21"/>
  <c r="H12" i="21"/>
  <c r="K12" i="21"/>
  <c r="K19" i="20"/>
  <c r="H19" i="20"/>
  <c r="J19" i="20"/>
  <c r="G19" i="20"/>
  <c r="E52" i="20"/>
  <c r="D29" i="20"/>
  <c r="E29" i="20" s="1"/>
  <c r="J5" i="20"/>
  <c r="D32" i="20"/>
  <c r="K5" i="20"/>
  <c r="H5" i="20"/>
  <c r="G5" i="20"/>
  <c r="D36" i="20"/>
  <c r="E35" i="20" s="1"/>
  <c r="J16" i="20"/>
  <c r="G16" i="20"/>
  <c r="D39" i="20"/>
  <c r="K16" i="20"/>
  <c r="H16" i="20"/>
  <c r="K23" i="20"/>
  <c r="H23" i="20"/>
  <c r="J23" i="20"/>
  <c r="G23" i="20"/>
  <c r="D53" i="20"/>
  <c r="G9" i="20"/>
  <c r="J9" i="20"/>
  <c r="G12" i="20"/>
  <c r="J12" i="20"/>
  <c r="D33" i="20"/>
  <c r="D38" i="20"/>
  <c r="E38" i="20" s="1"/>
  <c r="D48" i="20"/>
  <c r="E49" i="20"/>
  <c r="H9" i="20"/>
  <c r="K9" i="20"/>
  <c r="H12" i="20"/>
  <c r="K12" i="20"/>
  <c r="K38" i="23" l="1"/>
  <c r="H38" i="23"/>
  <c r="J38" i="23"/>
  <c r="G38" i="23"/>
  <c r="E32" i="23"/>
  <c r="J35" i="23"/>
  <c r="G35" i="23"/>
  <c r="K35" i="23"/>
  <c r="H35" i="23"/>
  <c r="E43" i="23"/>
  <c r="J29" i="23"/>
  <c r="G29" i="23"/>
  <c r="K29" i="23"/>
  <c r="H29" i="23"/>
  <c r="D52" i="22"/>
  <c r="K38" i="22"/>
  <c r="H38" i="22"/>
  <c r="J38" i="22"/>
  <c r="G38" i="22"/>
  <c r="K32" i="22"/>
  <c r="H32" i="22"/>
  <c r="E44" i="22"/>
  <c r="J32" i="22"/>
  <c r="G32" i="22"/>
  <c r="E43" i="22"/>
  <c r="J29" i="22"/>
  <c r="G29" i="22"/>
  <c r="K29" i="22"/>
  <c r="H29" i="22"/>
  <c r="C53" i="22"/>
  <c r="J35" i="21"/>
  <c r="G35" i="21"/>
  <c r="K35" i="21"/>
  <c r="H35" i="21"/>
  <c r="D52" i="21"/>
  <c r="E32" i="21"/>
  <c r="E53" i="21"/>
  <c r="E54" i="21" s="1"/>
  <c r="K38" i="21"/>
  <c r="H38" i="21"/>
  <c r="J38" i="21"/>
  <c r="G38" i="21"/>
  <c r="E43" i="21"/>
  <c r="J29" i="21"/>
  <c r="G29" i="21"/>
  <c r="K29" i="21"/>
  <c r="H29" i="21"/>
  <c r="J35" i="20"/>
  <c r="G35" i="20"/>
  <c r="K35" i="20"/>
  <c r="H35" i="20"/>
  <c r="E32" i="20"/>
  <c r="E43" i="20"/>
  <c r="J29" i="20"/>
  <c r="G29" i="20"/>
  <c r="K29" i="20"/>
  <c r="H29" i="20"/>
  <c r="D52" i="20"/>
  <c r="E53" i="20"/>
  <c r="C53" i="20" s="1"/>
  <c r="K38" i="20"/>
  <c r="H38" i="20"/>
  <c r="J38" i="20"/>
  <c r="G38" i="20"/>
  <c r="C67" i="19"/>
  <c r="C49" i="19"/>
  <c r="C48" i="19"/>
  <c r="E47" i="19"/>
  <c r="E48" i="19" s="1"/>
  <c r="D47" i="19"/>
  <c r="D49" i="19" s="1"/>
  <c r="K27" i="19"/>
  <c r="J27" i="19"/>
  <c r="D27" i="19"/>
  <c r="D25" i="19"/>
  <c r="D24" i="19"/>
  <c r="D23" i="19"/>
  <c r="E23" i="19" s="1"/>
  <c r="D21" i="19"/>
  <c r="D20" i="19"/>
  <c r="D19" i="19"/>
  <c r="E19" i="19" s="1"/>
  <c r="D17" i="19"/>
  <c r="E16" i="19" s="1"/>
  <c r="D14" i="19"/>
  <c r="D13" i="19"/>
  <c r="E12" i="19"/>
  <c r="D35" i="19" s="1"/>
  <c r="D10" i="19"/>
  <c r="E9" i="19"/>
  <c r="D30" i="19" s="1"/>
  <c r="D7" i="19"/>
  <c r="D6" i="19"/>
  <c r="E5" i="19" s="1"/>
  <c r="C61" i="18"/>
  <c r="C49" i="18"/>
  <c r="D48" i="18"/>
  <c r="C48" i="18"/>
  <c r="E47" i="18"/>
  <c r="E48" i="18" s="1"/>
  <c r="D47" i="18"/>
  <c r="D49" i="18" s="1"/>
  <c r="K27" i="18"/>
  <c r="J27" i="18"/>
  <c r="D27" i="18"/>
  <c r="D25" i="18"/>
  <c r="D24" i="18"/>
  <c r="D23" i="18"/>
  <c r="E23" i="18" s="1"/>
  <c r="D21" i="18"/>
  <c r="D20" i="18"/>
  <c r="D19" i="18"/>
  <c r="E19" i="18" s="1"/>
  <c r="D17" i="18"/>
  <c r="E16" i="18"/>
  <c r="D36" i="18" s="1"/>
  <c r="D14" i="18"/>
  <c r="D13" i="18"/>
  <c r="E12" i="18" s="1"/>
  <c r="D10" i="18"/>
  <c r="E9" i="18" s="1"/>
  <c r="D7" i="18"/>
  <c r="D6" i="18"/>
  <c r="C61" i="17"/>
  <c r="C49" i="17"/>
  <c r="E48" i="17"/>
  <c r="E52" i="17" s="1"/>
  <c r="C48" i="17"/>
  <c r="E47" i="17"/>
  <c r="E49" i="17" s="1"/>
  <c r="D47" i="17"/>
  <c r="D49" i="17" s="1"/>
  <c r="K27" i="17"/>
  <c r="J27" i="17"/>
  <c r="D27" i="17"/>
  <c r="D25" i="17"/>
  <c r="D24" i="17"/>
  <c r="D23" i="17"/>
  <c r="E23" i="17" s="1"/>
  <c r="D21" i="17"/>
  <c r="D20" i="17"/>
  <c r="D19" i="17"/>
  <c r="E19" i="17" s="1"/>
  <c r="D17" i="17"/>
  <c r="E16" i="17" s="1"/>
  <c r="D14" i="17"/>
  <c r="D13" i="17"/>
  <c r="E12" i="17"/>
  <c r="D35" i="17" s="1"/>
  <c r="D10" i="17"/>
  <c r="E9" i="17"/>
  <c r="D30" i="17" s="1"/>
  <c r="D7" i="17"/>
  <c r="D6" i="17"/>
  <c r="E5" i="17" s="1"/>
  <c r="D29" i="15"/>
  <c r="E5" i="15"/>
  <c r="C61" i="15"/>
  <c r="C49" i="15"/>
  <c r="E48" i="15"/>
  <c r="C48" i="15"/>
  <c r="E47" i="15"/>
  <c r="E49" i="15" s="1"/>
  <c r="D47" i="15"/>
  <c r="D49" i="15" s="1"/>
  <c r="K27" i="15"/>
  <c r="J27" i="15"/>
  <c r="D27" i="15"/>
  <c r="D25" i="15"/>
  <c r="D24" i="15"/>
  <c r="D23" i="15"/>
  <c r="E23" i="15" s="1"/>
  <c r="D21" i="15"/>
  <c r="D20" i="15"/>
  <c r="D19" i="15"/>
  <c r="E19" i="15" s="1"/>
  <c r="D17" i="15"/>
  <c r="E16" i="15"/>
  <c r="D14" i="15"/>
  <c r="D13" i="15"/>
  <c r="E12" i="15"/>
  <c r="D10" i="15"/>
  <c r="E9" i="15"/>
  <c r="D30" i="15" s="1"/>
  <c r="D7" i="15"/>
  <c r="D6" i="15"/>
  <c r="H43" i="23" l="1"/>
  <c r="E52" i="23" s="1"/>
  <c r="G43" i="23"/>
  <c r="D52" i="23" s="1"/>
  <c r="K32" i="23"/>
  <c r="H32" i="23"/>
  <c r="E44" i="23"/>
  <c r="J32" i="23"/>
  <c r="G32" i="23"/>
  <c r="K43" i="22"/>
  <c r="E57" i="22" s="1"/>
  <c r="J43" i="22"/>
  <c r="D57" i="22" s="1"/>
  <c r="C52" i="22"/>
  <c r="C54" i="22" s="1"/>
  <c r="D54" i="22"/>
  <c r="J44" i="22"/>
  <c r="D58" i="22" s="1"/>
  <c r="K44" i="22"/>
  <c r="E58" i="22" s="1"/>
  <c r="K32" i="21"/>
  <c r="H32" i="21"/>
  <c r="E44" i="21"/>
  <c r="J32" i="21"/>
  <c r="G32" i="21"/>
  <c r="C53" i="21"/>
  <c r="K43" i="21"/>
  <c r="E57" i="21" s="1"/>
  <c r="J43" i="21"/>
  <c r="D57" i="21" s="1"/>
  <c r="C52" i="21"/>
  <c r="D54" i="21"/>
  <c r="C52" i="20"/>
  <c r="C54" i="20" s="1"/>
  <c r="D54" i="20"/>
  <c r="E54" i="20"/>
  <c r="K32" i="20"/>
  <c r="H32" i="20"/>
  <c r="E44" i="20"/>
  <c r="J32" i="20"/>
  <c r="G32" i="20"/>
  <c r="K43" i="20"/>
  <c r="E57" i="20" s="1"/>
  <c r="J43" i="20"/>
  <c r="D57" i="20" s="1"/>
  <c r="D32" i="19"/>
  <c r="D36" i="19"/>
  <c r="E35" i="19" s="1"/>
  <c r="D39" i="19"/>
  <c r="D33" i="19"/>
  <c r="D38" i="19"/>
  <c r="E38" i="19" s="1"/>
  <c r="D48" i="19"/>
  <c r="D30" i="18"/>
  <c r="K9" i="18"/>
  <c r="H9" i="18"/>
  <c r="D33" i="18"/>
  <c r="J9" i="18"/>
  <c r="G9" i="18"/>
  <c r="K23" i="18"/>
  <c r="H23" i="18"/>
  <c r="J23" i="18"/>
  <c r="G23" i="18"/>
  <c r="D53" i="18"/>
  <c r="D29" i="18"/>
  <c r="E29" i="18" s="1"/>
  <c r="J5" i="18"/>
  <c r="G5" i="18"/>
  <c r="D32" i="18"/>
  <c r="E32" i="18" s="1"/>
  <c r="K5" i="18"/>
  <c r="H5" i="18"/>
  <c r="D35" i="18"/>
  <c r="E35" i="18" s="1"/>
  <c r="K12" i="18"/>
  <c r="H12" i="18"/>
  <c r="D38" i="18"/>
  <c r="J12" i="18"/>
  <c r="G12" i="18"/>
  <c r="K19" i="18"/>
  <c r="H19" i="18"/>
  <c r="J19" i="18"/>
  <c r="G19" i="18"/>
  <c r="E52" i="18"/>
  <c r="H16" i="18"/>
  <c r="K16" i="18"/>
  <c r="D39" i="18"/>
  <c r="E49" i="18"/>
  <c r="D52" i="18"/>
  <c r="G16" i="18"/>
  <c r="J16" i="18"/>
  <c r="D36" i="17"/>
  <c r="J16" i="17"/>
  <c r="G16" i="17"/>
  <c r="D39" i="17"/>
  <c r="K16" i="17"/>
  <c r="H16" i="17"/>
  <c r="K23" i="17"/>
  <c r="H23" i="17"/>
  <c r="J23" i="17"/>
  <c r="G23" i="17"/>
  <c r="D53" i="17"/>
  <c r="D29" i="17"/>
  <c r="E29" i="17" s="1"/>
  <c r="J5" i="17"/>
  <c r="G5" i="17"/>
  <c r="D32" i="17"/>
  <c r="K5" i="17"/>
  <c r="H5" i="17"/>
  <c r="E35" i="17"/>
  <c r="K19" i="17"/>
  <c r="H19" i="17"/>
  <c r="J19" i="17"/>
  <c r="G19" i="17"/>
  <c r="E53" i="17"/>
  <c r="E54" i="17" s="1"/>
  <c r="G9" i="17"/>
  <c r="J9" i="17"/>
  <c r="G12" i="17"/>
  <c r="J12" i="17"/>
  <c r="D33" i="17"/>
  <c r="D38" i="17"/>
  <c r="E38" i="17" s="1"/>
  <c r="D48" i="17"/>
  <c r="H9" i="17"/>
  <c r="K9" i="17"/>
  <c r="H12" i="17"/>
  <c r="K12" i="17"/>
  <c r="E29" i="15"/>
  <c r="D35" i="15"/>
  <c r="J12" i="15"/>
  <c r="G12" i="15"/>
  <c r="D38" i="15"/>
  <c r="K12" i="15"/>
  <c r="H12" i="15"/>
  <c r="K23" i="15"/>
  <c r="H23" i="15"/>
  <c r="J23" i="15"/>
  <c r="G23" i="15"/>
  <c r="J29" i="15"/>
  <c r="G29" i="15"/>
  <c r="K29" i="15"/>
  <c r="H29" i="15"/>
  <c r="D36" i="15"/>
  <c r="J16" i="15"/>
  <c r="G16" i="15"/>
  <c r="D39" i="15"/>
  <c r="K16" i="15"/>
  <c r="H16" i="15"/>
  <c r="K19" i="15"/>
  <c r="H19" i="15"/>
  <c r="J19" i="15"/>
  <c r="G19" i="15"/>
  <c r="G5" i="15"/>
  <c r="J5" i="15"/>
  <c r="G9" i="15"/>
  <c r="J9" i="15"/>
  <c r="D32" i="15"/>
  <c r="E32" i="15" s="1"/>
  <c r="D33" i="15"/>
  <c r="D48" i="15"/>
  <c r="H5" i="15"/>
  <c r="K5" i="15"/>
  <c r="H9" i="15"/>
  <c r="K9" i="15"/>
  <c r="J10" i="10"/>
  <c r="J9" i="10"/>
  <c r="H13" i="10"/>
  <c r="H10" i="10"/>
  <c r="H9" i="10"/>
  <c r="C52" i="23" l="1"/>
  <c r="G44" i="23"/>
  <c r="D53" i="23" s="1"/>
  <c r="D54" i="23" s="1"/>
  <c r="H44" i="23"/>
  <c r="E53" i="23" s="1"/>
  <c r="E54" i="23" s="1"/>
  <c r="J43" i="23"/>
  <c r="D57" i="23" s="1"/>
  <c r="K43" i="23"/>
  <c r="E57" i="23" s="1"/>
  <c r="C58" i="22"/>
  <c r="D59" i="22"/>
  <c r="C57" i="22"/>
  <c r="C59" i="22" s="1"/>
  <c r="C62" i="22" s="1"/>
  <c r="C67" i="22" s="1"/>
  <c r="E59" i="22"/>
  <c r="C54" i="21"/>
  <c r="C57" i="21"/>
  <c r="J44" i="21"/>
  <c r="D58" i="21" s="1"/>
  <c r="K44" i="21"/>
  <c r="E58" i="21" s="1"/>
  <c r="E59" i="21" s="1"/>
  <c r="C57" i="20"/>
  <c r="J44" i="20"/>
  <c r="D58" i="20" s="1"/>
  <c r="K44" i="20"/>
  <c r="E58" i="20" s="1"/>
  <c r="E59" i="20" s="1"/>
  <c r="E32" i="19"/>
  <c r="C52" i="18"/>
  <c r="D54" i="18"/>
  <c r="E38" i="18"/>
  <c r="K32" i="18"/>
  <c r="H32" i="18"/>
  <c r="E44" i="18"/>
  <c r="J32" i="18"/>
  <c r="G32" i="18"/>
  <c r="E53" i="18"/>
  <c r="E54" i="18" s="1"/>
  <c r="J35" i="18"/>
  <c r="G35" i="18"/>
  <c r="K35" i="18"/>
  <c r="H35" i="18"/>
  <c r="E43" i="18"/>
  <c r="J29" i="18"/>
  <c r="G29" i="18"/>
  <c r="K29" i="18"/>
  <c r="H29" i="18"/>
  <c r="C53" i="18"/>
  <c r="K38" i="17"/>
  <c r="H38" i="17"/>
  <c r="J38" i="17"/>
  <c r="G38" i="17"/>
  <c r="E32" i="17"/>
  <c r="D52" i="17"/>
  <c r="J35" i="17"/>
  <c r="G35" i="17"/>
  <c r="K35" i="17"/>
  <c r="H35" i="17"/>
  <c r="E43" i="17"/>
  <c r="J29" i="17"/>
  <c r="G29" i="17"/>
  <c r="K29" i="17"/>
  <c r="H29" i="17"/>
  <c r="C53" i="17"/>
  <c r="E38" i="15"/>
  <c r="E44" i="15" s="1"/>
  <c r="K32" i="15"/>
  <c r="H32" i="15"/>
  <c r="J32" i="15"/>
  <c r="G32" i="15"/>
  <c r="E35" i="15"/>
  <c r="C61" i="16"/>
  <c r="C49" i="16"/>
  <c r="D48" i="16"/>
  <c r="C48" i="16"/>
  <c r="E47" i="16"/>
  <c r="E48" i="16" s="1"/>
  <c r="D47" i="16"/>
  <c r="D49" i="16" s="1"/>
  <c r="K27" i="16"/>
  <c r="J27" i="16"/>
  <c r="D27" i="16"/>
  <c r="D25" i="16"/>
  <c r="D24" i="16"/>
  <c r="D23" i="16"/>
  <c r="E23" i="16" s="1"/>
  <c r="D21" i="16"/>
  <c r="D20" i="16"/>
  <c r="D19" i="16"/>
  <c r="E19" i="16" s="1"/>
  <c r="D17" i="16"/>
  <c r="D14" i="16"/>
  <c r="D13" i="16"/>
  <c r="D10" i="16"/>
  <c r="D7" i="16"/>
  <c r="D6" i="16"/>
  <c r="C61" i="14"/>
  <c r="C49" i="14"/>
  <c r="E48" i="14"/>
  <c r="C48" i="14"/>
  <c r="E47" i="14"/>
  <c r="E49" i="14" s="1"/>
  <c r="D47" i="14"/>
  <c r="D48" i="14" s="1"/>
  <c r="K27" i="14"/>
  <c r="J27" i="14"/>
  <c r="D27" i="14"/>
  <c r="D25" i="14"/>
  <c r="D24" i="14"/>
  <c r="E23" i="14"/>
  <c r="J23" i="14" s="1"/>
  <c r="D23" i="14"/>
  <c r="D21" i="14"/>
  <c r="D20" i="14"/>
  <c r="E19" i="14"/>
  <c r="J19" i="14" s="1"/>
  <c r="D19" i="14"/>
  <c r="D17" i="14"/>
  <c r="D14" i="14"/>
  <c r="D13" i="14"/>
  <c r="D10" i="14"/>
  <c r="D7" i="14"/>
  <c r="D6" i="14"/>
  <c r="C61" i="13"/>
  <c r="C49" i="13"/>
  <c r="D48" i="13"/>
  <c r="C48" i="13"/>
  <c r="E47" i="13"/>
  <c r="E48" i="13" s="1"/>
  <c r="D47" i="13"/>
  <c r="D49" i="13" s="1"/>
  <c r="K27" i="13"/>
  <c r="J27" i="13"/>
  <c r="D27" i="13"/>
  <c r="D25" i="13"/>
  <c r="D24" i="13"/>
  <c r="D23" i="13"/>
  <c r="E23" i="13" s="1"/>
  <c r="D21" i="13"/>
  <c r="D20" i="13"/>
  <c r="D19" i="13"/>
  <c r="E19" i="13" s="1"/>
  <c r="D17" i="13"/>
  <c r="D14" i="13"/>
  <c r="D13" i="13"/>
  <c r="D10" i="13"/>
  <c r="D7" i="13"/>
  <c r="D6" i="13"/>
  <c r="C61" i="12"/>
  <c r="C49" i="12"/>
  <c r="E48" i="12"/>
  <c r="C48" i="12"/>
  <c r="E47" i="12"/>
  <c r="E49" i="12" s="1"/>
  <c r="D47" i="12"/>
  <c r="D48" i="12" s="1"/>
  <c r="K27" i="12"/>
  <c r="J27" i="12"/>
  <c r="D27" i="12"/>
  <c r="D25" i="12"/>
  <c r="D24" i="12"/>
  <c r="E23" i="12"/>
  <c r="J23" i="12" s="1"/>
  <c r="D23" i="12"/>
  <c r="D21" i="12"/>
  <c r="D20" i="12"/>
  <c r="E19" i="12"/>
  <c r="J19" i="12" s="1"/>
  <c r="D19" i="12"/>
  <c r="D17" i="12"/>
  <c r="D14" i="12"/>
  <c r="D13" i="12"/>
  <c r="D10" i="12"/>
  <c r="D7" i="12"/>
  <c r="D6" i="12"/>
  <c r="C57" i="23" l="1"/>
  <c r="K44" i="23"/>
  <c r="E58" i="23" s="1"/>
  <c r="J44" i="23"/>
  <c r="D58" i="23" s="1"/>
  <c r="E59" i="23"/>
  <c r="C53" i="23"/>
  <c r="C54" i="23"/>
  <c r="C58" i="21"/>
  <c r="C59" i="21" s="1"/>
  <c r="C62" i="21" s="1"/>
  <c r="C67" i="21" s="1"/>
  <c r="D59" i="21"/>
  <c r="C58" i="20"/>
  <c r="C59" i="20" s="1"/>
  <c r="C62" i="20" s="1"/>
  <c r="C67" i="20" s="1"/>
  <c r="D59" i="20"/>
  <c r="K43" i="18"/>
  <c r="E57" i="18" s="1"/>
  <c r="J43" i="18"/>
  <c r="D57" i="18" s="1"/>
  <c r="J44" i="18"/>
  <c r="D58" i="18" s="1"/>
  <c r="K44" i="18"/>
  <c r="E58" i="18" s="1"/>
  <c r="K38" i="18"/>
  <c r="H38" i="18"/>
  <c r="J38" i="18"/>
  <c r="G38" i="18"/>
  <c r="C54" i="18"/>
  <c r="K43" i="17"/>
  <c r="E57" i="17" s="1"/>
  <c r="J43" i="17"/>
  <c r="D57" i="17" s="1"/>
  <c r="C52" i="17"/>
  <c r="C54" i="17" s="1"/>
  <c r="D54" i="17"/>
  <c r="K32" i="17"/>
  <c r="H32" i="17"/>
  <c r="E44" i="17"/>
  <c r="J32" i="17"/>
  <c r="G32" i="17"/>
  <c r="D53" i="15"/>
  <c r="E53" i="15"/>
  <c r="J35" i="15"/>
  <c r="G35" i="15"/>
  <c r="K35" i="15"/>
  <c r="H35" i="15"/>
  <c r="E43" i="15"/>
  <c r="K38" i="15"/>
  <c r="H38" i="15"/>
  <c r="J38" i="15"/>
  <c r="G38" i="15"/>
  <c r="K23" i="16"/>
  <c r="J23" i="16"/>
  <c r="H23" i="16"/>
  <c r="G23" i="16"/>
  <c r="K19" i="16"/>
  <c r="J19" i="16"/>
  <c r="H19" i="16"/>
  <c r="G19" i="16"/>
  <c r="E49" i="16"/>
  <c r="K19" i="14"/>
  <c r="G23" i="14"/>
  <c r="K23" i="14"/>
  <c r="G19" i="14"/>
  <c r="H23" i="14"/>
  <c r="H19" i="14"/>
  <c r="D49" i="14"/>
  <c r="K23" i="13"/>
  <c r="J23" i="13"/>
  <c r="H23" i="13"/>
  <c r="G23" i="13"/>
  <c r="K19" i="13"/>
  <c r="J19" i="13"/>
  <c r="H19" i="13"/>
  <c r="G19" i="13"/>
  <c r="E49" i="13"/>
  <c r="K19" i="12"/>
  <c r="G19" i="12"/>
  <c r="G23" i="12"/>
  <c r="K23" i="12"/>
  <c r="H23" i="12"/>
  <c r="D49" i="12"/>
  <c r="H19" i="12"/>
  <c r="C48" i="8"/>
  <c r="C49" i="8"/>
  <c r="D47" i="8"/>
  <c r="D49" i="8" s="1"/>
  <c r="D27" i="8"/>
  <c r="D25" i="8"/>
  <c r="D24" i="8"/>
  <c r="D23" i="8"/>
  <c r="D21" i="8"/>
  <c r="D20" i="8"/>
  <c r="D17" i="8"/>
  <c r="D14" i="8"/>
  <c r="D13" i="8"/>
  <c r="D10" i="8"/>
  <c r="D7" i="8"/>
  <c r="D6" i="8"/>
  <c r="E8" i="11"/>
  <c r="E7" i="11"/>
  <c r="E6" i="11"/>
  <c r="E5" i="11"/>
  <c r="E10" i="2"/>
  <c r="E9" i="2"/>
  <c r="E8" i="2"/>
  <c r="E7" i="2"/>
  <c r="E6" i="2"/>
  <c r="E5" i="2"/>
  <c r="D5" i="16" l="1"/>
  <c r="E5" i="16" s="1"/>
  <c r="D12" i="14"/>
  <c r="E12" i="14" s="1"/>
  <c r="D9" i="14"/>
  <c r="E9" i="14" s="1"/>
  <c r="D5" i="13"/>
  <c r="E5" i="13" s="1"/>
  <c r="D12" i="12"/>
  <c r="E12" i="12" s="1"/>
  <c r="D9" i="12"/>
  <c r="E9" i="12" s="1"/>
  <c r="D5" i="12"/>
  <c r="E5" i="12" s="1"/>
  <c r="D16" i="16"/>
  <c r="E16" i="16" s="1"/>
  <c r="D12" i="16"/>
  <c r="E12" i="16" s="1"/>
  <c r="D9" i="16"/>
  <c r="E9" i="16" s="1"/>
  <c r="D16" i="14"/>
  <c r="E16" i="14" s="1"/>
  <c r="D5" i="14"/>
  <c r="E5" i="14" s="1"/>
  <c r="D16" i="13"/>
  <c r="E16" i="13" s="1"/>
  <c r="D12" i="13"/>
  <c r="E12" i="13" s="1"/>
  <c r="D9" i="13"/>
  <c r="E9" i="13" s="1"/>
  <c r="D16" i="12"/>
  <c r="E16" i="12" s="1"/>
  <c r="D5" i="8"/>
  <c r="E5" i="8" s="1"/>
  <c r="D16" i="8"/>
  <c r="E16" i="8" s="1"/>
  <c r="D9" i="8"/>
  <c r="E9" i="8" s="1"/>
  <c r="D12" i="8"/>
  <c r="E12" i="8" s="1"/>
  <c r="D35" i="8"/>
  <c r="C58" i="23"/>
  <c r="C59" i="23" s="1"/>
  <c r="C62" i="23" s="1"/>
  <c r="D59" i="23"/>
  <c r="C58" i="18"/>
  <c r="E59" i="18"/>
  <c r="D59" i="18"/>
  <c r="C57" i="18"/>
  <c r="C59" i="18" s="1"/>
  <c r="C67" i="18" s="1"/>
  <c r="C57" i="17"/>
  <c r="J44" i="17"/>
  <c r="D58" i="17" s="1"/>
  <c r="K44" i="17"/>
  <c r="E58" i="17" s="1"/>
  <c r="E59" i="17" s="1"/>
  <c r="C53" i="15"/>
  <c r="E52" i="15"/>
  <c r="E54" i="15" s="1"/>
  <c r="D52" i="15"/>
  <c r="K44" i="15"/>
  <c r="E58" i="15" s="1"/>
  <c r="J44" i="15"/>
  <c r="D58" i="15" s="1"/>
  <c r="D48" i="8"/>
  <c r="E47" i="8"/>
  <c r="E48" i="8" s="1"/>
  <c r="K12" i="8" l="1"/>
  <c r="J12" i="8"/>
  <c r="H12" i="8"/>
  <c r="G12" i="8"/>
  <c r="D38" i="8"/>
  <c r="E38" i="8" s="1"/>
  <c r="K16" i="8"/>
  <c r="J16" i="8"/>
  <c r="H16" i="8"/>
  <c r="G16" i="8"/>
  <c r="D39" i="8"/>
  <c r="D36" i="8"/>
  <c r="G16" i="12"/>
  <c r="D39" i="12"/>
  <c r="J16" i="12"/>
  <c r="H16" i="12"/>
  <c r="D36" i="12"/>
  <c r="K16" i="12"/>
  <c r="D35" i="13"/>
  <c r="K12" i="13"/>
  <c r="J12" i="13"/>
  <c r="G12" i="13"/>
  <c r="D38" i="13"/>
  <c r="H12" i="13"/>
  <c r="D29" i="14"/>
  <c r="J5" i="14"/>
  <c r="H5" i="14"/>
  <c r="G5" i="14"/>
  <c r="K5" i="14"/>
  <c r="D32" i="14"/>
  <c r="D30" i="16"/>
  <c r="G9" i="16"/>
  <c r="K9" i="16"/>
  <c r="H9" i="16"/>
  <c r="D33" i="16"/>
  <c r="J9" i="16"/>
  <c r="J16" i="16"/>
  <c r="K16" i="16"/>
  <c r="G16" i="16"/>
  <c r="D39" i="16"/>
  <c r="D36" i="16"/>
  <c r="H16" i="16"/>
  <c r="D33" i="12"/>
  <c r="H9" i="12"/>
  <c r="D30" i="12"/>
  <c r="J9" i="12"/>
  <c r="K9" i="12"/>
  <c r="G9" i="12"/>
  <c r="G5" i="13"/>
  <c r="D29" i="13"/>
  <c r="J5" i="13"/>
  <c r="H5" i="13"/>
  <c r="K5" i="13"/>
  <c r="D32" i="13"/>
  <c r="H12" i="14"/>
  <c r="K12" i="14"/>
  <c r="J12" i="14"/>
  <c r="D38" i="14"/>
  <c r="G12" i="14"/>
  <c r="D35" i="14"/>
  <c r="E35" i="8"/>
  <c r="D30" i="8"/>
  <c r="K9" i="8"/>
  <c r="J9" i="8"/>
  <c r="H9" i="8"/>
  <c r="G9" i="8"/>
  <c r="D33" i="8"/>
  <c r="K5" i="8"/>
  <c r="J5" i="8"/>
  <c r="H5" i="8"/>
  <c r="G5" i="8"/>
  <c r="D29" i="8"/>
  <c r="E29" i="8" s="1"/>
  <c r="D32" i="8"/>
  <c r="E32" i="8" s="1"/>
  <c r="G9" i="13"/>
  <c r="D30" i="13"/>
  <c r="D33" i="13"/>
  <c r="J9" i="13"/>
  <c r="H9" i="13"/>
  <c r="K9" i="13"/>
  <c r="J16" i="13"/>
  <c r="K16" i="13"/>
  <c r="G16" i="13"/>
  <c r="H16" i="13"/>
  <c r="D39" i="13"/>
  <c r="D36" i="13"/>
  <c r="E35" i="13" s="1"/>
  <c r="G16" i="14"/>
  <c r="D39" i="14"/>
  <c r="J16" i="14"/>
  <c r="H16" i="14"/>
  <c r="D36" i="14"/>
  <c r="K16" i="14"/>
  <c r="D35" i="16"/>
  <c r="K12" i="16"/>
  <c r="H12" i="16"/>
  <c r="D38" i="16"/>
  <c r="E38" i="16" s="1"/>
  <c r="J12" i="16"/>
  <c r="G12" i="16"/>
  <c r="D29" i="12"/>
  <c r="E29" i="12" s="1"/>
  <c r="D32" i="12"/>
  <c r="E32" i="12" s="1"/>
  <c r="H5" i="12"/>
  <c r="G5" i="12"/>
  <c r="K5" i="12"/>
  <c r="J5" i="12"/>
  <c r="H12" i="12"/>
  <c r="K12" i="12"/>
  <c r="J12" i="12"/>
  <c r="D38" i="12"/>
  <c r="E38" i="12" s="1"/>
  <c r="G12" i="12"/>
  <c r="D35" i="12"/>
  <c r="E35" i="12" s="1"/>
  <c r="G9" i="14"/>
  <c r="H9" i="14"/>
  <c r="D30" i="14"/>
  <c r="D33" i="14"/>
  <c r="K9" i="14"/>
  <c r="J9" i="14"/>
  <c r="H5" i="16"/>
  <c r="D29" i="16"/>
  <c r="E29" i="16" s="1"/>
  <c r="D32" i="16"/>
  <c r="E32" i="16" s="1"/>
  <c r="G5" i="16"/>
  <c r="K5" i="16"/>
  <c r="J5" i="16"/>
  <c r="C67" i="23"/>
  <c r="C58" i="17"/>
  <c r="C59" i="17" s="1"/>
  <c r="C67" i="17" s="1"/>
  <c r="D59" i="17"/>
  <c r="C58" i="15"/>
  <c r="J43" i="15"/>
  <c r="D57" i="15" s="1"/>
  <c r="K43" i="15"/>
  <c r="E57" i="15" s="1"/>
  <c r="E59" i="15" s="1"/>
  <c r="C52" i="15"/>
  <c r="C54" i="15" s="1"/>
  <c r="D54" i="15"/>
  <c r="K29" i="12"/>
  <c r="G29" i="12"/>
  <c r="E43" i="12"/>
  <c r="J29" i="12"/>
  <c r="H29" i="12"/>
  <c r="H35" i="12"/>
  <c r="G35" i="12"/>
  <c r="J35" i="12"/>
  <c r="K35" i="12"/>
  <c r="K27" i="8"/>
  <c r="J27" i="8"/>
  <c r="G29" i="16" l="1"/>
  <c r="H29" i="16"/>
  <c r="K29" i="16"/>
  <c r="J29" i="16"/>
  <c r="J38" i="12"/>
  <c r="G38" i="12"/>
  <c r="H38" i="12"/>
  <c r="K38" i="12"/>
  <c r="K32" i="12"/>
  <c r="E44" i="12"/>
  <c r="H32" i="12"/>
  <c r="J32" i="12"/>
  <c r="G32" i="12"/>
  <c r="K38" i="16"/>
  <c r="H38" i="16"/>
  <c r="J38" i="16"/>
  <c r="G38" i="16"/>
  <c r="J35" i="13"/>
  <c r="G35" i="13"/>
  <c r="H35" i="13"/>
  <c r="K35" i="13"/>
  <c r="E44" i="8"/>
  <c r="K32" i="8"/>
  <c r="H32" i="8"/>
  <c r="J32" i="8"/>
  <c r="G32" i="8"/>
  <c r="K35" i="8"/>
  <c r="H35" i="8"/>
  <c r="J35" i="8"/>
  <c r="G35" i="8"/>
  <c r="E35" i="16"/>
  <c r="E29" i="14"/>
  <c r="E38" i="13"/>
  <c r="E44" i="16"/>
  <c r="K32" i="16"/>
  <c r="H32" i="16"/>
  <c r="G32" i="16"/>
  <c r="J32" i="16"/>
  <c r="K29" i="8"/>
  <c r="H29" i="8"/>
  <c r="E43" i="8"/>
  <c r="J29" i="8"/>
  <c r="G29" i="8"/>
  <c r="E35" i="14"/>
  <c r="E38" i="14"/>
  <c r="E32" i="13"/>
  <c r="E29" i="13"/>
  <c r="E32" i="14"/>
  <c r="K38" i="8"/>
  <c r="H38" i="8"/>
  <c r="J38" i="8"/>
  <c r="G38" i="8"/>
  <c r="D59" i="15"/>
  <c r="C57" i="15"/>
  <c r="C59" i="15" s="1"/>
  <c r="C67" i="15" s="1"/>
  <c r="G43" i="12"/>
  <c r="D52" i="12" s="1"/>
  <c r="H43" i="12"/>
  <c r="E52" i="12" s="1"/>
  <c r="E49" i="8"/>
  <c r="G29" i="13" l="1"/>
  <c r="H29" i="13"/>
  <c r="K29" i="13"/>
  <c r="J29" i="13"/>
  <c r="E43" i="13"/>
  <c r="J38" i="14"/>
  <c r="G38" i="14"/>
  <c r="H38" i="14"/>
  <c r="K38" i="14"/>
  <c r="H43" i="8"/>
  <c r="E52" i="8" s="1"/>
  <c r="G43" i="8"/>
  <c r="D52" i="8" s="1"/>
  <c r="J38" i="13"/>
  <c r="G38" i="13"/>
  <c r="K38" i="13"/>
  <c r="H38" i="13"/>
  <c r="J35" i="16"/>
  <c r="G35" i="16"/>
  <c r="H35" i="16"/>
  <c r="K35" i="16"/>
  <c r="E43" i="16"/>
  <c r="G32" i="14"/>
  <c r="J32" i="14"/>
  <c r="E44" i="14"/>
  <c r="K32" i="14"/>
  <c r="H32" i="14"/>
  <c r="K32" i="13"/>
  <c r="H32" i="13"/>
  <c r="G32" i="13"/>
  <c r="J32" i="13"/>
  <c r="E44" i="13"/>
  <c r="H35" i="14"/>
  <c r="J35" i="14"/>
  <c r="G35" i="14"/>
  <c r="K35" i="14"/>
  <c r="G44" i="16"/>
  <c r="D53" i="16" s="1"/>
  <c r="H44" i="16"/>
  <c r="G29" i="14"/>
  <c r="E43" i="14"/>
  <c r="H29" i="14"/>
  <c r="K29" i="14"/>
  <c r="J29" i="14"/>
  <c r="H44" i="8"/>
  <c r="E53" i="8" s="1"/>
  <c r="G44" i="8"/>
  <c r="D53" i="8" s="1"/>
  <c r="C53" i="8" s="1"/>
  <c r="H44" i="12"/>
  <c r="G44" i="12"/>
  <c r="K43" i="12"/>
  <c r="E57" i="12" s="1"/>
  <c r="J43" i="12"/>
  <c r="D57" i="12" s="1"/>
  <c r="C52" i="12"/>
  <c r="K7" i="1"/>
  <c r="D53" i="12" l="1"/>
  <c r="J44" i="12"/>
  <c r="D58" i="12" s="1"/>
  <c r="E53" i="12"/>
  <c r="E54" i="12" s="1"/>
  <c r="K44" i="12"/>
  <c r="E58" i="12" s="1"/>
  <c r="K44" i="8"/>
  <c r="E58" i="8" s="1"/>
  <c r="G43" i="14"/>
  <c r="D52" i="14" s="1"/>
  <c r="H43" i="14"/>
  <c r="E52" i="14" s="1"/>
  <c r="K43" i="14"/>
  <c r="E57" i="14" s="1"/>
  <c r="J43" i="14"/>
  <c r="D57" i="14" s="1"/>
  <c r="E53" i="16"/>
  <c r="K44" i="16"/>
  <c r="E58" i="16" s="1"/>
  <c r="J44" i="16"/>
  <c r="D58" i="16" s="1"/>
  <c r="G44" i="14"/>
  <c r="D53" i="14" s="1"/>
  <c r="C53" i="14" s="1"/>
  <c r="H44" i="14"/>
  <c r="E53" i="14" s="1"/>
  <c r="J44" i="14"/>
  <c r="D58" i="14" s="1"/>
  <c r="C52" i="8"/>
  <c r="C54" i="8" s="1"/>
  <c r="D54" i="8"/>
  <c r="J43" i="8"/>
  <c r="D57" i="8" s="1"/>
  <c r="G43" i="13"/>
  <c r="D52" i="13" s="1"/>
  <c r="H43" i="13"/>
  <c r="E52" i="13" s="1"/>
  <c r="K43" i="13"/>
  <c r="E57" i="13" s="1"/>
  <c r="J43" i="13"/>
  <c r="D57" i="13" s="1"/>
  <c r="E59" i="12"/>
  <c r="J44" i="8"/>
  <c r="D58" i="8" s="1"/>
  <c r="C53" i="16"/>
  <c r="H44" i="13"/>
  <c r="E53" i="13" s="1"/>
  <c r="G44" i="13"/>
  <c r="D53" i="13" s="1"/>
  <c r="J44" i="13"/>
  <c r="D58" i="13" s="1"/>
  <c r="H43" i="16"/>
  <c r="E52" i="16" s="1"/>
  <c r="E54" i="16" s="1"/>
  <c r="K43" i="16"/>
  <c r="E57" i="16" s="1"/>
  <c r="E59" i="16" s="1"/>
  <c r="G43" i="16"/>
  <c r="D52" i="16" s="1"/>
  <c r="J43" i="16"/>
  <c r="D57" i="16" s="1"/>
  <c r="E54" i="8"/>
  <c r="K43" i="8"/>
  <c r="E57" i="8" s="1"/>
  <c r="E59" i="8" s="1"/>
  <c r="C58" i="8"/>
  <c r="C57" i="12"/>
  <c r="D59" i="12"/>
  <c r="N55" i="1"/>
  <c r="N47" i="1"/>
  <c r="N54" i="1"/>
  <c r="M48" i="1"/>
  <c r="M49" i="1"/>
  <c r="M50" i="1"/>
  <c r="M51" i="1"/>
  <c r="M52" i="1"/>
  <c r="M53" i="1"/>
  <c r="M54" i="1"/>
  <c r="M55" i="1" s="1"/>
  <c r="M47" i="1"/>
  <c r="O39" i="1"/>
  <c r="O32" i="1"/>
  <c r="O41" i="1"/>
  <c r="M33" i="1"/>
  <c r="N33" i="1" s="1"/>
  <c r="M34" i="1"/>
  <c r="N34" i="1" s="1"/>
  <c r="M35" i="1"/>
  <c r="N35" i="1" s="1"/>
  <c r="M36" i="1"/>
  <c r="N36" i="1" s="1"/>
  <c r="M37" i="1"/>
  <c r="N37" i="1" s="1"/>
  <c r="M38" i="1"/>
  <c r="N38" i="1" s="1"/>
  <c r="M39" i="1"/>
  <c r="N39" i="1" s="1"/>
  <c r="M40" i="1"/>
  <c r="M32" i="1"/>
  <c r="M41" i="1" s="1"/>
  <c r="K24" i="1"/>
  <c r="K17" i="1"/>
  <c r="J24" i="1"/>
  <c r="J22" i="1"/>
  <c r="J21" i="1"/>
  <c r="J19" i="1"/>
  <c r="J18" i="1"/>
  <c r="J7" i="1"/>
  <c r="K6" i="1"/>
  <c r="K8" i="1"/>
  <c r="K9" i="1"/>
  <c r="K5" i="1"/>
  <c r="J6" i="1"/>
  <c r="J8" i="1"/>
  <c r="J9" i="1"/>
  <c r="J5" i="1"/>
  <c r="L3" i="1"/>
  <c r="L10" i="1"/>
  <c r="J3" i="1"/>
  <c r="J17" i="1"/>
  <c r="D54" i="16" l="1"/>
  <c r="C52" i="16"/>
  <c r="C54" i="16" s="1"/>
  <c r="C53" i="13"/>
  <c r="K44" i="13"/>
  <c r="E58" i="13" s="1"/>
  <c r="C57" i="13"/>
  <c r="D59" i="13"/>
  <c r="E54" i="13"/>
  <c r="D59" i="8"/>
  <c r="K44" i="14"/>
  <c r="E58" i="14" s="1"/>
  <c r="C58" i="16"/>
  <c r="C57" i="14"/>
  <c r="D59" i="14"/>
  <c r="E54" i="14"/>
  <c r="C53" i="12"/>
  <c r="C54" i="12" s="1"/>
  <c r="D54" i="12"/>
  <c r="D59" i="16"/>
  <c r="C57" i="16"/>
  <c r="C59" i="16" s="1"/>
  <c r="C62" i="16" s="1"/>
  <c r="C58" i="13"/>
  <c r="E59" i="13"/>
  <c r="C52" i="13"/>
  <c r="C54" i="13" s="1"/>
  <c r="D54" i="13"/>
  <c r="C58" i="14"/>
  <c r="E59" i="14"/>
  <c r="D54" i="14"/>
  <c r="C52" i="14"/>
  <c r="C54" i="14" s="1"/>
  <c r="C58" i="12"/>
  <c r="C59" i="12" s="1"/>
  <c r="C57" i="8"/>
  <c r="C59" i="8" s="1"/>
  <c r="C62" i="8" s="1"/>
  <c r="J25" i="1"/>
  <c r="L12" i="1"/>
  <c r="K25" i="1"/>
  <c r="N32" i="1"/>
  <c r="N41" i="1" s="1"/>
  <c r="J11" i="1"/>
  <c r="J10" i="1"/>
  <c r="J4" i="1"/>
  <c r="K4" i="1" s="1"/>
  <c r="K3" i="1"/>
  <c r="C62" i="12" l="1"/>
  <c r="C67" i="12" s="1"/>
  <c r="C59" i="14"/>
  <c r="C62" i="14" s="1"/>
  <c r="C67" i="14" s="1"/>
  <c r="C59" i="13"/>
  <c r="C67" i="16"/>
  <c r="G62" i="42"/>
  <c r="G62" i="26"/>
  <c r="C67" i="8"/>
  <c r="K10" i="1"/>
  <c r="K12" i="1" s="1"/>
  <c r="J12" i="1"/>
  <c r="C62" i="13" l="1"/>
  <c r="C67" i="13" s="1"/>
</calcChain>
</file>

<file path=xl/sharedStrings.xml><?xml version="1.0" encoding="utf-8"?>
<sst xmlns="http://schemas.openxmlformats.org/spreadsheetml/2006/main" count="3068" uniqueCount="152">
  <si>
    <t>მონიტორინგი 12 კვირა</t>
  </si>
  <si>
    <t xml:space="preserve">ფასი </t>
  </si>
  <si>
    <t>2 კვირა</t>
  </si>
  <si>
    <t>4 კვირა</t>
  </si>
  <si>
    <t>8 კვირა</t>
  </si>
  <si>
    <t>12 კვირა</t>
  </si>
  <si>
    <t>SVR 12-24</t>
  </si>
  <si>
    <t>სულ</t>
  </si>
  <si>
    <t>ბიუჯეტი</t>
  </si>
  <si>
    <t>ბიუჯეტი (TSH გარეშე)</t>
  </si>
  <si>
    <t>Physician consultation</t>
  </si>
  <si>
    <t>X</t>
  </si>
  <si>
    <t>Complete blood count</t>
  </si>
  <si>
    <t>HCV RNA quantification by real-time PC</t>
  </si>
  <si>
    <t xml:space="preserve">TSH  </t>
  </si>
  <si>
    <t>სულ ერთი პაციენტი</t>
  </si>
  <si>
    <t>ფასი ერთ სულზე</t>
  </si>
  <si>
    <t>16 კვირა</t>
  </si>
  <si>
    <t>20 კვირა</t>
  </si>
  <si>
    <t>მონიტორინგი 24 კვირა</t>
  </si>
  <si>
    <t>24 კვირა</t>
  </si>
  <si>
    <t>რიბავირინით</t>
  </si>
  <si>
    <t>ურიბავირინო</t>
  </si>
  <si>
    <t>ALT</t>
  </si>
  <si>
    <t>AST</t>
  </si>
  <si>
    <t>Bilirubin (პირდაპირი)</t>
  </si>
  <si>
    <t>Bilirubin (საერთო)</t>
  </si>
  <si>
    <t>Creatinine</t>
  </si>
  <si>
    <t>SVR 12-24 კოდი</t>
  </si>
  <si>
    <t>რიბავირინიანი</t>
  </si>
  <si>
    <t>HCV RNA მკურნალობის ეფექტურობის შესაფასებლად+ექიმთან ვიზიტი</t>
  </si>
  <si>
    <t>12-კვირიანი მკურნალობის კურსი ინტერფერონის გარეშე</t>
  </si>
  <si>
    <t>24-კვირიანი მკურნალობის კურსი ინტერფერონის გარეშე</t>
  </si>
  <si>
    <t>12-კვირიანი მკურნალობის კურსი ინტერფერონით რიბავირინიანი</t>
  </si>
  <si>
    <t>12-კვირიანი მკურნალობის კურსი ურიბავირინო</t>
  </si>
  <si>
    <t>24-კვირიანი მკურნალობის კურსი ინტერფერონით რიბავირინიანი</t>
  </si>
  <si>
    <t>24-კვირიანი მკურნალობის კურსი ურიბავირინო</t>
  </si>
  <si>
    <t>ძველი ფასი</t>
  </si>
  <si>
    <t xml:space="preserve">ახალი ფასი </t>
  </si>
  <si>
    <t>HCV RNA</t>
  </si>
  <si>
    <t>სხვა კვლევები ელასტოგრაფიით</t>
  </si>
  <si>
    <t>სხვა კვლევები ელასტოგრაფიის გარეშე</t>
  </si>
  <si>
    <t>TSH</t>
  </si>
  <si>
    <t>ჩართვა 1</t>
  </si>
  <si>
    <t>ჩართვა 2</t>
  </si>
  <si>
    <t>ჩართვა 3</t>
  </si>
  <si>
    <t>ჩართვა 4</t>
  </si>
  <si>
    <t>სხვა</t>
  </si>
  <si>
    <t>ვარიანტი 1</t>
  </si>
  <si>
    <t>ვარიანტი 2</t>
  </si>
  <si>
    <t>ვარიანტი 4</t>
  </si>
  <si>
    <t>დიაგნოსტიკა მკურნალობაში ჩართვამდე</t>
  </si>
  <si>
    <t>ვარიანტი 3</t>
  </si>
  <si>
    <t>SVR (HCV RNA)</t>
  </si>
  <si>
    <t>დიაგნოსტიკა მკურნალობის მონიტორინგის დროს</t>
  </si>
  <si>
    <t>მონიტორინგი 1</t>
  </si>
  <si>
    <t>მონიტორინგი 2</t>
  </si>
  <si>
    <t>SVR</t>
  </si>
  <si>
    <t>ჩართვა 1 + მონიტორინგი 1 + SVR</t>
  </si>
  <si>
    <t>ჩართვა 1 + მონიტორინგი 2 + SVR</t>
  </si>
  <si>
    <t>ჩართვა 2 + მონიტორინგი 1 + SVR</t>
  </si>
  <si>
    <t>ჩართვა 2 + მონიტორინგი 2 + SVR</t>
  </si>
  <si>
    <t>ჩართვა 3 + მონიტორინგი 1 + SVR</t>
  </si>
  <si>
    <t>ჩართვა 3 + მონიტორინგი 2 + SVR</t>
  </si>
  <si>
    <t>ჩართვა 4 + მონიტორინგი 1 + SVR</t>
  </si>
  <si>
    <t>ჩართვა 4 + მონიტორინგი 2 + SVR</t>
  </si>
  <si>
    <t>სულ დიაგნოსტიკა</t>
  </si>
  <si>
    <t>სოცდაუცველი</t>
  </si>
  <si>
    <t>12 კვირიანი მკურნალობის რეჟიმი</t>
  </si>
  <si>
    <t>24 კვირიანი მკურნალობის რეჟიმი</t>
  </si>
  <si>
    <t>პაციენტთა წლიური რაოდენობა</t>
  </si>
  <si>
    <t>სულ ბიუჯეტი</t>
  </si>
  <si>
    <t>სახელმწიფოს წილი</t>
  </si>
  <si>
    <t>პაციენტის წილი</t>
  </si>
  <si>
    <t>ერთეულის ფასი (ლარი)</t>
  </si>
  <si>
    <t>პაციენტის წილი (ლარი)</t>
  </si>
  <si>
    <t>სახელმწიფოს წილი (ლარი)</t>
  </si>
  <si>
    <t>პაციენტთა რაოდენობა</t>
  </si>
  <si>
    <t>ბიუჯეტი (პაციენტის წილი)</t>
  </si>
  <si>
    <t>სულ წლიური</t>
  </si>
  <si>
    <t>ბიუჯეტი (სახელმწიფოს წილი)</t>
  </si>
  <si>
    <t>TOTAL</t>
  </si>
  <si>
    <r>
      <t>C ჰეპატიტის დიაგნოსტიკის ჯამური ღირებულება</t>
    </r>
    <r>
      <rPr>
        <b/>
        <sz val="11"/>
        <color rgb="FFFF0000"/>
        <rFont val="Calibri"/>
        <family val="2"/>
        <scheme val="minor"/>
      </rPr>
      <t xml:space="preserve"> 25 000 </t>
    </r>
    <r>
      <rPr>
        <b/>
        <sz val="11"/>
        <color theme="1"/>
        <rFont val="Calibri"/>
        <family val="2"/>
        <scheme val="minor"/>
      </rPr>
      <t>პაციენტზე გათვლით</t>
    </r>
  </si>
  <si>
    <t>FIB4</t>
  </si>
  <si>
    <t>liver elastography</t>
  </si>
  <si>
    <t>HCV genotyping</t>
  </si>
  <si>
    <t>HBsAg</t>
  </si>
  <si>
    <t>HB-core total</t>
  </si>
  <si>
    <t>G-GT</t>
  </si>
  <si>
    <t>ALP</t>
  </si>
  <si>
    <r>
      <t>Bilirubin (</t>
    </r>
    <r>
      <rPr>
        <sz val="11"/>
        <color rgb="FF000000"/>
        <rFont val="Sylfaen"/>
        <family val="1"/>
      </rPr>
      <t>პირდაპირი</t>
    </r>
    <r>
      <rPr>
        <sz val="11"/>
        <color rgb="FF000000"/>
        <rFont val="Calibri"/>
        <family val="2"/>
        <scheme val="minor"/>
      </rPr>
      <t xml:space="preserve"> )</t>
    </r>
  </si>
  <si>
    <r>
      <t>Bilirubin (</t>
    </r>
    <r>
      <rPr>
        <sz val="11"/>
        <color rgb="FF000000"/>
        <rFont val="Sylfaen"/>
        <family val="1"/>
      </rPr>
      <t>საერთო</t>
    </r>
    <r>
      <rPr>
        <sz val="11"/>
        <color rgb="FF000000"/>
        <rFont val="Calibri"/>
        <family val="2"/>
        <scheme val="minor"/>
      </rPr>
      <t>)</t>
    </r>
  </si>
  <si>
    <t>Glucose</t>
  </si>
  <si>
    <t>Albumin</t>
  </si>
  <si>
    <t>INR</t>
  </si>
  <si>
    <r>
      <t>TSH  (</t>
    </r>
    <r>
      <rPr>
        <sz val="11"/>
        <color rgb="FF000000"/>
        <rFont val="Sylfaen"/>
        <family val="1"/>
      </rPr>
      <t>ინტერფერონიან რეჟიმებში)</t>
    </r>
  </si>
  <si>
    <t>ულტრასონოგრაფია</t>
  </si>
  <si>
    <t xml:space="preserve">Physician consultation </t>
  </si>
  <si>
    <t xml:space="preserve">                 </t>
  </si>
  <si>
    <t>სულ დიაგნოსტიკის ბიუჯეტი</t>
  </si>
  <si>
    <t>ADMINCOST (50 ლარი 1 პაციენტზე)</t>
  </si>
  <si>
    <t xml:space="preserve">№ </t>
  </si>
  <si>
    <r>
      <t>დიაგნოსტიკური</t>
    </r>
    <r>
      <rPr>
        <b/>
        <sz val="9"/>
        <color theme="1"/>
        <rFont val="Times New Roman"/>
        <family val="1"/>
      </rPr>
      <t xml:space="preserve"> </t>
    </r>
    <r>
      <rPr>
        <b/>
        <sz val="9"/>
        <color theme="1"/>
        <rFont val="Sylfaen"/>
        <family val="1"/>
      </rPr>
      <t>ჯგუფი</t>
    </r>
    <r>
      <rPr>
        <b/>
        <sz val="9"/>
        <color theme="1"/>
        <rFont val="Times New Roman"/>
        <family val="1"/>
      </rPr>
      <t xml:space="preserve"> </t>
    </r>
  </si>
  <si>
    <r>
      <t>ღირებულება</t>
    </r>
    <r>
      <rPr>
        <b/>
        <sz val="9"/>
        <color theme="1"/>
        <rFont val="Times New Roman"/>
        <family val="1"/>
      </rPr>
      <t xml:space="preserve"> </t>
    </r>
  </si>
  <si>
    <r>
      <t xml:space="preserve">( </t>
    </r>
    <r>
      <rPr>
        <b/>
        <sz val="9"/>
        <color theme="1"/>
        <rFont val="Sylfaen"/>
        <family val="1"/>
      </rPr>
      <t>ლარი</t>
    </r>
    <r>
      <rPr>
        <b/>
        <sz val="9"/>
        <color theme="1"/>
        <rFont val="Times New Roman"/>
        <family val="1"/>
      </rPr>
      <t xml:space="preserve"> ) </t>
    </r>
  </si>
  <si>
    <r>
      <t xml:space="preserve">C </t>
    </r>
    <r>
      <rPr>
        <sz val="10"/>
        <color theme="1"/>
        <rFont val="Sylfaen"/>
        <family val="1"/>
      </rPr>
      <t>ჰეპატიტის</t>
    </r>
    <r>
      <rPr>
        <sz val="12"/>
        <color theme="1"/>
        <rFont val="Times New Roman"/>
        <family val="1"/>
      </rPr>
      <t xml:space="preserve"> </t>
    </r>
    <r>
      <rPr>
        <sz val="10"/>
        <color theme="1"/>
        <rFont val="Sylfaen"/>
        <family val="1"/>
      </rPr>
      <t>დადგენა</t>
    </r>
    <r>
      <rPr>
        <sz val="12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(HCV RNA)</t>
    </r>
    <r>
      <rPr>
        <sz val="12"/>
        <color theme="1"/>
        <rFont val="Times New Roman"/>
        <family val="1"/>
      </rPr>
      <t xml:space="preserve"> </t>
    </r>
  </si>
  <si>
    <r>
      <t>მკურნალობის</t>
    </r>
    <r>
      <rPr>
        <sz val="12"/>
        <color theme="1"/>
        <rFont val="Times New Roman"/>
        <family val="1"/>
      </rPr>
      <t xml:space="preserve"> </t>
    </r>
    <r>
      <rPr>
        <sz val="10"/>
        <color theme="1"/>
        <rFont val="Sylfaen"/>
        <family val="1"/>
      </rPr>
      <t>კომპონენტში</t>
    </r>
    <r>
      <rPr>
        <sz val="12"/>
        <color theme="1"/>
        <rFont val="Times New Roman"/>
        <family val="1"/>
      </rPr>
      <t xml:space="preserve"> </t>
    </r>
    <r>
      <rPr>
        <sz val="10"/>
        <color theme="1"/>
        <rFont val="Sylfaen"/>
        <family val="1"/>
      </rPr>
      <t>ჩართვამდე</t>
    </r>
    <r>
      <rPr>
        <sz val="12"/>
        <color theme="1"/>
        <rFont val="Times New Roman"/>
        <family val="1"/>
      </rPr>
      <t xml:space="preserve"> </t>
    </r>
    <r>
      <rPr>
        <sz val="10"/>
        <color theme="1"/>
        <rFont val="Sylfaen"/>
        <family val="1"/>
      </rPr>
      <t>საჭირო</t>
    </r>
    <r>
      <rPr>
        <sz val="12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 xml:space="preserve">  </t>
    </r>
    <r>
      <rPr>
        <sz val="10"/>
        <color theme="1"/>
        <rFont val="Sylfaen"/>
        <family val="1"/>
      </rPr>
      <t>კვლევები</t>
    </r>
    <r>
      <rPr>
        <sz val="12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(</t>
    </r>
    <r>
      <rPr>
        <sz val="12"/>
        <color theme="1"/>
        <rFont val="Times New Roman"/>
        <family val="1"/>
      </rPr>
      <t xml:space="preserve"> </t>
    </r>
    <r>
      <rPr>
        <sz val="10"/>
        <color theme="1"/>
        <rFont val="Sylfaen"/>
        <family val="1"/>
      </rPr>
      <t>სრული</t>
    </r>
    <r>
      <rPr>
        <sz val="12"/>
        <color theme="1"/>
        <rFont val="Times New Roman"/>
        <family val="1"/>
      </rPr>
      <t xml:space="preserve"> </t>
    </r>
    <r>
      <rPr>
        <sz val="10"/>
        <color theme="1"/>
        <rFont val="Sylfaen"/>
        <family val="1"/>
      </rPr>
      <t>პაკეტი</t>
    </r>
    <r>
      <rPr>
        <sz val="12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Sylfaen"/>
        <family val="1"/>
      </rPr>
      <t>ელასტოგრაფიით</t>
    </r>
    <r>
      <rPr>
        <sz val="12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)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Sylfaen"/>
        <family val="1"/>
      </rPr>
      <t>(</t>
    </r>
    <r>
      <rPr>
        <sz val="10"/>
        <color theme="1"/>
        <rFont val="Sylfaen"/>
        <family val="1"/>
      </rPr>
      <t>TSH გარეშე)</t>
    </r>
  </si>
  <si>
    <r>
      <t>მკურნალობის</t>
    </r>
    <r>
      <rPr>
        <sz val="12"/>
        <color theme="1"/>
        <rFont val="Times New Roman"/>
        <family val="1"/>
      </rPr>
      <t xml:space="preserve"> </t>
    </r>
    <r>
      <rPr>
        <sz val="10"/>
        <color theme="1"/>
        <rFont val="Sylfaen"/>
        <family val="1"/>
      </rPr>
      <t>კომპონენტში</t>
    </r>
    <r>
      <rPr>
        <sz val="12"/>
        <color theme="1"/>
        <rFont val="Times New Roman"/>
        <family val="1"/>
      </rPr>
      <t xml:space="preserve"> </t>
    </r>
    <r>
      <rPr>
        <sz val="10"/>
        <color theme="1"/>
        <rFont val="Sylfaen"/>
        <family val="1"/>
      </rPr>
      <t>ჩართვამდე</t>
    </r>
    <r>
      <rPr>
        <sz val="12"/>
        <color theme="1"/>
        <rFont val="Times New Roman"/>
        <family val="1"/>
      </rPr>
      <t xml:space="preserve"> </t>
    </r>
    <r>
      <rPr>
        <sz val="10"/>
        <color theme="1"/>
        <rFont val="Sylfaen"/>
        <family val="1"/>
      </rPr>
      <t>საჭირო</t>
    </r>
    <r>
      <rPr>
        <sz val="12"/>
        <color theme="1"/>
        <rFont val="Times New Roman"/>
        <family val="1"/>
      </rPr>
      <t xml:space="preserve"> </t>
    </r>
    <r>
      <rPr>
        <sz val="10"/>
        <color theme="1"/>
        <rFont val="Sylfaen"/>
        <family val="1"/>
      </rPr>
      <t>კვლევები</t>
    </r>
    <r>
      <rPr>
        <sz val="12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(</t>
    </r>
    <r>
      <rPr>
        <sz val="12"/>
        <color theme="1"/>
        <rFont val="Times New Roman"/>
        <family val="1"/>
      </rPr>
      <t xml:space="preserve"> </t>
    </r>
    <r>
      <rPr>
        <sz val="10"/>
        <color theme="1"/>
        <rFont val="Sylfaen"/>
        <family val="1"/>
      </rPr>
      <t>სრული</t>
    </r>
    <r>
      <rPr>
        <sz val="12"/>
        <color theme="1"/>
        <rFont val="Times New Roman"/>
        <family val="1"/>
      </rPr>
      <t xml:space="preserve"> </t>
    </r>
    <r>
      <rPr>
        <sz val="10"/>
        <color theme="1"/>
        <rFont val="Sylfaen"/>
        <family val="1"/>
      </rPr>
      <t>პაკეტი</t>
    </r>
    <r>
      <rPr>
        <sz val="12"/>
        <color theme="1"/>
        <rFont val="Times New Roman"/>
        <family val="1"/>
      </rPr>
      <t xml:space="preserve"> </t>
    </r>
    <r>
      <rPr>
        <sz val="10"/>
        <color theme="1"/>
        <rFont val="Sylfaen"/>
        <family val="1"/>
      </rPr>
      <t>ელასტოგრაფიის</t>
    </r>
    <r>
      <rPr>
        <sz val="12"/>
        <color theme="1"/>
        <rFont val="Times New Roman"/>
        <family val="1"/>
      </rPr>
      <t xml:space="preserve"> </t>
    </r>
    <r>
      <rPr>
        <sz val="10"/>
        <color theme="1"/>
        <rFont val="Sylfaen"/>
        <family val="1"/>
      </rPr>
      <t>გარეშე</t>
    </r>
    <r>
      <rPr>
        <sz val="12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)</t>
    </r>
    <r>
      <rPr>
        <sz val="12"/>
        <color theme="1"/>
        <rFont val="Times New Roman"/>
        <family val="1"/>
      </rPr>
      <t xml:space="preserve"> (</t>
    </r>
    <r>
      <rPr>
        <sz val="10"/>
        <color theme="1"/>
        <rFont val="Sylfaen"/>
        <family val="1"/>
      </rPr>
      <t>TSH გარეშე)</t>
    </r>
  </si>
  <si>
    <r>
      <t>მკურნალობის</t>
    </r>
    <r>
      <rPr>
        <sz val="12"/>
        <color theme="1"/>
        <rFont val="Times New Roman"/>
        <family val="1"/>
      </rPr>
      <t xml:space="preserve"> </t>
    </r>
    <r>
      <rPr>
        <sz val="10"/>
        <color theme="1"/>
        <rFont val="Sylfaen"/>
        <family val="1"/>
      </rPr>
      <t>კომპონენტში</t>
    </r>
    <r>
      <rPr>
        <sz val="12"/>
        <color theme="1"/>
        <rFont val="Times New Roman"/>
        <family val="1"/>
      </rPr>
      <t xml:space="preserve"> </t>
    </r>
    <r>
      <rPr>
        <sz val="10"/>
        <color theme="1"/>
        <rFont val="Sylfaen"/>
        <family val="1"/>
      </rPr>
      <t>ჩართვამდე</t>
    </r>
    <r>
      <rPr>
        <sz val="12"/>
        <color theme="1"/>
        <rFont val="Times New Roman"/>
        <family val="1"/>
      </rPr>
      <t xml:space="preserve"> </t>
    </r>
    <r>
      <rPr>
        <sz val="10"/>
        <color theme="1"/>
        <rFont val="Sylfaen"/>
        <family val="1"/>
      </rPr>
      <t>საჭირო</t>
    </r>
    <r>
      <rPr>
        <sz val="12"/>
        <color theme="1"/>
        <rFont val="Times New Roman"/>
        <family val="1"/>
      </rPr>
      <t xml:space="preserve"> </t>
    </r>
    <r>
      <rPr>
        <sz val="10"/>
        <color theme="1"/>
        <rFont val="Sylfaen"/>
        <family val="1"/>
      </rPr>
      <t>კვლევები</t>
    </r>
    <r>
      <rPr>
        <sz val="12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 xml:space="preserve">- TSH </t>
    </r>
    <r>
      <rPr>
        <sz val="10"/>
        <color theme="1"/>
        <rFont val="Sylfaen"/>
        <family val="1"/>
      </rPr>
      <t>კვლევა</t>
    </r>
    <r>
      <rPr>
        <sz val="12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(</t>
    </r>
    <r>
      <rPr>
        <sz val="12"/>
        <color theme="1"/>
        <rFont val="Times New Roman"/>
        <family val="1"/>
      </rPr>
      <t xml:space="preserve"> </t>
    </r>
    <r>
      <rPr>
        <sz val="10"/>
        <color theme="1"/>
        <rFont val="Sylfaen"/>
        <family val="1"/>
      </rPr>
      <t>ინტერფერონის</t>
    </r>
    <r>
      <rPr>
        <sz val="12"/>
        <color theme="1"/>
        <rFont val="Times New Roman"/>
        <family val="1"/>
      </rPr>
      <t xml:space="preserve"> </t>
    </r>
    <r>
      <rPr>
        <sz val="10"/>
        <color theme="1"/>
        <rFont val="Sylfaen"/>
        <family val="1"/>
      </rPr>
      <t>შემცველი</t>
    </r>
    <r>
      <rPr>
        <sz val="12"/>
        <color theme="1"/>
        <rFont val="Times New Roman"/>
        <family val="1"/>
      </rPr>
      <t xml:space="preserve"> </t>
    </r>
    <r>
      <rPr>
        <sz val="10"/>
        <color theme="1"/>
        <rFont val="Sylfaen"/>
        <family val="1"/>
      </rPr>
      <t>მკურნალობის</t>
    </r>
    <r>
      <rPr>
        <sz val="12"/>
        <color theme="1"/>
        <rFont val="Times New Roman"/>
        <family val="1"/>
      </rPr>
      <t xml:space="preserve"> </t>
    </r>
    <r>
      <rPr>
        <sz val="10"/>
        <color theme="1"/>
        <rFont val="Sylfaen"/>
        <family val="1"/>
      </rPr>
      <t>რეჟიმის</t>
    </r>
    <r>
      <rPr>
        <sz val="12"/>
        <color theme="1"/>
        <rFont val="Times New Roman"/>
        <family val="1"/>
      </rPr>
      <t xml:space="preserve"> </t>
    </r>
    <r>
      <rPr>
        <sz val="10"/>
        <color theme="1"/>
        <rFont val="Sylfaen"/>
        <family val="1"/>
      </rPr>
      <t>შემთხვევაში</t>
    </r>
    <r>
      <rPr>
        <sz val="12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)</t>
    </r>
    <r>
      <rPr>
        <sz val="12"/>
        <color theme="1"/>
        <rFont val="Times New Roman"/>
        <family val="1"/>
      </rPr>
      <t xml:space="preserve"> </t>
    </r>
  </si>
  <si>
    <t>სულ წლიური ბიუჯეტი (ლარი)</t>
  </si>
  <si>
    <t>სხვაობა rna-სთან</t>
  </si>
  <si>
    <t>ბენეფიციართა წლიური რაოდენობა</t>
  </si>
  <si>
    <t>კონფირმაციული კვლევის რაოდენობა (30%-ით მეტი)</t>
  </si>
  <si>
    <t>სოცდაუცველი (10%)</t>
  </si>
  <si>
    <t>სხვა ბენეფიციარი (90%)</t>
  </si>
  <si>
    <t>ჯამი</t>
  </si>
  <si>
    <t>რაოდენობა</t>
  </si>
  <si>
    <t>110  (33/77) ლარი</t>
  </si>
  <si>
    <t>60 (18/42) ლარი</t>
  </si>
  <si>
    <t>დიაგნოსტიკა მკურნალობაში ჩართვამდე ბიუჯეტი (პაციენტის წილი)</t>
  </si>
  <si>
    <t>პაციენტი</t>
  </si>
  <si>
    <t>სახელმწიფო</t>
  </si>
  <si>
    <t>სოცდაუცველის წილი</t>
  </si>
  <si>
    <t>სხვა ბენეფიციარის წილი</t>
  </si>
  <si>
    <t xml:space="preserve">დიაგნოსტიკური კვლევები </t>
  </si>
  <si>
    <t>ბენეფიციართა რაოდენობა</t>
  </si>
  <si>
    <t>50/100  ლარი</t>
  </si>
  <si>
    <t>50/100 ლარი</t>
  </si>
  <si>
    <t>100/200 ლარი</t>
  </si>
  <si>
    <t xml:space="preserve"> სახელმწიფო ბიუჯეტი (NCV RNA) (ლარი)</t>
  </si>
  <si>
    <t>CORE AG/GENEXPERT</t>
  </si>
  <si>
    <t xml:space="preserve"> სახელმწიფო ბიუჯეტი (CORE AG/GENEXPERT) (ლარი)</t>
  </si>
  <si>
    <t>სრული კურსი</t>
  </si>
  <si>
    <t xml:space="preserve">სრული კურსი </t>
  </si>
  <si>
    <t>სრული კურსი (NCV RNA =CORE AG/GENEXPERT=0)</t>
  </si>
  <si>
    <t>სრული კურსი (NCV RNA=CORE AG/GENEXPERT=0)</t>
  </si>
  <si>
    <t>0 ლარი</t>
  </si>
  <si>
    <t>რაოდენობრივი კვლევა 30%-ით მეტ პაციენტს</t>
  </si>
  <si>
    <t>რაოდენობრივი 30%-ით მეტი</t>
  </si>
  <si>
    <t>ბენეფიციართა რაოდენობა 4 თვე</t>
  </si>
  <si>
    <t>დამატებით საჭირო  რესურსი</t>
  </si>
  <si>
    <t>გილიადის თანხის გამოყენების შემთხვევაში დამატებით საჭირო რესურსი</t>
  </si>
  <si>
    <t>HCV RNA CORE</t>
  </si>
  <si>
    <t>`</t>
  </si>
  <si>
    <r>
      <t>C ჰეპატიტის დიაგნოსტიკის ჯამური ღირებულება</t>
    </r>
    <r>
      <rPr>
        <b/>
        <sz val="11"/>
        <color rgb="FFFF0000"/>
        <rFont val="Calibri"/>
        <family val="2"/>
        <scheme val="minor"/>
      </rPr>
      <t xml:space="preserve"> 6000 </t>
    </r>
    <r>
      <rPr>
        <b/>
        <sz val="11"/>
        <color theme="1"/>
        <rFont val="Calibri"/>
        <family val="2"/>
        <scheme val="minor"/>
      </rPr>
      <t>პაციენტზე გათვლით (CORE სრული დაფინანსება ჩართვამდე და მონიტორინგის პროცესში)</t>
    </r>
  </si>
  <si>
    <t>სულ ბენეფიციარი</t>
  </si>
  <si>
    <t>total (2)</t>
  </si>
  <si>
    <t>total (3)</t>
  </si>
  <si>
    <t>Anti-HBc total</t>
  </si>
  <si>
    <t xml:space="preserve">HCV RNA </t>
  </si>
  <si>
    <t>ბიუჯეტი (SVR გარეშე)</t>
  </si>
  <si>
    <t>Anti HBc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</si>
</sst>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₾_-;\-* #,##0.00\ _₾_-;_-* &quot;-&quot;??\ _₾_-;_-@_-"/>
    <numFmt numFmtId="164" formatCode="_(* #,##0.00_);_(* \(#,##0.00\);_(* &quot;-&quot;??_);_(@_)"/>
    <numFmt numFmtId="165" formatCode="_-* #,##0.00\ _L_a_r_i_-;\-* #,##0.00\ _L_a_r_i_-;_-* &quot;-&quot;??\ _L_a_r_i_-;_-@_-"/>
    <numFmt numFmtId="166" formatCode="_(* #,##0_);_(* \(#,##0\);_(* &quot;-&quot;??_);_(@_)"/>
    <numFmt numFmtId="167" formatCode="_-* #,##0.0\ _L_a_r_i_-;\-* #,##0.0\ _L_a_r_i_-;_-* &quot;-&quot;??\ _L_a_r_i_-;_-@_-"/>
    <numFmt numFmtId="168" formatCode="_-* #,##0.0\ _₾_-;\-* #,##0.0\ _₾_-;_-* &quot;-&quot;?\ _₾_-;_-@_-"/>
    <numFmt numFmtId="169" formatCode="_-* #,##0\ _L_a_r_i_-;\-* #,##0\ _L_a_r_i_-;_-* &quot;-&quot;??\ _L_a_r_i_-;_-@_-"/>
    <numFmt numFmtId="170" formatCode="_-* #,##0\ _₾_-;\-* #,##0\ _₾_-;_-* &quot;-&quot;?\ _₾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963634"/>
      <name val="Calibri"/>
      <family val="2"/>
      <scheme val="minor"/>
    </font>
    <font>
      <sz val="11"/>
      <color rgb="FF000000"/>
      <name val="Sylfaen"/>
      <family val="1"/>
    </font>
    <font>
      <b/>
      <sz val="11"/>
      <color rgb="FF000000"/>
      <name val="Calibri"/>
      <family val="2"/>
      <scheme val="minor"/>
    </font>
    <font>
      <b/>
      <sz val="9"/>
      <color theme="1"/>
      <name val="Times New Roman"/>
      <family val="1"/>
    </font>
    <font>
      <b/>
      <sz val="9"/>
      <color theme="1"/>
      <name val="Sylfae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Sylfaen"/>
      <family val="1"/>
    </font>
    <font>
      <sz val="12"/>
      <color theme="1"/>
      <name val="Sylfaen"/>
      <family val="1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218">
    <xf numFmtId="0" fontId="0" fillId="0" borderId="0" xfId="0"/>
    <xf numFmtId="0" fontId="1" fillId="0" borderId="1" xfId="2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1" fillId="0" borderId="0" xfId="2"/>
    <xf numFmtId="0" fontId="1" fillId="2" borderId="1" xfId="2" applyFill="1" applyBorder="1" applyAlignment="1">
      <alignment horizontal="center" vertical="center"/>
    </xf>
    <xf numFmtId="0" fontId="1" fillId="2" borderId="1" xfId="2" applyFill="1" applyBorder="1"/>
    <xf numFmtId="0" fontId="3" fillId="2" borderId="1" xfId="2" applyFont="1" applyFill="1" applyBorder="1" applyAlignment="1">
      <alignment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1" fillId="0" borderId="1" xfId="2" applyBorder="1" applyAlignment="1">
      <alignment wrapText="1"/>
    </xf>
    <xf numFmtId="0" fontId="1" fillId="3" borderId="1" xfId="2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/>
    </xf>
    <xf numFmtId="166" fontId="1" fillId="0" borderId="1" xfId="1" applyNumberFormat="1" applyFont="1" applyFill="1" applyBorder="1" applyAlignment="1">
      <alignment horizontal="center" vertical="center"/>
    </xf>
    <xf numFmtId="166" fontId="1" fillId="0" borderId="1" xfId="2" applyNumberFormat="1" applyBorder="1"/>
    <xf numFmtId="0" fontId="1" fillId="0" borderId="1" xfId="2" applyBorder="1" applyAlignment="1">
      <alignment horizontal="left"/>
    </xf>
    <xf numFmtId="0" fontId="1" fillId="0" borderId="1" xfId="2" applyFill="1" applyBorder="1" applyAlignment="1">
      <alignment horizontal="center" vertical="center"/>
    </xf>
    <xf numFmtId="0" fontId="1" fillId="0" borderId="0" xfId="2" applyAlignment="1">
      <alignment horizontal="center" vertical="center"/>
    </xf>
    <xf numFmtId="0" fontId="1" fillId="0" borderId="1" xfId="2" applyBorder="1"/>
    <xf numFmtId="0" fontId="4" fillId="0" borderId="1" xfId="2" applyFont="1" applyBorder="1" applyAlignment="1">
      <alignment horizontal="center" vertical="center"/>
    </xf>
    <xf numFmtId="0" fontId="4" fillId="0" borderId="1" xfId="2" applyFont="1" applyBorder="1"/>
    <xf numFmtId="166" fontId="4" fillId="0" borderId="1" xfId="1" applyNumberFormat="1" applyFont="1" applyBorder="1" applyAlignment="1">
      <alignment horizontal="center" vertical="center"/>
    </xf>
    <xf numFmtId="166" fontId="4" fillId="0" borderId="1" xfId="1" applyNumberFormat="1" applyFont="1" applyFill="1" applyBorder="1" applyAlignment="1">
      <alignment horizontal="center" vertical="center"/>
    </xf>
    <xf numFmtId="0" fontId="1" fillId="0" borderId="0" xfId="2" applyFill="1" applyBorder="1"/>
    <xf numFmtId="0" fontId="1" fillId="0" borderId="0" xfId="2" applyFill="1" applyBorder="1" applyAlignment="1"/>
    <xf numFmtId="166" fontId="4" fillId="0" borderId="1" xfId="1" applyNumberFormat="1" applyFont="1" applyBorder="1"/>
    <xf numFmtId="0" fontId="0" fillId="0" borderId="2" xfId="2" applyFont="1" applyBorder="1" applyAlignment="1">
      <alignment horizontal="center" vertical="center" wrapText="1"/>
    </xf>
    <xf numFmtId="0" fontId="0" fillId="0" borderId="0" xfId="2" applyFont="1"/>
    <xf numFmtId="0" fontId="0" fillId="0" borderId="1" xfId="0" applyBorder="1"/>
    <xf numFmtId="0" fontId="0" fillId="4" borderId="1" xfId="0" applyFill="1" applyBorder="1"/>
    <xf numFmtId="0" fontId="0" fillId="0" borderId="2" xfId="0" applyBorder="1"/>
    <xf numFmtId="0" fontId="0" fillId="4" borderId="2" xfId="0" applyFill="1" applyBorder="1"/>
    <xf numFmtId="165" fontId="0" fillId="0" borderId="0" xfId="1" applyFont="1"/>
    <xf numFmtId="165" fontId="0" fillId="0" borderId="0" xfId="0" applyNumberFormat="1"/>
    <xf numFmtId="43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0" fillId="0" borderId="2" xfId="0" applyFill="1" applyBorder="1"/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0" fontId="0" fillId="5" borderId="0" xfId="0" applyFill="1"/>
    <xf numFmtId="0" fontId="2" fillId="5" borderId="0" xfId="0" applyFont="1" applyFill="1" applyBorder="1" applyAlignment="1">
      <alignment horizontal="center" vertical="center" textRotation="90"/>
    </xf>
    <xf numFmtId="0" fontId="2" fillId="5" borderId="0" xfId="0" applyFont="1" applyFill="1" applyBorder="1" applyAlignment="1">
      <alignment horizontal="center" vertical="center"/>
    </xf>
    <xf numFmtId="0" fontId="0" fillId="5" borderId="0" xfId="0" applyFill="1" applyBorder="1"/>
    <xf numFmtId="0" fontId="0" fillId="5" borderId="0" xfId="0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wrapText="1"/>
    </xf>
    <xf numFmtId="167" fontId="8" fillId="0" borderId="0" xfId="1" applyNumberFormat="1" applyFont="1" applyFill="1" applyBorder="1" applyAlignment="1">
      <alignment wrapText="1"/>
    </xf>
    <xf numFmtId="0" fontId="9" fillId="0" borderId="9" xfId="0" applyFont="1" applyBorder="1" applyAlignment="1">
      <alignment vertical="center" wrapText="1"/>
    </xf>
    <xf numFmtId="0" fontId="9" fillId="6" borderId="9" xfId="0" applyFont="1" applyFill="1" applyBorder="1" applyAlignment="1">
      <alignment horizontal="right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9" fillId="0" borderId="9" xfId="0" applyFont="1" applyBorder="1" applyAlignment="1">
      <alignment horizontal="right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9" xfId="0" applyFont="1" applyFill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0" xfId="0" applyFont="1" applyBorder="1" applyAlignment="1">
      <alignment horizontal="center" vertical="center"/>
    </xf>
    <xf numFmtId="0" fontId="10" fillId="8" borderId="9" xfId="0" applyFont="1" applyFill="1" applyBorder="1" applyAlignment="1">
      <alignment vertical="center"/>
    </xf>
    <xf numFmtId="0" fontId="11" fillId="6" borderId="9" xfId="0" applyFont="1" applyFill="1" applyBorder="1" applyAlignment="1">
      <alignment horizontal="right" vertical="center"/>
    </xf>
    <xf numFmtId="0" fontId="12" fillId="7" borderId="9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Fill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6" borderId="1" xfId="0" applyFont="1" applyFill="1" applyBorder="1" applyAlignment="1">
      <alignment horizontal="right" vertical="center"/>
    </xf>
    <xf numFmtId="0" fontId="14" fillId="0" borderId="12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15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vertical="center" wrapText="1"/>
    </xf>
    <xf numFmtId="0" fontId="17" fillId="0" borderId="9" xfId="0" applyFont="1" applyBorder="1" applyAlignment="1">
      <alignment horizontal="center" vertical="center" wrapText="1"/>
    </xf>
    <xf numFmtId="164" fontId="19" fillId="4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164" fontId="0" fillId="0" borderId="0" xfId="0" applyNumberFormat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1" applyFont="1" applyAlignment="1">
      <alignment horizontal="center" vertical="center"/>
    </xf>
    <xf numFmtId="167" fontId="0" fillId="0" borderId="0" xfId="1" applyNumberFormat="1" applyFont="1" applyAlignment="1">
      <alignment horizontal="center" vertical="center"/>
    </xf>
    <xf numFmtId="167" fontId="0" fillId="0" borderId="0" xfId="1" applyNumberFormat="1" applyFont="1"/>
    <xf numFmtId="168" fontId="0" fillId="0" borderId="0" xfId="0" applyNumberFormat="1" applyAlignment="1">
      <alignment horizontal="center" vertical="center"/>
    </xf>
    <xf numFmtId="168" fontId="0" fillId="0" borderId="0" xfId="0" applyNumberFormat="1"/>
    <xf numFmtId="43" fontId="0" fillId="0" borderId="0" xfId="0" applyNumberFormat="1" applyAlignment="1">
      <alignment horizontal="center" vertical="center"/>
    </xf>
    <xf numFmtId="43" fontId="0" fillId="4" borderId="0" xfId="0" applyNumberForma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8" fontId="0" fillId="0" borderId="1" xfId="0" applyNumberFormat="1" applyBorder="1" applyAlignment="1">
      <alignment horizontal="center" vertical="center"/>
    </xf>
    <xf numFmtId="167" fontId="0" fillId="0" borderId="1" xfId="1" applyNumberFormat="1" applyFont="1" applyBorder="1" applyAlignment="1">
      <alignment horizontal="center" vertical="center"/>
    </xf>
    <xf numFmtId="167" fontId="0" fillId="0" borderId="1" xfId="1" applyNumberFormat="1" applyFont="1" applyBorder="1"/>
    <xf numFmtId="168" fontId="0" fillId="0" borderId="1" xfId="0" applyNumberFormat="1" applyBorder="1"/>
    <xf numFmtId="0" fontId="5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43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3" fontId="0" fillId="0" borderId="0" xfId="0" applyNumberFormat="1"/>
    <xf numFmtId="0" fontId="5" fillId="0" borderId="0" xfId="0" applyFont="1"/>
    <xf numFmtId="3" fontId="20" fillId="0" borderId="0" xfId="0" applyNumberFormat="1" applyFont="1"/>
    <xf numFmtId="9" fontId="20" fillId="0" borderId="0" xfId="0" applyNumberFormat="1" applyFont="1"/>
    <xf numFmtId="0" fontId="20" fillId="0" borderId="0" xfId="0" applyFont="1" applyAlignment="1">
      <alignment horizontal="right"/>
    </xf>
    <xf numFmtId="0" fontId="5" fillId="0" borderId="1" xfId="0" applyFont="1" applyBorder="1"/>
    <xf numFmtId="3" fontId="20" fillId="0" borderId="1" xfId="0" applyNumberFormat="1" applyFont="1" applyBorder="1"/>
    <xf numFmtId="9" fontId="20" fillId="0" borderId="1" xfId="0" applyNumberFormat="1" applyFont="1" applyBorder="1"/>
    <xf numFmtId="0" fontId="0" fillId="9" borderId="1" xfId="0" applyFill="1" applyBorder="1"/>
    <xf numFmtId="0" fontId="5" fillId="0" borderId="5" xfId="0" applyFont="1" applyBorder="1" applyAlignment="1">
      <alignment wrapText="1"/>
    </xf>
    <xf numFmtId="3" fontId="20" fillId="0" borderId="5" xfId="0" applyNumberFormat="1" applyFont="1" applyBorder="1"/>
    <xf numFmtId="9" fontId="20" fillId="0" borderId="5" xfId="0" applyNumberFormat="1" applyFont="1" applyBorder="1"/>
    <xf numFmtId="0" fontId="5" fillId="0" borderId="6" xfId="0" applyFont="1" applyBorder="1"/>
    <xf numFmtId="3" fontId="20" fillId="0" borderId="6" xfId="0" applyNumberFormat="1" applyFont="1" applyBorder="1"/>
    <xf numFmtId="9" fontId="20" fillId="0" borderId="6" xfId="0" applyNumberFormat="1" applyFont="1" applyBorder="1"/>
    <xf numFmtId="0" fontId="5" fillId="9" borderId="0" xfId="0" applyFont="1" applyFill="1" applyBorder="1" applyAlignment="1">
      <alignment wrapText="1"/>
    </xf>
    <xf numFmtId="3" fontId="20" fillId="9" borderId="0" xfId="0" applyNumberFormat="1" applyFont="1" applyFill="1" applyBorder="1"/>
    <xf numFmtId="9" fontId="20" fillId="9" borderId="0" xfId="0" applyNumberFormat="1" applyFont="1" applyFill="1" applyBorder="1"/>
    <xf numFmtId="9" fontId="20" fillId="0" borderId="6" xfId="0" applyNumberFormat="1" applyFont="1" applyBorder="1" applyAlignment="1">
      <alignment horizontal="right"/>
    </xf>
    <xf numFmtId="0" fontId="20" fillId="0" borderId="6" xfId="0" applyFont="1" applyBorder="1" applyAlignment="1">
      <alignment horizontal="right"/>
    </xf>
    <xf numFmtId="0" fontId="5" fillId="0" borderId="5" xfId="0" applyFont="1" applyBorder="1"/>
    <xf numFmtId="0" fontId="20" fillId="0" borderId="5" xfId="0" applyFont="1" applyBorder="1" applyAlignment="1">
      <alignment horizontal="right"/>
    </xf>
    <xf numFmtId="0" fontId="0" fillId="9" borderId="0" xfId="0" applyFill="1" applyBorder="1"/>
    <xf numFmtId="43" fontId="5" fillId="0" borderId="1" xfId="0" applyNumberFormat="1" applyFont="1" applyBorder="1" applyAlignment="1">
      <alignment horizontal="left" vertical="center" wrapText="1"/>
    </xf>
    <xf numFmtId="1" fontId="0" fillId="0" borderId="1" xfId="0" applyNumberFormat="1" applyBorder="1" applyAlignment="1">
      <alignment horizontal="center" vertical="center"/>
    </xf>
    <xf numFmtId="169" fontId="0" fillId="0" borderId="1" xfId="1" applyNumberFormat="1" applyFont="1" applyBorder="1" applyAlignment="1">
      <alignment horizontal="center" vertical="center"/>
    </xf>
    <xf numFmtId="169" fontId="0" fillId="0" borderId="1" xfId="0" applyNumberFormat="1" applyBorder="1" applyAlignment="1">
      <alignment horizontal="center" vertical="center"/>
    </xf>
    <xf numFmtId="169" fontId="0" fillId="0" borderId="1" xfId="0" applyNumberFormat="1" applyBorder="1"/>
    <xf numFmtId="170" fontId="0" fillId="0" borderId="1" xfId="0" applyNumberFormat="1" applyBorder="1" applyAlignment="1">
      <alignment horizontal="center" vertical="center"/>
    </xf>
    <xf numFmtId="0" fontId="0" fillId="9" borderId="1" xfId="0" applyFill="1" applyBorder="1" applyAlignment="1">
      <alignment horizontal="left"/>
    </xf>
    <xf numFmtId="0" fontId="0" fillId="9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2" applyFont="1" applyBorder="1" applyAlignment="1">
      <alignment wrapText="1"/>
    </xf>
    <xf numFmtId="0" fontId="0" fillId="0" borderId="0" xfId="2" applyFont="1" applyFill="1" applyBorder="1"/>
    <xf numFmtId="0" fontId="20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167" fontId="0" fillId="0" borderId="0" xfId="0" applyNumberFormat="1"/>
    <xf numFmtId="0" fontId="9" fillId="4" borderId="1" xfId="0" applyFont="1" applyFill="1" applyBorder="1" applyAlignment="1">
      <alignment vertical="center" wrapText="1"/>
    </xf>
    <xf numFmtId="0" fontId="9" fillId="4" borderId="9" xfId="0" applyFont="1" applyFill="1" applyBorder="1" applyAlignment="1">
      <alignment vertical="center" wrapText="1"/>
    </xf>
    <xf numFmtId="0" fontId="9" fillId="4" borderId="9" xfId="0" applyFont="1" applyFill="1" applyBorder="1" applyAlignment="1">
      <alignment vertical="center"/>
    </xf>
    <xf numFmtId="0" fontId="9" fillId="4" borderId="9" xfId="0" applyFont="1" applyFill="1" applyBorder="1" applyAlignment="1">
      <alignment horizontal="right" vertical="center"/>
    </xf>
    <xf numFmtId="0" fontId="11" fillId="4" borderId="9" xfId="0" applyFont="1" applyFill="1" applyBorder="1" applyAlignment="1">
      <alignment vertical="center"/>
    </xf>
    <xf numFmtId="0" fontId="0" fillId="0" borderId="1" xfId="2" applyFont="1" applyBorder="1" applyAlignment="1">
      <alignment horizontal="left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2" fillId="0" borderId="6" xfId="0" applyFont="1" applyBorder="1" applyAlignment="1">
      <alignment horizontal="center" textRotation="90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1" xfId="0" applyFont="1" applyBorder="1" applyAlignment="1">
      <alignment horizontal="center" textRotation="90" wrapText="1"/>
    </xf>
    <xf numFmtId="0" fontId="2" fillId="0" borderId="5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/>
    </xf>
    <xf numFmtId="0" fontId="1" fillId="0" borderId="0" xfId="2" applyFont="1" applyFill="1" applyBorder="1" applyAlignment="1">
      <alignment horizontal="center" vertical="center" wrapText="1"/>
    </xf>
    <xf numFmtId="0" fontId="1" fillId="0" borderId="0" xfId="2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5" fillId="0" borderId="4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opLeftCell="B55" workbookViewId="0">
      <selection activeCell="B55" sqref="A1:XFD1048576"/>
    </sheetView>
  </sheetViews>
  <sheetFormatPr defaultRowHeight="15" x14ac:dyDescent="0.25"/>
  <cols>
    <col min="2" max="2" width="18.5703125" bestFit="1" customWidth="1"/>
    <col min="3" max="3" width="42.5703125" bestFit="1" customWidth="1"/>
    <col min="4" max="4" width="17.42578125" customWidth="1"/>
    <col min="5" max="5" width="16.85546875" bestFit="1" customWidth="1"/>
    <col min="6" max="6" width="4" customWidth="1"/>
    <col min="7" max="7" width="14.5703125" bestFit="1" customWidth="1"/>
    <col min="8" max="8" width="10.42578125" customWidth="1"/>
    <col min="9" max="9" width="4" customWidth="1"/>
    <col min="10" max="10" width="14.5703125" bestFit="1" customWidth="1"/>
    <col min="11" max="11" width="10" customWidth="1"/>
    <col min="12" max="12" width="17" customWidth="1"/>
    <col min="13" max="13" width="15.5703125" customWidth="1"/>
  </cols>
  <sheetData>
    <row r="1" spans="1:11" x14ac:dyDescent="0.25">
      <c r="A1" s="202" t="s">
        <v>82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x14ac:dyDescent="0.25">
      <c r="F2" s="47"/>
      <c r="G2" s="189" t="s">
        <v>73</v>
      </c>
      <c r="H2" s="189"/>
      <c r="I2" s="47"/>
      <c r="J2" s="189" t="s">
        <v>72</v>
      </c>
      <c r="K2" s="189"/>
    </row>
    <row r="3" spans="1:11" x14ac:dyDescent="0.25">
      <c r="F3" s="47"/>
      <c r="G3" s="45" t="s">
        <v>67</v>
      </c>
      <c r="H3" s="45" t="s">
        <v>47</v>
      </c>
      <c r="I3" s="47"/>
      <c r="J3" s="45" t="s">
        <v>67</v>
      </c>
      <c r="K3" s="45" t="s">
        <v>47</v>
      </c>
    </row>
    <row r="4" spans="1:11" ht="34.5" customHeight="1" x14ac:dyDescent="0.25">
      <c r="D4" s="190" t="s">
        <v>74</v>
      </c>
      <c r="E4" s="191"/>
      <c r="F4" s="47"/>
      <c r="G4" s="46">
        <v>0.3</v>
      </c>
      <c r="H4" s="46">
        <v>0.7</v>
      </c>
      <c r="I4" s="47"/>
      <c r="J4" s="46">
        <v>0.7</v>
      </c>
      <c r="K4" s="46">
        <v>0.3</v>
      </c>
    </row>
    <row r="5" spans="1:11" x14ac:dyDescent="0.25">
      <c r="A5" s="177" t="s">
        <v>51</v>
      </c>
      <c r="B5" s="178" t="s">
        <v>43</v>
      </c>
      <c r="C5" s="27" t="s">
        <v>39</v>
      </c>
      <c r="D5" s="34">
        <f>'მკურნალობაში ჩართვის ჯგუფები'!E5</f>
        <v>60</v>
      </c>
      <c r="E5" s="179">
        <f>D5+D6+D7</f>
        <v>438</v>
      </c>
      <c r="F5" s="47"/>
      <c r="G5" s="188">
        <f>E5*$G$4</f>
        <v>131.4</v>
      </c>
      <c r="H5" s="188">
        <f>E5*H4</f>
        <v>306.59999999999997</v>
      </c>
      <c r="I5" s="47"/>
      <c r="J5" s="188">
        <f>E5*J4</f>
        <v>306.59999999999997</v>
      </c>
      <c r="K5" s="188">
        <f>E5*K4</f>
        <v>131.4</v>
      </c>
    </row>
    <row r="6" spans="1:11" x14ac:dyDescent="0.25">
      <c r="A6" s="177"/>
      <c r="B6" s="178"/>
      <c r="C6" s="27" t="s">
        <v>40</v>
      </c>
      <c r="D6" s="34">
        <f>'მკურნალობაში ჩართვის ჯგუფები'!E6</f>
        <v>369</v>
      </c>
      <c r="E6" s="179"/>
      <c r="F6" s="47"/>
      <c r="G6" s="188"/>
      <c r="H6" s="188"/>
      <c r="I6" s="47"/>
      <c r="J6" s="188"/>
      <c r="K6" s="188"/>
    </row>
    <row r="7" spans="1:11" x14ac:dyDescent="0.25">
      <c r="A7" s="177"/>
      <c r="B7" s="178"/>
      <c r="C7" s="27" t="s">
        <v>42</v>
      </c>
      <c r="D7" s="34">
        <f>'მკურნალობაში ჩართვის ჯგუფები'!E8</f>
        <v>9</v>
      </c>
      <c r="E7" s="179"/>
      <c r="F7" s="47"/>
      <c r="G7" s="188"/>
      <c r="H7" s="188"/>
      <c r="I7" s="47"/>
      <c r="J7" s="188"/>
      <c r="K7" s="188"/>
    </row>
    <row r="8" spans="1:11" x14ac:dyDescent="0.25">
      <c r="A8" s="177"/>
      <c r="D8" s="35"/>
      <c r="E8" s="36"/>
      <c r="F8" s="47"/>
      <c r="I8" s="47"/>
    </row>
    <row r="9" spans="1:11" x14ac:dyDescent="0.25">
      <c r="A9" s="177"/>
      <c r="B9" s="178" t="s">
        <v>44</v>
      </c>
      <c r="C9" s="27" t="s">
        <v>39</v>
      </c>
      <c r="D9" s="34">
        <f>'მკურნალობაში ჩართვის ჯგუფები'!E5</f>
        <v>60</v>
      </c>
      <c r="E9" s="179">
        <f>D9+D10</f>
        <v>429</v>
      </c>
      <c r="F9" s="47"/>
      <c r="G9" s="188">
        <f>E9*G4</f>
        <v>128.69999999999999</v>
      </c>
      <c r="H9" s="188">
        <f>E9*H4</f>
        <v>300.29999999999995</v>
      </c>
      <c r="I9" s="47"/>
      <c r="J9" s="188">
        <f>E9*J4</f>
        <v>300.29999999999995</v>
      </c>
      <c r="K9" s="188">
        <f>E9*K4</f>
        <v>128.69999999999999</v>
      </c>
    </row>
    <row r="10" spans="1:11" x14ac:dyDescent="0.25">
      <c r="A10" s="177"/>
      <c r="B10" s="178"/>
      <c r="C10" s="27" t="s">
        <v>40</v>
      </c>
      <c r="D10" s="34">
        <f>'მკურნალობაში ჩართვის ჯგუფები'!E6</f>
        <v>369</v>
      </c>
      <c r="E10" s="179"/>
      <c r="F10" s="47"/>
      <c r="G10" s="188"/>
      <c r="H10" s="188"/>
      <c r="I10" s="47"/>
      <c r="J10" s="188"/>
      <c r="K10" s="188"/>
    </row>
    <row r="11" spans="1:11" x14ac:dyDescent="0.25">
      <c r="A11" s="177"/>
      <c r="D11" s="35"/>
      <c r="E11" s="36"/>
      <c r="F11" s="47"/>
      <c r="I11" s="47"/>
    </row>
    <row r="12" spans="1:11" x14ac:dyDescent="0.25">
      <c r="A12" s="177"/>
      <c r="B12" s="178" t="s">
        <v>45</v>
      </c>
      <c r="C12" s="27" t="s">
        <v>39</v>
      </c>
      <c r="D12" s="34">
        <f>'მკურნალობაში ჩართვის ჯგუფები'!E5</f>
        <v>60</v>
      </c>
      <c r="E12" s="179">
        <f>D12+D13+D14</f>
        <v>358</v>
      </c>
      <c r="F12" s="47"/>
      <c r="G12" s="188">
        <f>E12*G4</f>
        <v>107.39999999999999</v>
      </c>
      <c r="H12" s="188">
        <f>E12*H4</f>
        <v>250.6</v>
      </c>
      <c r="I12" s="47"/>
      <c r="J12" s="188">
        <f>E12*J4</f>
        <v>250.6</v>
      </c>
      <c r="K12" s="188">
        <f>E12*K4</f>
        <v>107.39999999999999</v>
      </c>
    </row>
    <row r="13" spans="1:11" x14ac:dyDescent="0.25">
      <c r="A13" s="177"/>
      <c r="B13" s="178"/>
      <c r="C13" s="27" t="s">
        <v>41</v>
      </c>
      <c r="D13" s="34">
        <f>'მკურნალობაში ჩართვის ჯგუფები'!E7</f>
        <v>289</v>
      </c>
      <c r="E13" s="179"/>
      <c r="F13" s="47"/>
      <c r="G13" s="188"/>
      <c r="H13" s="188"/>
      <c r="I13" s="47"/>
      <c r="J13" s="188"/>
      <c r="K13" s="188"/>
    </row>
    <row r="14" spans="1:11" x14ac:dyDescent="0.25">
      <c r="A14" s="177"/>
      <c r="B14" s="178"/>
      <c r="C14" s="27" t="s">
        <v>42</v>
      </c>
      <c r="D14" s="34">
        <f>'მკურნალობაში ჩართვის ჯგუფები'!E8</f>
        <v>9</v>
      </c>
      <c r="E14" s="179"/>
      <c r="F14" s="47"/>
      <c r="G14" s="188"/>
      <c r="H14" s="188"/>
      <c r="I14" s="47"/>
      <c r="J14" s="188"/>
      <c r="K14" s="188"/>
    </row>
    <row r="15" spans="1:11" x14ac:dyDescent="0.25">
      <c r="A15" s="177"/>
      <c r="D15" s="35"/>
      <c r="E15" s="36"/>
      <c r="F15" s="47"/>
      <c r="I15" s="47"/>
    </row>
    <row r="16" spans="1:11" x14ac:dyDescent="0.25">
      <c r="A16" s="177"/>
      <c r="B16" s="178" t="s">
        <v>46</v>
      </c>
      <c r="C16" s="27" t="s">
        <v>39</v>
      </c>
      <c r="D16" s="34">
        <f>'მკურნალობაში ჩართვის ჯგუფები'!E5</f>
        <v>60</v>
      </c>
      <c r="E16" s="179">
        <f>D16+D17</f>
        <v>349</v>
      </c>
      <c r="F16" s="47"/>
      <c r="G16" s="188">
        <f>E16*G4</f>
        <v>104.7</v>
      </c>
      <c r="H16" s="188">
        <f>E16*H4</f>
        <v>244.29999999999998</v>
      </c>
      <c r="I16" s="47"/>
      <c r="J16" s="188">
        <f>E16*J4</f>
        <v>244.29999999999998</v>
      </c>
      <c r="K16" s="188">
        <f>E16*K4</f>
        <v>104.7</v>
      </c>
    </row>
    <row r="17" spans="1:11" x14ac:dyDescent="0.25">
      <c r="A17" s="177"/>
      <c r="B17" s="178"/>
      <c r="C17" s="27" t="s">
        <v>41</v>
      </c>
      <c r="D17" s="34">
        <f>'მკურნალობაში ჩართვის ჯგუფები'!E7</f>
        <v>289</v>
      </c>
      <c r="E17" s="179"/>
      <c r="F17" s="47"/>
      <c r="G17" s="188"/>
      <c r="H17" s="188"/>
      <c r="I17" s="47"/>
      <c r="J17" s="188"/>
      <c r="K17" s="188"/>
    </row>
    <row r="18" spans="1:11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</row>
    <row r="19" spans="1:11" x14ac:dyDescent="0.25">
      <c r="A19" s="177" t="s">
        <v>54</v>
      </c>
      <c r="B19" s="178" t="s">
        <v>55</v>
      </c>
      <c r="C19" s="29" t="s">
        <v>33</v>
      </c>
      <c r="D19" s="34">
        <f>'მონიტორინგის კვლევების ჯგუფები'!E5</f>
        <v>236</v>
      </c>
      <c r="E19" s="179">
        <f>AVERAGE(D19:D21)</f>
        <v>227</v>
      </c>
      <c r="F19" s="47"/>
      <c r="G19" s="195">
        <f>E19*G4</f>
        <v>68.099999999999994</v>
      </c>
      <c r="H19" s="195">
        <f>E19*H4</f>
        <v>158.89999999999998</v>
      </c>
      <c r="I19" s="47"/>
      <c r="J19" s="195">
        <f>E19*J4</f>
        <v>158.89999999999998</v>
      </c>
      <c r="K19" s="195">
        <f>E19*K4</f>
        <v>68.099999999999994</v>
      </c>
    </row>
    <row r="20" spans="1:11" x14ac:dyDescent="0.25">
      <c r="A20" s="177"/>
      <c r="B20" s="178"/>
      <c r="C20" s="29" t="s">
        <v>31</v>
      </c>
      <c r="D20" s="34">
        <f>'მონიტორინგის კვლევების ჯგუფები'!E6</f>
        <v>227</v>
      </c>
      <c r="E20" s="179"/>
      <c r="F20" s="47"/>
      <c r="G20" s="196"/>
      <c r="H20" s="196"/>
      <c r="I20" s="47"/>
      <c r="J20" s="196"/>
      <c r="K20" s="196"/>
    </row>
    <row r="21" spans="1:11" x14ac:dyDescent="0.25">
      <c r="A21" s="177"/>
      <c r="B21" s="178"/>
      <c r="C21" s="37" t="s">
        <v>34</v>
      </c>
      <c r="D21" s="34">
        <f>'მონიტორინგის კვლევების ჯგუფები'!E7</f>
        <v>218</v>
      </c>
      <c r="E21" s="179"/>
      <c r="F21" s="47"/>
      <c r="G21" s="197"/>
      <c r="H21" s="197"/>
      <c r="I21" s="47"/>
      <c r="J21" s="197"/>
      <c r="K21" s="197"/>
    </row>
    <row r="22" spans="1:11" x14ac:dyDescent="0.25">
      <c r="A22" s="177"/>
      <c r="E22" s="36"/>
      <c r="F22" s="47"/>
      <c r="I22" s="47"/>
    </row>
    <row r="23" spans="1:11" x14ac:dyDescent="0.25">
      <c r="A23" s="177"/>
      <c r="B23" s="178" t="s">
        <v>56</v>
      </c>
      <c r="C23" s="29" t="s">
        <v>35</v>
      </c>
      <c r="D23" s="34">
        <f>'მონიტორინგის კვლევების ჯგუფები'!E8</f>
        <v>304</v>
      </c>
      <c r="E23" s="180">
        <f>AVERAGE(D23:D25)</f>
        <v>289</v>
      </c>
      <c r="F23" s="47"/>
      <c r="G23" s="188">
        <f>E23*G4</f>
        <v>86.7</v>
      </c>
      <c r="H23" s="195">
        <f>E23*H4</f>
        <v>202.29999999999998</v>
      </c>
      <c r="I23" s="47"/>
      <c r="J23" s="188">
        <f>E23*J4</f>
        <v>202.29999999999998</v>
      </c>
      <c r="K23" s="195">
        <f>E23*K4</f>
        <v>86.7</v>
      </c>
    </row>
    <row r="24" spans="1:11" x14ac:dyDescent="0.25">
      <c r="A24" s="177"/>
      <c r="B24" s="178"/>
      <c r="C24" s="29" t="s">
        <v>32</v>
      </c>
      <c r="D24" s="34">
        <f>'მონიტორინგის კვლევების ჯგუფები'!E9</f>
        <v>286</v>
      </c>
      <c r="E24" s="181"/>
      <c r="F24" s="47"/>
      <c r="G24" s="188"/>
      <c r="H24" s="196"/>
      <c r="I24" s="47"/>
      <c r="J24" s="188"/>
      <c r="K24" s="196"/>
    </row>
    <row r="25" spans="1:11" x14ac:dyDescent="0.25">
      <c r="A25" s="177"/>
      <c r="B25" s="178"/>
      <c r="C25" s="37" t="s">
        <v>36</v>
      </c>
      <c r="D25" s="34">
        <f>'მონიტორინგის კვლევების ჯგუფები'!E10</f>
        <v>277</v>
      </c>
      <c r="E25" s="182"/>
      <c r="F25" s="47"/>
      <c r="G25" s="188"/>
      <c r="H25" s="197"/>
      <c r="I25" s="47"/>
      <c r="J25" s="188"/>
      <c r="K25" s="197"/>
    </row>
    <row r="26" spans="1:11" x14ac:dyDescent="0.25">
      <c r="A26" s="177"/>
      <c r="E26" s="36"/>
      <c r="F26" s="47"/>
      <c r="I26" s="47"/>
    </row>
    <row r="27" spans="1:11" x14ac:dyDescent="0.25">
      <c r="A27" s="177"/>
      <c r="B27" s="40" t="s">
        <v>57</v>
      </c>
      <c r="C27" s="27" t="s">
        <v>53</v>
      </c>
      <c r="D27" s="38">
        <f>'მონიტორინგის კვლევების ჯგუფები'!E11</f>
        <v>130</v>
      </c>
      <c r="E27" s="39">
        <v>130</v>
      </c>
      <c r="F27" s="47"/>
      <c r="G27" s="34">
        <v>0</v>
      </c>
      <c r="H27" s="34">
        <v>0</v>
      </c>
      <c r="I27" s="47"/>
      <c r="J27" s="34">
        <f>E27</f>
        <v>130</v>
      </c>
      <c r="K27" s="34">
        <f>E27</f>
        <v>130</v>
      </c>
    </row>
    <row r="28" spans="1:11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5">
      <c r="A29" s="199" t="s">
        <v>66</v>
      </c>
      <c r="B29" s="178" t="s">
        <v>48</v>
      </c>
      <c r="C29" s="27" t="s">
        <v>58</v>
      </c>
      <c r="D29" s="34">
        <f>E5+E19+E27</f>
        <v>795</v>
      </c>
      <c r="E29" s="179">
        <f>AVERAGE(D29:D30)</f>
        <v>790.5</v>
      </c>
      <c r="F29" s="47"/>
      <c r="G29" s="188">
        <f>(E29-E27)*G4</f>
        <v>198.15</v>
      </c>
      <c r="H29" s="188">
        <f>(E29-E27)*H4</f>
        <v>462.34999999999997</v>
      </c>
      <c r="I29" s="47"/>
      <c r="J29" s="188">
        <f>(E29-E27)*J4+E27</f>
        <v>592.34999999999991</v>
      </c>
      <c r="K29" s="188">
        <f>(E29-E27)*K4+E27</f>
        <v>328.15</v>
      </c>
    </row>
    <row r="30" spans="1:11" x14ac:dyDescent="0.25">
      <c r="A30" s="200"/>
      <c r="B30" s="178"/>
      <c r="C30" s="27" t="s">
        <v>60</v>
      </c>
      <c r="D30" s="34">
        <f>E9+E19+E27</f>
        <v>786</v>
      </c>
      <c r="E30" s="179"/>
      <c r="F30" s="47"/>
      <c r="G30" s="188"/>
      <c r="H30" s="188"/>
      <c r="I30" s="47"/>
      <c r="J30" s="188"/>
      <c r="K30" s="188"/>
    </row>
    <row r="31" spans="1:11" x14ac:dyDescent="0.25">
      <c r="A31" s="200"/>
      <c r="B31" s="36"/>
      <c r="D31" s="35"/>
      <c r="E31" s="36"/>
      <c r="F31" s="47"/>
      <c r="I31" s="47"/>
    </row>
    <row r="32" spans="1:11" x14ac:dyDescent="0.25">
      <c r="A32" s="200"/>
      <c r="B32" s="178" t="s">
        <v>49</v>
      </c>
      <c r="C32" s="27" t="s">
        <v>59</v>
      </c>
      <c r="D32" s="34">
        <f>E5+E23+E27</f>
        <v>857</v>
      </c>
      <c r="E32" s="179">
        <f>AVERAGE(D32:D33)</f>
        <v>852.5</v>
      </c>
      <c r="F32" s="47"/>
      <c r="G32" s="188">
        <f>(E32-E27)*G4</f>
        <v>216.75</v>
      </c>
      <c r="H32" s="188">
        <f>(E32-E27)*H4</f>
        <v>505.74999999999994</v>
      </c>
      <c r="I32" s="47"/>
      <c r="J32" s="188">
        <f>(E32-E27)*J4+E27</f>
        <v>635.75</v>
      </c>
      <c r="K32" s="188">
        <f>(E32-E27)*K4+E27</f>
        <v>346.75</v>
      </c>
    </row>
    <row r="33" spans="1:11" x14ac:dyDescent="0.25">
      <c r="A33" s="200"/>
      <c r="B33" s="178"/>
      <c r="C33" s="27" t="s">
        <v>61</v>
      </c>
      <c r="D33" s="34">
        <f>E9+E23+E27</f>
        <v>848</v>
      </c>
      <c r="E33" s="179"/>
      <c r="F33" s="47"/>
      <c r="G33" s="188"/>
      <c r="H33" s="188"/>
      <c r="I33" s="47"/>
      <c r="J33" s="188"/>
      <c r="K33" s="188"/>
    </row>
    <row r="34" spans="1:11" x14ac:dyDescent="0.25">
      <c r="A34" s="200"/>
      <c r="B34" s="36"/>
      <c r="D34" s="35"/>
      <c r="E34" s="36"/>
      <c r="F34" s="47"/>
      <c r="I34" s="47"/>
    </row>
    <row r="35" spans="1:11" x14ac:dyDescent="0.25">
      <c r="A35" s="200"/>
      <c r="B35" s="178" t="s">
        <v>52</v>
      </c>
      <c r="C35" s="27" t="s">
        <v>62</v>
      </c>
      <c r="D35" s="34">
        <f>E12+E19+E27</f>
        <v>715</v>
      </c>
      <c r="E35" s="179">
        <f>AVERAGE(D35:D36)</f>
        <v>710.5</v>
      </c>
      <c r="F35" s="47"/>
      <c r="G35" s="188">
        <f>(E35-E27)*G4</f>
        <v>174.15</v>
      </c>
      <c r="H35" s="188">
        <f>(E35-E27)*H4</f>
        <v>406.34999999999997</v>
      </c>
      <c r="I35" s="47"/>
      <c r="J35" s="188">
        <f>(E35-E27)*J4+E27</f>
        <v>536.34999999999991</v>
      </c>
      <c r="K35" s="188">
        <f>(E35-E27)*K4+E27</f>
        <v>304.14999999999998</v>
      </c>
    </row>
    <row r="36" spans="1:11" x14ac:dyDescent="0.25">
      <c r="A36" s="200"/>
      <c r="B36" s="178"/>
      <c r="C36" s="27" t="s">
        <v>64</v>
      </c>
      <c r="D36" s="34">
        <f>E16+E19+E27</f>
        <v>706</v>
      </c>
      <c r="E36" s="179"/>
      <c r="F36" s="47"/>
      <c r="G36" s="188"/>
      <c r="H36" s="188"/>
      <c r="I36" s="47"/>
      <c r="J36" s="188"/>
      <c r="K36" s="188"/>
    </row>
    <row r="37" spans="1:11" x14ac:dyDescent="0.25">
      <c r="A37" s="200"/>
      <c r="B37" s="36"/>
      <c r="D37" s="35"/>
      <c r="E37" s="36"/>
      <c r="F37" s="47"/>
      <c r="I37" s="47"/>
    </row>
    <row r="38" spans="1:11" x14ac:dyDescent="0.25">
      <c r="A38" s="200"/>
      <c r="B38" s="183" t="s">
        <v>50</v>
      </c>
      <c r="C38" s="27" t="s">
        <v>63</v>
      </c>
      <c r="D38" s="34">
        <f>E12+E23+E27</f>
        <v>777</v>
      </c>
      <c r="E38" s="179">
        <f>AVERAGE(D38:D39)</f>
        <v>772.5</v>
      </c>
      <c r="F38" s="47"/>
      <c r="G38" s="188">
        <f>(E38-E27)*G4</f>
        <v>192.75</v>
      </c>
      <c r="H38" s="188">
        <f>(E38-E27)*H4</f>
        <v>449.74999999999994</v>
      </c>
      <c r="I38" s="47"/>
      <c r="J38" s="188">
        <f>(E38-E27)*J4+E27</f>
        <v>579.75</v>
      </c>
      <c r="K38" s="188">
        <f>(E38-E27)*K4+E27</f>
        <v>322.75</v>
      </c>
    </row>
    <row r="39" spans="1:11" x14ac:dyDescent="0.25">
      <c r="A39" s="201"/>
      <c r="B39" s="184"/>
      <c r="C39" s="27" t="s">
        <v>65</v>
      </c>
      <c r="D39" s="34">
        <f>E16+E23+E27</f>
        <v>768</v>
      </c>
      <c r="E39" s="179"/>
      <c r="F39" s="47"/>
      <c r="G39" s="188"/>
      <c r="H39" s="188"/>
      <c r="I39" s="47"/>
      <c r="J39" s="188"/>
      <c r="K39" s="188"/>
    </row>
    <row r="40" spans="1:11" x14ac:dyDescent="0.25">
      <c r="A40" s="48"/>
      <c r="B40" s="49"/>
      <c r="C40" s="50"/>
      <c r="D40" s="51"/>
      <c r="E40" s="49"/>
      <c r="F40" s="47"/>
      <c r="G40" s="51"/>
      <c r="H40" s="51"/>
      <c r="I40" s="47"/>
      <c r="J40" s="47"/>
      <c r="K40" s="47"/>
    </row>
    <row r="41" spans="1:11" x14ac:dyDescent="0.25">
      <c r="F41" s="47"/>
      <c r="G41" s="185" t="s">
        <v>75</v>
      </c>
      <c r="H41" s="185"/>
      <c r="I41" s="47"/>
      <c r="J41" s="185" t="s">
        <v>76</v>
      </c>
      <c r="K41" s="185"/>
    </row>
    <row r="42" spans="1:11" ht="13.5" customHeight="1" x14ac:dyDescent="0.25">
      <c r="F42" s="47"/>
      <c r="G42" s="41" t="s">
        <v>67</v>
      </c>
      <c r="H42" s="41" t="s">
        <v>47</v>
      </c>
      <c r="I42" s="47"/>
      <c r="J42" s="41" t="s">
        <v>67</v>
      </c>
      <c r="K42" s="41" t="s">
        <v>47</v>
      </c>
    </row>
    <row r="43" spans="1:11" ht="21" customHeight="1" x14ac:dyDescent="0.25">
      <c r="A43" s="198" t="s">
        <v>66</v>
      </c>
      <c r="B43" s="34" t="s">
        <v>48</v>
      </c>
      <c r="C43" s="186" t="s">
        <v>68</v>
      </c>
      <c r="D43" s="187"/>
      <c r="E43" s="34">
        <f>AVERAGE(E29,E35)</f>
        <v>750.5</v>
      </c>
      <c r="F43" s="47"/>
      <c r="G43" s="34">
        <f>(E43-E27)*G4</f>
        <v>186.15</v>
      </c>
      <c r="H43" s="34">
        <f>(E43-E27)*H4</f>
        <v>434.34999999999997</v>
      </c>
      <c r="I43" s="47"/>
      <c r="J43" s="34">
        <f>E43-G43</f>
        <v>564.35</v>
      </c>
      <c r="K43" s="34">
        <f>E43-H43</f>
        <v>316.15000000000003</v>
      </c>
    </row>
    <row r="44" spans="1:11" ht="29.25" customHeight="1" x14ac:dyDescent="0.25">
      <c r="A44" s="198"/>
      <c r="B44" s="34" t="s">
        <v>49</v>
      </c>
      <c r="C44" s="186" t="s">
        <v>69</v>
      </c>
      <c r="D44" s="187"/>
      <c r="E44" s="34">
        <f>AVERAGE(E32,E38)</f>
        <v>812.5</v>
      </c>
      <c r="F44" s="47"/>
      <c r="G44" s="34">
        <f>(E44-E27)*G4</f>
        <v>204.75</v>
      </c>
      <c r="H44" s="34">
        <f>(E44-E27)*H4</f>
        <v>477.74999999999994</v>
      </c>
      <c r="I44" s="47"/>
      <c r="J44" s="34">
        <f>E44-G44</f>
        <v>607.75</v>
      </c>
      <c r="K44" s="34">
        <f>E44-H44</f>
        <v>334.75000000000006</v>
      </c>
    </row>
    <row r="45" spans="1:11" x14ac:dyDescent="0.25">
      <c r="A45" s="48"/>
      <c r="B45" s="49"/>
      <c r="C45" s="50"/>
      <c r="D45" s="51"/>
      <c r="E45" s="49"/>
      <c r="F45" s="47"/>
      <c r="G45" s="51"/>
      <c r="H45" s="51"/>
      <c r="I45" s="47"/>
      <c r="J45" s="47"/>
      <c r="K45" s="47"/>
    </row>
    <row r="46" spans="1:11" x14ac:dyDescent="0.25">
      <c r="A46" s="192" t="s">
        <v>77</v>
      </c>
      <c r="B46" s="27"/>
      <c r="C46" s="42" t="s">
        <v>79</v>
      </c>
      <c r="D46" s="52" t="s">
        <v>67</v>
      </c>
      <c r="E46" s="42" t="s">
        <v>47</v>
      </c>
    </row>
    <row r="47" spans="1:11" ht="23.25" x14ac:dyDescent="0.25">
      <c r="A47" s="193"/>
      <c r="B47" s="53" t="s">
        <v>70</v>
      </c>
      <c r="C47" s="34">
        <v>25000</v>
      </c>
      <c r="D47" s="34">
        <f>C47*10%</f>
        <v>2500</v>
      </c>
      <c r="E47" s="34">
        <f>C47*90%</f>
        <v>22500</v>
      </c>
    </row>
    <row r="48" spans="1:11" ht="21" customHeight="1" x14ac:dyDescent="0.25">
      <c r="A48" s="193"/>
      <c r="B48" s="53" t="s">
        <v>68</v>
      </c>
      <c r="C48" s="34">
        <f>C47*90%</f>
        <v>22500</v>
      </c>
      <c r="D48" s="34">
        <f>D47*90%</f>
        <v>2250</v>
      </c>
      <c r="E48" s="34">
        <f>E47*90%</f>
        <v>20250</v>
      </c>
    </row>
    <row r="49" spans="1:5" ht="22.5" customHeight="1" x14ac:dyDescent="0.25">
      <c r="A49" s="194"/>
      <c r="B49" s="53" t="s">
        <v>69</v>
      </c>
      <c r="C49" s="34">
        <f>C47*10%</f>
        <v>2500</v>
      </c>
      <c r="D49" s="34">
        <f>D47*10%</f>
        <v>250</v>
      </c>
      <c r="E49" s="34">
        <f>E47*10%</f>
        <v>2250</v>
      </c>
    </row>
    <row r="50" spans="1:5" x14ac:dyDescent="0.25">
      <c r="A50" s="47"/>
      <c r="B50" s="47"/>
      <c r="C50" s="47"/>
      <c r="D50" s="47"/>
      <c r="E50" s="47"/>
    </row>
    <row r="51" spans="1:5" x14ac:dyDescent="0.25">
      <c r="A51" s="177" t="s">
        <v>78</v>
      </c>
      <c r="C51" s="42" t="s">
        <v>109</v>
      </c>
      <c r="D51" s="52" t="s">
        <v>67</v>
      </c>
      <c r="E51" s="42" t="s">
        <v>47</v>
      </c>
    </row>
    <row r="52" spans="1:5" ht="34.5" customHeight="1" x14ac:dyDescent="0.25">
      <c r="A52" s="177"/>
      <c r="B52" s="74" t="s">
        <v>68</v>
      </c>
      <c r="C52" s="43">
        <f>D52+E52</f>
        <v>9214425</v>
      </c>
      <c r="D52" s="44">
        <f>D48*G43</f>
        <v>418837.5</v>
      </c>
      <c r="E52" s="44">
        <f>E48*H43</f>
        <v>8795587.5</v>
      </c>
    </row>
    <row r="53" spans="1:5" ht="34.5" x14ac:dyDescent="0.25">
      <c r="A53" s="177"/>
      <c r="B53" s="74" t="s">
        <v>69</v>
      </c>
      <c r="C53" s="43">
        <f>D53+E53</f>
        <v>1126124.9999999998</v>
      </c>
      <c r="D53" s="44">
        <f>D49*G44</f>
        <v>51187.5</v>
      </c>
      <c r="E53" s="44">
        <f>E49*H44</f>
        <v>1074937.4999999998</v>
      </c>
    </row>
    <row r="54" spans="1:5" ht="15.75" x14ac:dyDescent="0.25">
      <c r="A54" s="177"/>
      <c r="B54" s="75" t="s">
        <v>71</v>
      </c>
      <c r="C54" s="86">
        <f>C52+C53</f>
        <v>10340550</v>
      </c>
      <c r="D54" s="43">
        <f>D52+D53</f>
        <v>470025</v>
      </c>
      <c r="E54" s="43">
        <f>E52+E53</f>
        <v>9870525</v>
      </c>
    </row>
    <row r="55" spans="1:5" x14ac:dyDescent="0.25">
      <c r="A55" s="47"/>
      <c r="B55" s="47"/>
      <c r="C55" s="47"/>
      <c r="D55" s="47"/>
      <c r="E55" s="47"/>
    </row>
    <row r="56" spans="1:5" x14ac:dyDescent="0.25">
      <c r="A56" s="177" t="s">
        <v>80</v>
      </c>
      <c r="C56" s="42" t="s">
        <v>109</v>
      </c>
      <c r="D56" s="52" t="s">
        <v>67</v>
      </c>
      <c r="E56" s="42" t="s">
        <v>47</v>
      </c>
    </row>
    <row r="57" spans="1:5" ht="34.5" customHeight="1" x14ac:dyDescent="0.25">
      <c r="A57" s="177"/>
      <c r="B57" s="74" t="s">
        <v>68</v>
      </c>
      <c r="C57" s="43">
        <f>D57+E57</f>
        <v>7671825.0000000009</v>
      </c>
      <c r="D57" s="44">
        <f>D48*J43</f>
        <v>1269787.5</v>
      </c>
      <c r="E57" s="44">
        <f>E48*K43</f>
        <v>6402037.5000000009</v>
      </c>
    </row>
    <row r="58" spans="1:5" ht="34.5" x14ac:dyDescent="0.25">
      <c r="A58" s="177"/>
      <c r="B58" s="74" t="s">
        <v>69</v>
      </c>
      <c r="C58" s="43">
        <f>D58+E58</f>
        <v>905125.00000000012</v>
      </c>
      <c r="D58" s="44">
        <f>D49*J44</f>
        <v>151937.5</v>
      </c>
      <c r="E58" s="44">
        <f>E49*K44</f>
        <v>753187.50000000012</v>
      </c>
    </row>
    <row r="59" spans="1:5" ht="23.25" x14ac:dyDescent="0.25">
      <c r="A59" s="177"/>
      <c r="B59" s="75" t="s">
        <v>99</v>
      </c>
      <c r="C59" s="54">
        <f>C57+C58</f>
        <v>8576950.0000000019</v>
      </c>
      <c r="D59" s="43">
        <f>D57+D58</f>
        <v>1421725</v>
      </c>
      <c r="E59" s="43">
        <f>E57+E58</f>
        <v>7155225.0000000009</v>
      </c>
    </row>
    <row r="60" spans="1:5" x14ac:dyDescent="0.25">
      <c r="A60" s="177"/>
      <c r="B60" s="75"/>
      <c r="C60" s="54"/>
      <c r="D60" s="43"/>
      <c r="E60" s="43"/>
    </row>
    <row r="61" spans="1:5" ht="23.25" x14ac:dyDescent="0.25">
      <c r="A61" s="177"/>
      <c r="B61" s="75" t="s">
        <v>100</v>
      </c>
      <c r="C61" s="54">
        <f>C47*50</f>
        <v>1250000</v>
      </c>
      <c r="D61" s="43"/>
      <c r="E61" s="43"/>
    </row>
    <row r="62" spans="1:5" ht="15.75" x14ac:dyDescent="0.25">
      <c r="A62" s="177"/>
      <c r="B62" s="75" t="s">
        <v>71</v>
      </c>
      <c r="C62" s="86">
        <f>C59+C61+E65</f>
        <v>10211950.000000002</v>
      </c>
      <c r="D62" s="43"/>
      <c r="E62" s="43"/>
    </row>
    <row r="63" spans="1:5" x14ac:dyDescent="0.25">
      <c r="A63" s="47"/>
      <c r="B63" s="47"/>
      <c r="C63" s="47"/>
      <c r="D63" s="47"/>
      <c r="E63" s="47"/>
    </row>
    <row r="65" spans="2:5" ht="34.5" x14ac:dyDescent="0.25">
      <c r="B65" s="73" t="s">
        <v>137</v>
      </c>
      <c r="C65">
        <f>32000-25000</f>
        <v>7000</v>
      </c>
      <c r="D65">
        <v>55</v>
      </c>
      <c r="E65">
        <f>C65*D65</f>
        <v>385000</v>
      </c>
    </row>
    <row r="67" spans="2:5" ht="18.75" x14ac:dyDescent="0.3">
      <c r="B67" s="55" t="s">
        <v>81</v>
      </c>
      <c r="C67" s="56">
        <f>C54+C62</f>
        <v>20552500</v>
      </c>
    </row>
  </sheetData>
  <mergeCells count="75">
    <mergeCell ref="J38:J39"/>
    <mergeCell ref="K38:K39"/>
    <mergeCell ref="A1:K1"/>
    <mergeCell ref="J29:J30"/>
    <mergeCell ref="K29:K30"/>
    <mergeCell ref="J32:J33"/>
    <mergeCell ref="K32:K33"/>
    <mergeCell ref="J35:J36"/>
    <mergeCell ref="K35:K36"/>
    <mergeCell ref="J16:J17"/>
    <mergeCell ref="K16:K17"/>
    <mergeCell ref="J19:J21"/>
    <mergeCell ref="K19:K21"/>
    <mergeCell ref="J23:J25"/>
    <mergeCell ref="K23:K25"/>
    <mergeCell ref="J2:K2"/>
    <mergeCell ref="J5:J7"/>
    <mergeCell ref="K5:K7"/>
    <mergeCell ref="J9:J10"/>
    <mergeCell ref="K9:K10"/>
    <mergeCell ref="J12:J14"/>
    <mergeCell ref="K12:K14"/>
    <mergeCell ref="G2:H2"/>
    <mergeCell ref="D4:E4"/>
    <mergeCell ref="A46:A49"/>
    <mergeCell ref="G19:G21"/>
    <mergeCell ref="H19:H21"/>
    <mergeCell ref="G23:G25"/>
    <mergeCell ref="H23:H25"/>
    <mergeCell ref="A43:A44"/>
    <mergeCell ref="A29:A39"/>
    <mergeCell ref="H29:H30"/>
    <mergeCell ref="H32:H33"/>
    <mergeCell ref="H35:H36"/>
    <mergeCell ref="H38:H39"/>
    <mergeCell ref="E29:E30"/>
    <mergeCell ref="E32:E33"/>
    <mergeCell ref="E35:E36"/>
    <mergeCell ref="J41:K41"/>
    <mergeCell ref="G41:H41"/>
    <mergeCell ref="C43:D43"/>
    <mergeCell ref="C44:D44"/>
    <mergeCell ref="G5:G7"/>
    <mergeCell ref="H5:H7"/>
    <mergeCell ref="G9:G10"/>
    <mergeCell ref="G12:G14"/>
    <mergeCell ref="G16:G17"/>
    <mergeCell ref="H9:H10"/>
    <mergeCell ref="H12:H14"/>
    <mergeCell ref="H16:H17"/>
    <mergeCell ref="G29:G30"/>
    <mergeCell ref="G32:G33"/>
    <mergeCell ref="G35:G36"/>
    <mergeCell ref="G38:G39"/>
    <mergeCell ref="E38:E39"/>
    <mergeCell ref="B29:B30"/>
    <mergeCell ref="B32:B33"/>
    <mergeCell ref="B35:B36"/>
    <mergeCell ref="B38:B39"/>
    <mergeCell ref="A56:A62"/>
    <mergeCell ref="A51:A54"/>
    <mergeCell ref="A5:A17"/>
    <mergeCell ref="B19:B21"/>
    <mergeCell ref="E19:E21"/>
    <mergeCell ref="B23:B25"/>
    <mergeCell ref="E23:E25"/>
    <mergeCell ref="A19:A27"/>
    <mergeCell ref="B5:B7"/>
    <mergeCell ref="B9:B10"/>
    <mergeCell ref="B12:B14"/>
    <mergeCell ref="B16:B17"/>
    <mergeCell ref="E5:E7"/>
    <mergeCell ref="E9:E10"/>
    <mergeCell ref="E12:E14"/>
    <mergeCell ref="E16:E1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G17"/>
  <sheetViews>
    <sheetView workbookViewId="0">
      <selection activeCell="E5" sqref="E5"/>
    </sheetView>
  </sheetViews>
  <sheetFormatPr defaultRowHeight="15" x14ac:dyDescent="0.25"/>
  <cols>
    <col min="3" max="3" width="67.5703125" customWidth="1"/>
    <col min="4" max="4" width="12.42578125" hidden="1" customWidth="1"/>
    <col min="5" max="5" width="12.28515625" customWidth="1"/>
    <col min="6" max="6" width="16.5703125" bestFit="1" customWidth="1"/>
    <col min="7" max="7" width="14" bestFit="1" customWidth="1"/>
  </cols>
  <sheetData>
    <row r="4" spans="3:6" x14ac:dyDescent="0.25">
      <c r="D4" s="27" t="s">
        <v>37</v>
      </c>
      <c r="E4" s="27" t="s">
        <v>38</v>
      </c>
    </row>
    <row r="5" spans="3:6" x14ac:dyDescent="0.25">
      <c r="C5" s="29" t="s">
        <v>33</v>
      </c>
      <c r="D5" s="27">
        <v>400</v>
      </c>
      <c r="E5" s="27">
        <f>'მონიტორინგის კვლევები'!J12</f>
        <v>236</v>
      </c>
    </row>
    <row r="6" spans="3:6" x14ac:dyDescent="0.25">
      <c r="C6" s="29" t="s">
        <v>31</v>
      </c>
      <c r="D6" s="27">
        <v>391</v>
      </c>
      <c r="E6" s="27">
        <f>'მონიტორინგის კვლევები'!K12</f>
        <v>227</v>
      </c>
    </row>
    <row r="7" spans="3:6" x14ac:dyDescent="0.25">
      <c r="C7" s="30" t="s">
        <v>34</v>
      </c>
      <c r="D7" s="28">
        <v>391</v>
      </c>
      <c r="E7" s="27">
        <f>'მონიტორინგის კვლევები'!J25</f>
        <v>218</v>
      </c>
    </row>
    <row r="8" spans="3:6" x14ac:dyDescent="0.25">
      <c r="C8" s="29" t="s">
        <v>35</v>
      </c>
      <c r="D8" s="27">
        <v>502</v>
      </c>
      <c r="E8" s="27">
        <f>'მონიტორინგის კვლევები'!M41</f>
        <v>304</v>
      </c>
    </row>
    <row r="9" spans="3:6" x14ac:dyDescent="0.25">
      <c r="C9" s="29" t="s">
        <v>32</v>
      </c>
      <c r="D9" s="27">
        <v>493</v>
      </c>
      <c r="E9" s="27">
        <f>'მონიტორინგის კვლევები'!N41</f>
        <v>286</v>
      </c>
    </row>
    <row r="10" spans="3:6" x14ac:dyDescent="0.25">
      <c r="C10" s="30" t="s">
        <v>36</v>
      </c>
      <c r="D10" s="28">
        <v>493</v>
      </c>
      <c r="E10" s="27">
        <f>'მონიტორინგის კვლევები'!M55</f>
        <v>277</v>
      </c>
    </row>
    <row r="11" spans="3:6" x14ac:dyDescent="0.25">
      <c r="C11" s="29" t="s">
        <v>30</v>
      </c>
      <c r="D11" s="27">
        <v>130</v>
      </c>
      <c r="E11" s="27">
        <v>130</v>
      </c>
    </row>
    <row r="15" spans="3:6" x14ac:dyDescent="0.25">
      <c r="F15" s="31"/>
    </row>
    <row r="16" spans="3:6" x14ac:dyDescent="0.25">
      <c r="F16" s="31"/>
    </row>
    <row r="17" spans="6:7" x14ac:dyDescent="0.25">
      <c r="F17" s="32"/>
      <c r="G17" s="33"/>
    </row>
  </sheetData>
  <pageMargins left="0.7" right="0.7" top="0.75" bottom="0.75" header="0.3" footer="0.3"/>
  <pageSetup paperSize="9" scale="83" orientation="landscape" horizontalDpi="4294967294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G17"/>
  <sheetViews>
    <sheetView workbookViewId="0">
      <selection activeCell="F26" sqref="F26"/>
    </sheetView>
  </sheetViews>
  <sheetFormatPr defaultRowHeight="15" x14ac:dyDescent="0.25"/>
  <cols>
    <col min="3" max="3" width="67.5703125" customWidth="1"/>
    <col min="4" max="4" width="12.42578125" hidden="1" customWidth="1"/>
    <col min="5" max="5" width="12.28515625" customWidth="1"/>
    <col min="6" max="6" width="16.5703125" bestFit="1" customWidth="1"/>
    <col min="7" max="7" width="14" bestFit="1" customWidth="1"/>
  </cols>
  <sheetData>
    <row r="4" spans="3:6" x14ac:dyDescent="0.25">
      <c r="D4" s="27" t="s">
        <v>37</v>
      </c>
      <c r="E4" s="27" t="s">
        <v>38</v>
      </c>
    </row>
    <row r="5" spans="3:6" x14ac:dyDescent="0.25">
      <c r="C5" s="29" t="s">
        <v>33</v>
      </c>
      <c r="D5" s="27">
        <v>400</v>
      </c>
      <c r="E5" s="27">
        <f>'მონიტორინგი-CORE'!J12</f>
        <v>186</v>
      </c>
    </row>
    <row r="6" spans="3:6" x14ac:dyDescent="0.25">
      <c r="C6" s="29" t="s">
        <v>31</v>
      </c>
      <c r="D6" s="27">
        <v>391</v>
      </c>
      <c r="E6" s="27">
        <f>'მონიტორინგი-CORE'!K12</f>
        <v>177</v>
      </c>
    </row>
    <row r="7" spans="3:6" x14ac:dyDescent="0.25">
      <c r="C7" s="30" t="s">
        <v>34</v>
      </c>
      <c r="D7" s="28">
        <v>391</v>
      </c>
      <c r="E7" s="27">
        <f>'მონიტორინგი-CORE'!J25</f>
        <v>168</v>
      </c>
    </row>
    <row r="8" spans="3:6" x14ac:dyDescent="0.25">
      <c r="C8" s="29" t="s">
        <v>35</v>
      </c>
      <c r="D8" s="27">
        <v>502</v>
      </c>
      <c r="E8" s="27">
        <f>'მონიტორინგი-CORE'!M41</f>
        <v>254</v>
      </c>
    </row>
    <row r="9" spans="3:6" x14ac:dyDescent="0.25">
      <c r="C9" s="29" t="s">
        <v>32</v>
      </c>
      <c r="D9" s="27">
        <v>493</v>
      </c>
      <c r="E9" s="27">
        <f>'მონიტორინგი-CORE'!N41</f>
        <v>236</v>
      </c>
    </row>
    <row r="10" spans="3:6" x14ac:dyDescent="0.25">
      <c r="C10" s="30" t="s">
        <v>36</v>
      </c>
      <c r="D10" s="28">
        <v>493</v>
      </c>
      <c r="E10" s="27">
        <f>'მონიტორინგი-CORE'!M55</f>
        <v>227</v>
      </c>
    </row>
    <row r="11" spans="3:6" x14ac:dyDescent="0.25">
      <c r="C11" s="29" t="s">
        <v>30</v>
      </c>
      <c r="D11" s="27">
        <v>130</v>
      </c>
      <c r="E11" s="27">
        <v>130</v>
      </c>
    </row>
    <row r="15" spans="3:6" x14ac:dyDescent="0.25">
      <c r="F15" s="31"/>
    </row>
    <row r="16" spans="3:6" x14ac:dyDescent="0.25">
      <c r="F16" s="31"/>
    </row>
    <row r="17" spans="6:7" x14ac:dyDescent="0.25">
      <c r="F17" s="32"/>
      <c r="G17" s="3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L27"/>
  <sheetViews>
    <sheetView topLeftCell="A2" workbookViewId="0">
      <selection activeCell="L10" sqref="L10"/>
    </sheetView>
  </sheetViews>
  <sheetFormatPr defaultRowHeight="15" x14ac:dyDescent="0.25"/>
  <cols>
    <col min="3" max="3" width="3.28515625" bestFit="1" customWidth="1"/>
    <col min="4" max="4" width="34.7109375" bestFit="1" customWidth="1"/>
  </cols>
  <sheetData>
    <row r="4" spans="3:12" x14ac:dyDescent="0.25">
      <c r="C4" s="76">
        <v>1</v>
      </c>
      <c r="D4" s="77" t="s">
        <v>10</v>
      </c>
      <c r="E4" s="78">
        <v>20</v>
      </c>
    </row>
    <row r="5" spans="3:12" ht="30.75" thickBot="1" x14ac:dyDescent="0.3">
      <c r="C5" s="59">
        <v>2</v>
      </c>
      <c r="D5" s="57" t="s">
        <v>13</v>
      </c>
      <c r="E5" s="58">
        <v>60</v>
      </c>
    </row>
    <row r="6" spans="3:12" ht="15.75" thickBot="1" x14ac:dyDescent="0.3">
      <c r="C6" s="59">
        <v>3</v>
      </c>
      <c r="D6" s="60" t="s">
        <v>83</v>
      </c>
      <c r="E6" s="66"/>
    </row>
    <row r="7" spans="3:12" ht="15.75" thickBot="1" x14ac:dyDescent="0.3">
      <c r="C7" s="59"/>
      <c r="D7" s="61" t="s">
        <v>23</v>
      </c>
      <c r="E7" s="58">
        <v>5</v>
      </c>
    </row>
    <row r="8" spans="3:12" ht="15.75" thickBot="1" x14ac:dyDescent="0.3">
      <c r="C8" s="59"/>
      <c r="D8" s="61" t="s">
        <v>24</v>
      </c>
      <c r="E8" s="58">
        <v>5</v>
      </c>
      <c r="L8">
        <f>E4+E7+E8+E9+E10+E12+E13+E14+E15+E16+E17+E18+E19+E20+E21+E22+E24+E25</f>
        <v>369</v>
      </c>
    </row>
    <row r="9" spans="3:12" ht="15.75" thickBot="1" x14ac:dyDescent="0.3">
      <c r="C9" s="59"/>
      <c r="D9" s="61" t="s">
        <v>12</v>
      </c>
      <c r="E9" s="58">
        <v>9</v>
      </c>
      <c r="H9">
        <f>E7+E8+E9</f>
        <v>19</v>
      </c>
      <c r="J9">
        <f>H9+H13</f>
        <v>109</v>
      </c>
      <c r="L9">
        <f>L8-E10</f>
        <v>289</v>
      </c>
    </row>
    <row r="10" spans="3:12" ht="15.75" thickBot="1" x14ac:dyDescent="0.3">
      <c r="C10" s="59">
        <v>4</v>
      </c>
      <c r="D10" s="57" t="s">
        <v>84</v>
      </c>
      <c r="E10" s="58">
        <v>80</v>
      </c>
      <c r="H10">
        <f>H9+E10</f>
        <v>99</v>
      </c>
      <c r="J10">
        <f>H10+H13</f>
        <v>189</v>
      </c>
    </row>
    <row r="11" spans="3:12" ht="15.75" thickBot="1" x14ac:dyDescent="0.3">
      <c r="C11" s="62"/>
      <c r="D11" s="63"/>
      <c r="E11" s="63"/>
    </row>
    <row r="12" spans="3:12" ht="15.75" thickBot="1" x14ac:dyDescent="0.3">
      <c r="C12" s="59">
        <v>5</v>
      </c>
      <c r="D12" s="60" t="s">
        <v>85</v>
      </c>
      <c r="E12" s="58">
        <v>140</v>
      </c>
      <c r="L12">
        <f>E12+E13+E14+E15+E16+E17+E18+E19+E20+E21+E22+E24+E25</f>
        <v>250</v>
      </c>
    </row>
    <row r="13" spans="3:12" ht="15.75" thickBot="1" x14ac:dyDescent="0.3">
      <c r="C13" s="59">
        <v>6</v>
      </c>
      <c r="D13" s="60" t="s">
        <v>86</v>
      </c>
      <c r="E13" s="58">
        <v>8</v>
      </c>
      <c r="H13">
        <f>E13+E14+E15+E16+E17+E18+E19+E20+E21+E22+E24</f>
        <v>90</v>
      </c>
      <c r="L13">
        <f>L12+E10</f>
        <v>330</v>
      </c>
    </row>
    <row r="14" spans="3:12" ht="15.75" thickBot="1" x14ac:dyDescent="0.3">
      <c r="C14" s="59">
        <v>7</v>
      </c>
      <c r="D14" s="60" t="s">
        <v>87</v>
      </c>
      <c r="E14" s="58">
        <v>9</v>
      </c>
    </row>
    <row r="15" spans="3:12" ht="15.75" thickBot="1" x14ac:dyDescent="0.3">
      <c r="C15" s="59">
        <v>8</v>
      </c>
      <c r="D15" s="60" t="s">
        <v>88</v>
      </c>
      <c r="E15" s="58">
        <v>5</v>
      </c>
    </row>
    <row r="16" spans="3:12" ht="15.75" thickBot="1" x14ac:dyDescent="0.3">
      <c r="C16" s="59">
        <v>9</v>
      </c>
      <c r="D16" s="60" t="s">
        <v>89</v>
      </c>
      <c r="E16" s="58">
        <v>5</v>
      </c>
    </row>
    <row r="17" spans="3:5" ht="15.75" thickBot="1" x14ac:dyDescent="0.3">
      <c r="C17" s="59">
        <v>10</v>
      </c>
      <c r="D17" s="60" t="s">
        <v>90</v>
      </c>
      <c r="E17" s="58">
        <v>5</v>
      </c>
    </row>
    <row r="18" spans="3:5" ht="15.75" thickBot="1" x14ac:dyDescent="0.3">
      <c r="C18" s="59">
        <v>11</v>
      </c>
      <c r="D18" s="60" t="s">
        <v>91</v>
      </c>
      <c r="E18" s="58">
        <v>5</v>
      </c>
    </row>
    <row r="19" spans="3:5" ht="15.75" thickBot="1" x14ac:dyDescent="0.3">
      <c r="C19" s="59">
        <v>12</v>
      </c>
      <c r="D19" s="60" t="s">
        <v>27</v>
      </c>
      <c r="E19" s="58">
        <v>5</v>
      </c>
    </row>
    <row r="20" spans="3:5" ht="15.75" thickBot="1" x14ac:dyDescent="0.3">
      <c r="C20" s="59">
        <v>13</v>
      </c>
      <c r="D20" s="60" t="s">
        <v>92</v>
      </c>
      <c r="E20" s="58">
        <v>5</v>
      </c>
    </row>
    <row r="21" spans="3:5" ht="15.75" thickBot="1" x14ac:dyDescent="0.3">
      <c r="C21" s="59">
        <v>14</v>
      </c>
      <c r="D21" s="60" t="s">
        <v>93</v>
      </c>
      <c r="E21" s="58">
        <v>5</v>
      </c>
    </row>
    <row r="22" spans="3:5" ht="15.75" thickBot="1" x14ac:dyDescent="0.3">
      <c r="C22" s="59">
        <v>15</v>
      </c>
      <c r="D22" s="60" t="s">
        <v>94</v>
      </c>
      <c r="E22" s="58">
        <v>8</v>
      </c>
    </row>
    <row r="23" spans="3:5" ht="15.75" thickBot="1" x14ac:dyDescent="0.3">
      <c r="C23" s="59">
        <v>16</v>
      </c>
      <c r="D23" s="60" t="s">
        <v>95</v>
      </c>
      <c r="E23" s="58">
        <v>9</v>
      </c>
    </row>
    <row r="24" spans="3:5" ht="15.75" thickBot="1" x14ac:dyDescent="0.3">
      <c r="C24" s="59">
        <v>17</v>
      </c>
      <c r="D24" s="64" t="s">
        <v>96</v>
      </c>
      <c r="E24" s="58">
        <v>30</v>
      </c>
    </row>
    <row r="25" spans="3:5" ht="15.75" thickBot="1" x14ac:dyDescent="0.3">
      <c r="C25" s="65">
        <v>18</v>
      </c>
      <c r="D25" s="64" t="s">
        <v>97</v>
      </c>
      <c r="E25" s="67">
        <v>20</v>
      </c>
    </row>
    <row r="26" spans="3:5" ht="15.75" thickBot="1" x14ac:dyDescent="0.3">
      <c r="C26" s="62"/>
      <c r="D26" s="63"/>
      <c r="E26" s="68" t="s">
        <v>98</v>
      </c>
    </row>
    <row r="27" spans="3:5" x14ac:dyDescent="0.25">
      <c r="E27">
        <f>E4+E5+E7+E8+E9+E10+E12+E13+E14+E15+E16+E17+E18+E19+E20+E21+E22+E23+E24+E25</f>
        <v>438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G21"/>
  <sheetViews>
    <sheetView workbookViewId="0">
      <selection activeCell="H21" sqref="H21"/>
    </sheetView>
  </sheetViews>
  <sheetFormatPr defaultRowHeight="15" x14ac:dyDescent="0.25"/>
  <cols>
    <col min="3" max="3" width="3.28515625" bestFit="1" customWidth="1"/>
    <col min="4" max="4" width="34.7109375" bestFit="1" customWidth="1"/>
  </cols>
  <sheetData>
    <row r="4" spans="3:7" x14ac:dyDescent="0.25">
      <c r="C4" s="76">
        <v>1</v>
      </c>
      <c r="D4" s="77" t="s">
        <v>10</v>
      </c>
      <c r="E4" s="78">
        <v>20</v>
      </c>
    </row>
    <row r="5" spans="3:7" ht="30.75" thickBot="1" x14ac:dyDescent="0.3">
      <c r="C5" s="59">
        <v>2</v>
      </c>
      <c r="D5" s="57" t="s">
        <v>13</v>
      </c>
      <c r="E5" s="58">
        <v>60</v>
      </c>
    </row>
    <row r="6" spans="3:7" ht="15.75" thickBot="1" x14ac:dyDescent="0.3">
      <c r="C6" s="59">
        <v>3</v>
      </c>
      <c r="D6" s="60" t="s">
        <v>83</v>
      </c>
      <c r="E6" s="66"/>
    </row>
    <row r="7" spans="3:7" ht="15.75" thickBot="1" x14ac:dyDescent="0.3">
      <c r="C7" s="59">
        <v>4</v>
      </c>
      <c r="D7" s="61" t="s">
        <v>23</v>
      </c>
      <c r="E7" s="58">
        <v>5</v>
      </c>
      <c r="G7">
        <f>E4+E7+E8+E9</f>
        <v>39</v>
      </c>
    </row>
    <row r="8" spans="3:7" ht="15.75" thickBot="1" x14ac:dyDescent="0.3">
      <c r="C8" s="59">
        <v>5</v>
      </c>
      <c r="D8" s="61" t="s">
        <v>24</v>
      </c>
      <c r="E8" s="58">
        <v>5</v>
      </c>
    </row>
    <row r="9" spans="3:7" ht="15.75" thickBot="1" x14ac:dyDescent="0.3">
      <c r="C9" s="59">
        <v>6</v>
      </c>
      <c r="D9" s="61" t="s">
        <v>12</v>
      </c>
      <c r="E9" s="58">
        <v>9</v>
      </c>
    </row>
    <row r="10" spans="3:7" ht="15.75" thickBot="1" x14ac:dyDescent="0.3">
      <c r="C10" s="59"/>
      <c r="D10" s="57"/>
      <c r="E10" s="58"/>
    </row>
    <row r="11" spans="3:7" ht="15.75" thickBot="1" x14ac:dyDescent="0.3">
      <c r="C11" s="62"/>
      <c r="D11" s="63"/>
      <c r="E11" s="63"/>
    </row>
    <row r="12" spans="3:7" ht="15.75" thickBot="1" x14ac:dyDescent="0.3">
      <c r="C12" s="59">
        <v>7</v>
      </c>
      <c r="D12" s="60" t="s">
        <v>85</v>
      </c>
      <c r="E12" s="58">
        <v>140</v>
      </c>
      <c r="G12">
        <f>E12+E13+E14+E15+E16+E17+E18+E19+E20</f>
        <v>202</v>
      </c>
    </row>
    <row r="13" spans="3:7" ht="15.75" thickBot="1" x14ac:dyDescent="0.3">
      <c r="C13" s="59">
        <v>8</v>
      </c>
      <c r="D13" s="60" t="s">
        <v>86</v>
      </c>
      <c r="E13" s="58">
        <v>8</v>
      </c>
    </row>
    <row r="14" spans="3:7" ht="15.75" thickBot="1" x14ac:dyDescent="0.3">
      <c r="C14" s="59">
        <v>9</v>
      </c>
      <c r="D14" s="60" t="s">
        <v>148</v>
      </c>
      <c r="E14" s="58">
        <v>9</v>
      </c>
    </row>
    <row r="15" spans="3:7" ht="15.75" thickBot="1" x14ac:dyDescent="0.3">
      <c r="C15" s="59">
        <v>10</v>
      </c>
      <c r="D15" s="60" t="s">
        <v>90</v>
      </c>
      <c r="E15" s="58">
        <v>5</v>
      </c>
    </row>
    <row r="16" spans="3:7" ht="15.75" thickBot="1" x14ac:dyDescent="0.3">
      <c r="C16" s="59">
        <v>11</v>
      </c>
      <c r="D16" s="60" t="s">
        <v>91</v>
      </c>
      <c r="E16" s="58">
        <v>5</v>
      </c>
    </row>
    <row r="17" spans="3:5" ht="15.75" thickBot="1" x14ac:dyDescent="0.3">
      <c r="C17" s="59">
        <v>12</v>
      </c>
      <c r="D17" s="60" t="s">
        <v>27</v>
      </c>
      <c r="E17" s="58">
        <v>5</v>
      </c>
    </row>
    <row r="18" spans="3:5" ht="15.75" thickBot="1" x14ac:dyDescent="0.3">
      <c r="C18" s="59">
        <v>13</v>
      </c>
      <c r="D18" s="60" t="s">
        <v>92</v>
      </c>
      <c r="E18" s="58">
        <v>5</v>
      </c>
    </row>
    <row r="19" spans="3:5" ht="15.75" thickBot="1" x14ac:dyDescent="0.3">
      <c r="C19" s="59">
        <v>14</v>
      </c>
      <c r="D19" s="60" t="s">
        <v>93</v>
      </c>
      <c r="E19" s="58">
        <v>5</v>
      </c>
    </row>
    <row r="20" spans="3:5" ht="15.75" thickBot="1" x14ac:dyDescent="0.3">
      <c r="C20" s="65">
        <v>15</v>
      </c>
      <c r="D20" s="64" t="s">
        <v>97</v>
      </c>
      <c r="E20" s="67">
        <v>20</v>
      </c>
    </row>
    <row r="21" spans="3:5" ht="15.75" thickBot="1" x14ac:dyDescent="0.3">
      <c r="C21" s="62"/>
      <c r="D21" s="63"/>
      <c r="E21" s="68" t="s">
        <v>98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J21"/>
  <sheetViews>
    <sheetView workbookViewId="0">
      <selection activeCell="J21" sqref="J21"/>
    </sheetView>
  </sheetViews>
  <sheetFormatPr defaultRowHeight="15" x14ac:dyDescent="0.25"/>
  <cols>
    <col min="3" max="3" width="3.28515625" bestFit="1" customWidth="1"/>
    <col min="4" max="4" width="34.7109375" bestFit="1" customWidth="1"/>
  </cols>
  <sheetData>
    <row r="4" spans="3:7" x14ac:dyDescent="0.25">
      <c r="C4" s="76">
        <v>1</v>
      </c>
      <c r="D4" s="171" t="s">
        <v>10</v>
      </c>
      <c r="E4" s="78">
        <v>20</v>
      </c>
    </row>
    <row r="5" spans="3:7" ht="30.75" thickBot="1" x14ac:dyDescent="0.3">
      <c r="C5" s="59">
        <v>2</v>
      </c>
      <c r="D5" s="172" t="s">
        <v>13</v>
      </c>
      <c r="E5" s="58">
        <v>60</v>
      </c>
    </row>
    <row r="6" spans="3:7" ht="15.75" thickBot="1" x14ac:dyDescent="0.3">
      <c r="C6" s="59">
        <v>3</v>
      </c>
      <c r="D6" s="60" t="s">
        <v>83</v>
      </c>
      <c r="E6" s="66"/>
    </row>
    <row r="7" spans="3:7" ht="15.75" thickBot="1" x14ac:dyDescent="0.3">
      <c r="C7" s="59"/>
      <c r="D7" s="174" t="s">
        <v>23</v>
      </c>
      <c r="E7" s="58">
        <v>5</v>
      </c>
    </row>
    <row r="8" spans="3:7" ht="15.75" thickBot="1" x14ac:dyDescent="0.3">
      <c r="C8" s="59"/>
      <c r="D8" s="174" t="s">
        <v>24</v>
      </c>
      <c r="E8" s="58">
        <v>5</v>
      </c>
    </row>
    <row r="9" spans="3:7" ht="15.75" thickBot="1" x14ac:dyDescent="0.3">
      <c r="C9" s="59"/>
      <c r="D9" s="174" t="s">
        <v>12</v>
      </c>
      <c r="E9" s="58">
        <v>9</v>
      </c>
      <c r="G9">
        <f>E4+E7+E8+E9</f>
        <v>39</v>
      </c>
    </row>
    <row r="10" spans="3:7" ht="15.75" thickBot="1" x14ac:dyDescent="0.3">
      <c r="C10" s="59">
        <v>4</v>
      </c>
      <c r="D10" s="57" t="s">
        <v>84</v>
      </c>
      <c r="E10" s="58">
        <v>80</v>
      </c>
      <c r="G10">
        <f>E4+E7+E8+E9+E10</f>
        <v>119</v>
      </c>
    </row>
    <row r="11" spans="3:7" ht="15.75" thickBot="1" x14ac:dyDescent="0.3">
      <c r="C11" s="62"/>
      <c r="D11" s="63"/>
      <c r="E11" s="63"/>
    </row>
    <row r="12" spans="3:7" ht="15.75" thickBot="1" x14ac:dyDescent="0.3">
      <c r="C12" s="59">
        <v>5</v>
      </c>
      <c r="D12" s="173" t="s">
        <v>85</v>
      </c>
      <c r="E12" s="58">
        <v>140</v>
      </c>
    </row>
    <row r="13" spans="3:7" ht="15.75" thickBot="1" x14ac:dyDescent="0.3">
      <c r="C13" s="59">
        <v>6</v>
      </c>
      <c r="D13" s="173" t="s">
        <v>86</v>
      </c>
      <c r="E13" s="58">
        <v>8</v>
      </c>
    </row>
    <row r="14" spans="3:7" ht="15.75" thickBot="1" x14ac:dyDescent="0.3">
      <c r="C14" s="59">
        <v>7</v>
      </c>
      <c r="D14" s="173" t="s">
        <v>151</v>
      </c>
      <c r="E14" s="58">
        <v>9</v>
      </c>
    </row>
    <row r="15" spans="3:7" ht="15.75" thickBot="1" x14ac:dyDescent="0.3">
      <c r="C15" s="59">
        <v>11</v>
      </c>
      <c r="D15" s="173" t="s">
        <v>91</v>
      </c>
      <c r="E15" s="58">
        <v>5</v>
      </c>
    </row>
    <row r="16" spans="3:7" ht="15.75" thickBot="1" x14ac:dyDescent="0.3">
      <c r="C16" s="59">
        <v>12</v>
      </c>
      <c r="D16" s="173" t="s">
        <v>27</v>
      </c>
      <c r="E16" s="58">
        <v>5</v>
      </c>
    </row>
    <row r="17" spans="3:10" ht="15.75" thickBot="1" x14ac:dyDescent="0.3">
      <c r="C17" s="59">
        <v>14</v>
      </c>
      <c r="D17" s="173" t="s">
        <v>93</v>
      </c>
      <c r="E17" s="58">
        <v>5</v>
      </c>
    </row>
    <row r="18" spans="3:10" ht="15.75" thickBot="1" x14ac:dyDescent="0.3">
      <c r="C18" s="59">
        <v>15</v>
      </c>
      <c r="D18" s="173" t="s">
        <v>94</v>
      </c>
      <c r="E18" s="58">
        <v>8</v>
      </c>
    </row>
    <row r="19" spans="3:10" ht="15.75" thickBot="1" x14ac:dyDescent="0.3">
      <c r="C19" s="59">
        <v>17</v>
      </c>
      <c r="D19" s="175" t="s">
        <v>96</v>
      </c>
      <c r="E19" s="58">
        <v>30</v>
      </c>
    </row>
    <row r="20" spans="3:10" ht="15.75" thickBot="1" x14ac:dyDescent="0.3">
      <c r="C20" s="65">
        <v>18</v>
      </c>
      <c r="D20" s="175" t="s">
        <v>97</v>
      </c>
      <c r="E20" s="67">
        <v>20</v>
      </c>
      <c r="G20">
        <f>E4+E5+E7+E8+E9+E10+E12+E13+E14+E15+E16+E17+E18+E19+E20</f>
        <v>409</v>
      </c>
      <c r="I20">
        <f>E4+E7+E8+E9+E10+E12+E13+E14+E15+E16+E17+E18+E19+E20</f>
        <v>349</v>
      </c>
      <c r="J20">
        <f>I20-E10</f>
        <v>269</v>
      </c>
    </row>
    <row r="21" spans="3:10" ht="15.75" thickBot="1" x14ac:dyDescent="0.3">
      <c r="C21" s="62"/>
      <c r="D21" s="63"/>
      <c r="E21" s="68" t="s">
        <v>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8"/>
  <sheetViews>
    <sheetView workbookViewId="0">
      <selection activeCell="D17" sqref="D17"/>
    </sheetView>
  </sheetViews>
  <sheetFormatPr defaultRowHeight="15" x14ac:dyDescent="0.25"/>
  <cols>
    <col min="3" max="3" width="6.28515625" customWidth="1"/>
    <col min="4" max="4" width="64.140625" customWidth="1"/>
    <col min="5" max="5" width="29.42578125" customWidth="1"/>
  </cols>
  <sheetData>
    <row r="2" spans="3:5" ht="15.75" thickBot="1" x14ac:dyDescent="0.3"/>
    <row r="3" spans="3:5" x14ac:dyDescent="0.25">
      <c r="C3" s="205" t="s">
        <v>101</v>
      </c>
      <c r="D3" s="207" t="s">
        <v>102</v>
      </c>
      <c r="E3" s="79" t="s">
        <v>103</v>
      </c>
    </row>
    <row r="4" spans="3:5" ht="15.75" thickBot="1" x14ac:dyDescent="0.3">
      <c r="C4" s="206"/>
      <c r="D4" s="208"/>
      <c r="E4" s="80" t="s">
        <v>104</v>
      </c>
    </row>
    <row r="5" spans="3:5" ht="17.25" thickBot="1" x14ac:dyDescent="0.3">
      <c r="C5" s="81">
        <v>1</v>
      </c>
      <c r="D5" s="82" t="s">
        <v>105</v>
      </c>
      <c r="E5" s="83">
        <f>'მკურნალობაში ჩართვის კვლევები'!E5</f>
        <v>60</v>
      </c>
    </row>
    <row r="6" spans="3:5" ht="35.25" thickBot="1" x14ac:dyDescent="0.3">
      <c r="C6" s="81">
        <v>2</v>
      </c>
      <c r="D6" s="84" t="s">
        <v>106</v>
      </c>
      <c r="E6" s="85">
        <f>'მკურნალობაში ჩართვის კვლევები'!E4+'მკურნალობაში ჩართვის კვლევები'!E7+'მკურნალობაში ჩართვის კვლევები'!E8+'მკურნალობაში ჩართვის კვლევები'!E9+'მკურნალობაში ჩართვის კვლევები'!E10+'მკურნალობაში ჩართვის კვლევები'!E12+'მკურნალობაში ჩართვის კვლევები'!E13+'მკურნალობაში ჩართვის კვლევები'!E14+'მკურნალობაში ჩართვის კვლევები'!E15+'მკურნალობაში ჩართვის კვლევები'!E16+'მკურნალობაში ჩართვის კვლევები'!E17+'მკურნალობაში ჩართვის კვლევები'!E18+'მკურნალობაში ჩართვის კვლევები'!E19+'მკურნალობაში ჩართვის კვლევები'!E20+'მკურნალობაში ჩართვის კვლევები'!E21+'მკურნალობაში ჩართვის კვლევები'!E22+'მკურნალობაში ჩართვის კვლევები'!E24+'მკურნალობაში ჩართვის კვლევები'!E25</f>
        <v>369</v>
      </c>
    </row>
    <row r="7" spans="3:5" ht="33.75" thickBot="1" x14ac:dyDescent="0.3">
      <c r="C7" s="81">
        <v>3</v>
      </c>
      <c r="D7" s="84" t="s">
        <v>107</v>
      </c>
      <c r="E7" s="85">
        <f>'მკურნალობაში ჩართვის კვლევები'!E4+'მკურნალობაში ჩართვის კვლევები'!E7+'მკურნალობაში ჩართვის კვლევები'!E8+'მკურნალობაში ჩართვის კვლევები'!E9+'მკურნალობაში ჩართვის კვლევები'!E12+'მკურნალობაში ჩართვის კვლევები'!E13+'მკურნალობაში ჩართვის კვლევები'!E14+'მკურნალობაში ჩართვის კვლევები'!E15+'მკურნალობაში ჩართვის კვლევები'!E16+'მკურნალობაში ჩართვის კვლევები'!E17+'მკურნალობაში ჩართვის კვლევები'!E18+'მკურნალობაში ჩართვის კვლევები'!E19+'მკურნალობაში ჩართვის კვლევები'!E20+'მკურნალობაში ჩართვის კვლევები'!E21+'მკურნალობაში ჩართვის კვლევები'!E22+'მკურნალობაში ჩართვის კვლევები'!E24+'მკურნალობაში ჩართვის კვლევები'!E25</f>
        <v>289</v>
      </c>
    </row>
    <row r="8" spans="3:5" ht="50.25" thickBot="1" x14ac:dyDescent="0.3">
      <c r="C8" s="81">
        <v>4</v>
      </c>
      <c r="D8" s="84" t="s">
        <v>108</v>
      </c>
      <c r="E8" s="83">
        <f>'მკურნალობაში ჩართვის კვლევები'!E23</f>
        <v>9</v>
      </c>
    </row>
  </sheetData>
  <mergeCells count="2">
    <mergeCell ref="C3:C4"/>
    <mergeCell ref="D3:D4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opLeftCell="A37" workbookViewId="0">
      <selection activeCell="B65" sqref="B65:E65"/>
    </sheetView>
  </sheetViews>
  <sheetFormatPr defaultRowHeight="15" x14ac:dyDescent="0.25"/>
  <cols>
    <col min="2" max="2" width="18.5703125" bestFit="1" customWidth="1"/>
    <col min="3" max="3" width="42.5703125" bestFit="1" customWidth="1"/>
    <col min="4" max="4" width="17.42578125" customWidth="1"/>
    <col min="5" max="5" width="18.140625" customWidth="1"/>
    <col min="6" max="6" width="4" customWidth="1"/>
    <col min="7" max="7" width="14.5703125" bestFit="1" customWidth="1"/>
    <col min="8" max="8" width="10.42578125" customWidth="1"/>
    <col min="9" max="9" width="4" customWidth="1"/>
    <col min="10" max="10" width="14.5703125" bestFit="1" customWidth="1"/>
    <col min="11" max="11" width="10" customWidth="1"/>
    <col min="12" max="12" width="17" customWidth="1"/>
    <col min="13" max="13" width="15.5703125" customWidth="1"/>
  </cols>
  <sheetData>
    <row r="1" spans="1:11" x14ac:dyDescent="0.25">
      <c r="A1" s="202" t="s">
        <v>82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x14ac:dyDescent="0.25">
      <c r="F2" s="47"/>
      <c r="G2" s="189" t="s">
        <v>73</v>
      </c>
      <c r="H2" s="189"/>
      <c r="I2" s="47"/>
      <c r="J2" s="189" t="s">
        <v>72</v>
      </c>
      <c r="K2" s="189"/>
    </row>
    <row r="3" spans="1:11" x14ac:dyDescent="0.25">
      <c r="F3" s="47"/>
      <c r="G3" s="45" t="s">
        <v>67</v>
      </c>
      <c r="H3" s="45" t="s">
        <v>47</v>
      </c>
      <c r="I3" s="47"/>
      <c r="J3" s="45" t="s">
        <v>67</v>
      </c>
      <c r="K3" s="45" t="s">
        <v>47</v>
      </c>
    </row>
    <row r="4" spans="1:11" ht="34.5" customHeight="1" x14ac:dyDescent="0.25">
      <c r="D4" s="190" t="s">
        <v>74</v>
      </c>
      <c r="E4" s="191"/>
      <c r="F4" s="47"/>
      <c r="G4" s="46">
        <v>0.1</v>
      </c>
      <c r="H4" s="46">
        <v>0.3</v>
      </c>
      <c r="I4" s="47"/>
      <c r="J4" s="46">
        <v>0.9</v>
      </c>
      <c r="K4" s="46">
        <v>0.7</v>
      </c>
    </row>
    <row r="5" spans="1:11" x14ac:dyDescent="0.25">
      <c r="A5" s="177" t="s">
        <v>51</v>
      </c>
      <c r="B5" s="178" t="s">
        <v>43</v>
      </c>
      <c r="C5" s="27" t="s">
        <v>39</v>
      </c>
      <c r="D5" s="69">
        <f>'მკურნალობაში ჩართვის ჯგუფები'!E5</f>
        <v>60</v>
      </c>
      <c r="E5" s="179">
        <f>D5+D6+D7</f>
        <v>438</v>
      </c>
      <c r="F5" s="47"/>
      <c r="G5" s="188">
        <f>E5*$G$4</f>
        <v>43.800000000000004</v>
      </c>
      <c r="H5" s="188">
        <f>E5*H4</f>
        <v>131.4</v>
      </c>
      <c r="I5" s="47"/>
      <c r="J5" s="188">
        <f>E5*J4</f>
        <v>394.2</v>
      </c>
      <c r="K5" s="188">
        <f>E5*K4</f>
        <v>306.59999999999997</v>
      </c>
    </row>
    <row r="6" spans="1:11" x14ac:dyDescent="0.25">
      <c r="A6" s="177"/>
      <c r="B6" s="178"/>
      <c r="C6" s="27" t="s">
        <v>40</v>
      </c>
      <c r="D6" s="69">
        <f>'მკურნალობაში ჩართვის ჯგუფები'!E6</f>
        <v>369</v>
      </c>
      <c r="E6" s="179"/>
      <c r="F6" s="47"/>
      <c r="G6" s="188"/>
      <c r="H6" s="188"/>
      <c r="I6" s="47"/>
      <c r="J6" s="188"/>
      <c r="K6" s="188"/>
    </row>
    <row r="7" spans="1:11" x14ac:dyDescent="0.25">
      <c r="A7" s="177"/>
      <c r="B7" s="178"/>
      <c r="C7" s="27" t="s">
        <v>42</v>
      </c>
      <c r="D7" s="69">
        <f>'მკურნალობაში ჩართვის ჯგუფები'!E8</f>
        <v>9</v>
      </c>
      <c r="E7" s="179"/>
      <c r="F7" s="47"/>
      <c r="G7" s="188"/>
      <c r="H7" s="188"/>
      <c r="I7" s="47"/>
      <c r="J7" s="188"/>
      <c r="K7" s="188"/>
    </row>
    <row r="8" spans="1:11" x14ac:dyDescent="0.25">
      <c r="A8" s="177"/>
      <c r="D8" s="35"/>
      <c r="E8" s="36"/>
      <c r="F8" s="47"/>
      <c r="I8" s="47"/>
    </row>
    <row r="9" spans="1:11" x14ac:dyDescent="0.25">
      <c r="A9" s="177"/>
      <c r="B9" s="178" t="s">
        <v>44</v>
      </c>
      <c r="C9" s="27" t="s">
        <v>39</v>
      </c>
      <c r="D9" s="69">
        <f>'მკურნალობაში ჩართვის ჯგუფები'!E5</f>
        <v>60</v>
      </c>
      <c r="E9" s="179">
        <f>D9+D10</f>
        <v>429</v>
      </c>
      <c r="F9" s="47"/>
      <c r="G9" s="188">
        <f>E9*G4</f>
        <v>42.900000000000006</v>
      </c>
      <c r="H9" s="188">
        <f>E9*H4</f>
        <v>128.69999999999999</v>
      </c>
      <c r="I9" s="47"/>
      <c r="J9" s="188">
        <f>E9*J4</f>
        <v>386.1</v>
      </c>
      <c r="K9" s="188">
        <f>E9*K4</f>
        <v>300.29999999999995</v>
      </c>
    </row>
    <row r="10" spans="1:11" x14ac:dyDescent="0.25">
      <c r="A10" s="177"/>
      <c r="B10" s="178"/>
      <c r="C10" s="27" t="s">
        <v>40</v>
      </c>
      <c r="D10" s="69">
        <f>'მკურნალობაში ჩართვის ჯგუფები'!E6</f>
        <v>369</v>
      </c>
      <c r="E10" s="179"/>
      <c r="F10" s="47"/>
      <c r="G10" s="188"/>
      <c r="H10" s="188"/>
      <c r="I10" s="47"/>
      <c r="J10" s="188"/>
      <c r="K10" s="188"/>
    </row>
    <row r="11" spans="1:11" x14ac:dyDescent="0.25">
      <c r="A11" s="177"/>
      <c r="D11" s="35"/>
      <c r="E11" s="36"/>
      <c r="F11" s="47"/>
      <c r="I11" s="47"/>
    </row>
    <row r="12" spans="1:11" x14ac:dyDescent="0.25">
      <c r="A12" s="177"/>
      <c r="B12" s="178" t="s">
        <v>45</v>
      </c>
      <c r="C12" s="27" t="s">
        <v>39</v>
      </c>
      <c r="D12" s="69">
        <f>'მკურნალობაში ჩართვის ჯგუფები'!E5</f>
        <v>60</v>
      </c>
      <c r="E12" s="179">
        <f>D12+D13+D14</f>
        <v>358</v>
      </c>
      <c r="F12" s="47"/>
      <c r="G12" s="188">
        <f>E12*G4</f>
        <v>35.800000000000004</v>
      </c>
      <c r="H12" s="188">
        <f>E12*H4</f>
        <v>107.39999999999999</v>
      </c>
      <c r="I12" s="47"/>
      <c r="J12" s="188">
        <f>E12*J4</f>
        <v>322.2</v>
      </c>
      <c r="K12" s="188">
        <f>E12*K4</f>
        <v>250.6</v>
      </c>
    </row>
    <row r="13" spans="1:11" x14ac:dyDescent="0.25">
      <c r="A13" s="177"/>
      <c r="B13" s="178"/>
      <c r="C13" s="27" t="s">
        <v>41</v>
      </c>
      <c r="D13" s="69">
        <f>'მკურნალობაში ჩართვის ჯგუფები'!E7</f>
        <v>289</v>
      </c>
      <c r="E13" s="179"/>
      <c r="F13" s="47"/>
      <c r="G13" s="188"/>
      <c r="H13" s="188"/>
      <c r="I13" s="47"/>
      <c r="J13" s="188"/>
      <c r="K13" s="188"/>
    </row>
    <row r="14" spans="1:11" x14ac:dyDescent="0.25">
      <c r="A14" s="177"/>
      <c r="B14" s="178"/>
      <c r="C14" s="27" t="s">
        <v>42</v>
      </c>
      <c r="D14" s="69">
        <f>'მკურნალობაში ჩართვის ჯგუფები'!E8</f>
        <v>9</v>
      </c>
      <c r="E14" s="179"/>
      <c r="F14" s="47"/>
      <c r="G14" s="188"/>
      <c r="H14" s="188"/>
      <c r="I14" s="47"/>
      <c r="J14" s="188"/>
      <c r="K14" s="188"/>
    </row>
    <row r="15" spans="1:11" x14ac:dyDescent="0.25">
      <c r="A15" s="177"/>
      <c r="D15" s="35"/>
      <c r="E15" s="36"/>
      <c r="F15" s="47"/>
      <c r="I15" s="47"/>
    </row>
    <row r="16" spans="1:11" x14ac:dyDescent="0.25">
      <c r="A16" s="177"/>
      <c r="B16" s="178" t="s">
        <v>46</v>
      </c>
      <c r="C16" s="27" t="s">
        <v>39</v>
      </c>
      <c r="D16" s="69">
        <f>'მკურნალობაში ჩართვის ჯგუფები'!E5</f>
        <v>60</v>
      </c>
      <c r="E16" s="179">
        <f>D16+D17</f>
        <v>349</v>
      </c>
      <c r="F16" s="47"/>
      <c r="G16" s="188">
        <f>E16*G4</f>
        <v>34.9</v>
      </c>
      <c r="H16" s="188">
        <f>E16*H4</f>
        <v>104.7</v>
      </c>
      <c r="I16" s="47"/>
      <c r="J16" s="188">
        <f>E16*J4</f>
        <v>314.10000000000002</v>
      </c>
      <c r="K16" s="188">
        <f>E16*K4</f>
        <v>244.29999999999998</v>
      </c>
    </row>
    <row r="17" spans="1:11" x14ac:dyDescent="0.25">
      <c r="A17" s="177"/>
      <c r="B17" s="178"/>
      <c r="C17" s="27" t="s">
        <v>41</v>
      </c>
      <c r="D17" s="69">
        <f>'მკურნალობაში ჩართვის ჯგუფები'!E7</f>
        <v>289</v>
      </c>
      <c r="E17" s="179"/>
      <c r="F17" s="47"/>
      <c r="G17" s="188"/>
      <c r="H17" s="188"/>
      <c r="I17" s="47"/>
      <c r="J17" s="188"/>
      <c r="K17" s="188"/>
    </row>
    <row r="18" spans="1:11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</row>
    <row r="19" spans="1:11" x14ac:dyDescent="0.25">
      <c r="A19" s="177" t="s">
        <v>54</v>
      </c>
      <c r="B19" s="178" t="s">
        <v>55</v>
      </c>
      <c r="C19" s="29" t="s">
        <v>33</v>
      </c>
      <c r="D19" s="69">
        <f>'მონიტორინგის კვლევების ჯგუფები'!E5</f>
        <v>236</v>
      </c>
      <c r="E19" s="179">
        <f>AVERAGE(D19:D21)</f>
        <v>227</v>
      </c>
      <c r="F19" s="47"/>
      <c r="G19" s="195">
        <f>E19*G4</f>
        <v>22.700000000000003</v>
      </c>
      <c r="H19" s="195">
        <f>E19*H4</f>
        <v>68.099999999999994</v>
      </c>
      <c r="I19" s="47"/>
      <c r="J19" s="195">
        <f>E19*J4</f>
        <v>204.3</v>
      </c>
      <c r="K19" s="195">
        <f>E19*K4</f>
        <v>158.89999999999998</v>
      </c>
    </row>
    <row r="20" spans="1:11" x14ac:dyDescent="0.25">
      <c r="A20" s="177"/>
      <c r="B20" s="178"/>
      <c r="C20" s="29" t="s">
        <v>31</v>
      </c>
      <c r="D20" s="69">
        <f>'მონიტორინგის კვლევების ჯგუფები'!E6</f>
        <v>227</v>
      </c>
      <c r="E20" s="179"/>
      <c r="F20" s="47"/>
      <c r="G20" s="196"/>
      <c r="H20" s="196"/>
      <c r="I20" s="47"/>
      <c r="J20" s="196"/>
      <c r="K20" s="196"/>
    </row>
    <row r="21" spans="1:11" x14ac:dyDescent="0.25">
      <c r="A21" s="177"/>
      <c r="B21" s="178"/>
      <c r="C21" s="37" t="s">
        <v>34</v>
      </c>
      <c r="D21" s="69">
        <f>'მონიტორინგის კვლევების ჯგუფები'!E7</f>
        <v>218</v>
      </c>
      <c r="E21" s="179"/>
      <c r="F21" s="47"/>
      <c r="G21" s="197"/>
      <c r="H21" s="197"/>
      <c r="I21" s="47"/>
      <c r="J21" s="197"/>
      <c r="K21" s="197"/>
    </row>
    <row r="22" spans="1:11" x14ac:dyDescent="0.25">
      <c r="A22" s="177"/>
      <c r="E22" s="36"/>
      <c r="F22" s="47"/>
      <c r="I22" s="47"/>
    </row>
    <row r="23" spans="1:11" x14ac:dyDescent="0.25">
      <c r="A23" s="177"/>
      <c r="B23" s="178" t="s">
        <v>56</v>
      </c>
      <c r="C23" s="29" t="s">
        <v>35</v>
      </c>
      <c r="D23" s="69">
        <f>'მონიტორინგის კვლევების ჯგუფები'!E8</f>
        <v>304</v>
      </c>
      <c r="E23" s="180">
        <f>AVERAGE(D23:D25)</f>
        <v>289</v>
      </c>
      <c r="F23" s="47"/>
      <c r="G23" s="188">
        <f>E23*G4</f>
        <v>28.900000000000002</v>
      </c>
      <c r="H23" s="195">
        <f>E23*H4</f>
        <v>86.7</v>
      </c>
      <c r="I23" s="47"/>
      <c r="J23" s="188">
        <f>E23*J4</f>
        <v>260.10000000000002</v>
      </c>
      <c r="K23" s="195">
        <f>E23*K4</f>
        <v>202.29999999999998</v>
      </c>
    </row>
    <row r="24" spans="1:11" x14ac:dyDescent="0.25">
      <c r="A24" s="177"/>
      <c r="B24" s="178"/>
      <c r="C24" s="29" t="s">
        <v>32</v>
      </c>
      <c r="D24" s="69">
        <f>'მონიტორინგის კვლევების ჯგუფები'!E9</f>
        <v>286</v>
      </c>
      <c r="E24" s="181"/>
      <c r="F24" s="47"/>
      <c r="G24" s="188"/>
      <c r="H24" s="196"/>
      <c r="I24" s="47"/>
      <c r="J24" s="188"/>
      <c r="K24" s="196"/>
    </row>
    <row r="25" spans="1:11" x14ac:dyDescent="0.25">
      <c r="A25" s="177"/>
      <c r="B25" s="178"/>
      <c r="C25" s="37" t="s">
        <v>36</v>
      </c>
      <c r="D25" s="69">
        <f>'მონიტორინგის კვლევების ჯგუფები'!E10</f>
        <v>277</v>
      </c>
      <c r="E25" s="182"/>
      <c r="F25" s="47"/>
      <c r="G25" s="188"/>
      <c r="H25" s="197"/>
      <c r="I25" s="47"/>
      <c r="J25" s="188"/>
      <c r="K25" s="197"/>
    </row>
    <row r="26" spans="1:11" x14ac:dyDescent="0.25">
      <c r="A26" s="177"/>
      <c r="E26" s="36"/>
      <c r="F26" s="47"/>
      <c r="I26" s="47"/>
    </row>
    <row r="27" spans="1:11" x14ac:dyDescent="0.25">
      <c r="A27" s="177"/>
      <c r="B27" s="72" t="s">
        <v>57</v>
      </c>
      <c r="C27" s="27" t="s">
        <v>53</v>
      </c>
      <c r="D27" s="38">
        <f>'მონიტორინგის კვლევების ჯგუფები'!E11</f>
        <v>130</v>
      </c>
      <c r="E27" s="70">
        <v>130</v>
      </c>
      <c r="F27" s="47"/>
      <c r="G27" s="69">
        <v>0</v>
      </c>
      <c r="H27" s="69">
        <v>0</v>
      </c>
      <c r="I27" s="47"/>
      <c r="J27" s="69">
        <f>E27</f>
        <v>130</v>
      </c>
      <c r="K27" s="69">
        <f>E27</f>
        <v>130</v>
      </c>
    </row>
    <row r="28" spans="1:11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5">
      <c r="A29" s="199" t="s">
        <v>66</v>
      </c>
      <c r="B29" s="178" t="s">
        <v>48</v>
      </c>
      <c r="C29" s="27" t="s">
        <v>58</v>
      </c>
      <c r="D29" s="69">
        <f>E5+E19+E27</f>
        <v>795</v>
      </c>
      <c r="E29" s="179">
        <f>AVERAGE(D29:D30)</f>
        <v>790.5</v>
      </c>
      <c r="F29" s="47"/>
      <c r="G29" s="188">
        <f>(E29-E27)*G4</f>
        <v>66.05</v>
      </c>
      <c r="H29" s="188">
        <f>(E29-E27)*H4</f>
        <v>198.15</v>
      </c>
      <c r="I29" s="47"/>
      <c r="J29" s="188">
        <f>(E29-E27)*J4+E27</f>
        <v>724.45</v>
      </c>
      <c r="K29" s="188">
        <f>(E29-E27)*K4+E27</f>
        <v>592.34999999999991</v>
      </c>
    </row>
    <row r="30" spans="1:11" x14ac:dyDescent="0.25">
      <c r="A30" s="200"/>
      <c r="B30" s="178"/>
      <c r="C30" s="27" t="s">
        <v>60</v>
      </c>
      <c r="D30" s="69">
        <f>E9+E19+E27</f>
        <v>786</v>
      </c>
      <c r="E30" s="179"/>
      <c r="F30" s="47"/>
      <c r="G30" s="188"/>
      <c r="H30" s="188"/>
      <c r="I30" s="47"/>
      <c r="J30" s="188"/>
      <c r="K30" s="188"/>
    </row>
    <row r="31" spans="1:11" x14ac:dyDescent="0.25">
      <c r="A31" s="200"/>
      <c r="B31" s="36"/>
      <c r="D31" s="35"/>
      <c r="E31" s="36"/>
      <c r="F31" s="47"/>
      <c r="I31" s="47"/>
    </row>
    <row r="32" spans="1:11" x14ac:dyDescent="0.25">
      <c r="A32" s="200"/>
      <c r="B32" s="178" t="s">
        <v>49</v>
      </c>
      <c r="C32" s="27" t="s">
        <v>59</v>
      </c>
      <c r="D32" s="69">
        <f>E5+E23+E27</f>
        <v>857</v>
      </c>
      <c r="E32" s="179">
        <f>AVERAGE(D32:D33)</f>
        <v>852.5</v>
      </c>
      <c r="F32" s="47"/>
      <c r="G32" s="188">
        <f>(E32-E27)*G4</f>
        <v>72.25</v>
      </c>
      <c r="H32" s="188">
        <f>(E32-E27)*H4</f>
        <v>216.75</v>
      </c>
      <c r="I32" s="47"/>
      <c r="J32" s="188">
        <f>(E32-E27)*J4+E27</f>
        <v>780.25</v>
      </c>
      <c r="K32" s="188">
        <f>(E32-E27)*K4+E27</f>
        <v>635.75</v>
      </c>
    </row>
    <row r="33" spans="1:11" x14ac:dyDescent="0.25">
      <c r="A33" s="200"/>
      <c r="B33" s="178"/>
      <c r="C33" s="27" t="s">
        <v>61</v>
      </c>
      <c r="D33" s="69">
        <f>E9+E23+E27</f>
        <v>848</v>
      </c>
      <c r="E33" s="179"/>
      <c r="F33" s="47"/>
      <c r="G33" s="188"/>
      <c r="H33" s="188"/>
      <c r="I33" s="47"/>
      <c r="J33" s="188"/>
      <c r="K33" s="188"/>
    </row>
    <row r="34" spans="1:11" x14ac:dyDescent="0.25">
      <c r="A34" s="200"/>
      <c r="B34" s="36"/>
      <c r="D34" s="35"/>
      <c r="E34" s="36"/>
      <c r="F34" s="47"/>
      <c r="I34" s="47"/>
    </row>
    <row r="35" spans="1:11" x14ac:dyDescent="0.25">
      <c r="A35" s="200"/>
      <c r="B35" s="178" t="s">
        <v>52</v>
      </c>
      <c r="C35" s="27" t="s">
        <v>62</v>
      </c>
      <c r="D35" s="69">
        <f>E12+E19+E27</f>
        <v>715</v>
      </c>
      <c r="E35" s="179">
        <f>AVERAGE(D35:D36)</f>
        <v>710.5</v>
      </c>
      <c r="F35" s="47"/>
      <c r="G35" s="188">
        <f>(E35-E27)*G4</f>
        <v>58.050000000000004</v>
      </c>
      <c r="H35" s="188">
        <f>(E35-E27)*H4</f>
        <v>174.15</v>
      </c>
      <c r="I35" s="47"/>
      <c r="J35" s="188">
        <f>(E35-E27)*J4+E27</f>
        <v>652.45000000000005</v>
      </c>
      <c r="K35" s="188">
        <f>(E35-E27)*K4+E27</f>
        <v>536.34999999999991</v>
      </c>
    </row>
    <row r="36" spans="1:11" x14ac:dyDescent="0.25">
      <c r="A36" s="200"/>
      <c r="B36" s="178"/>
      <c r="C36" s="27" t="s">
        <v>64</v>
      </c>
      <c r="D36" s="69">
        <f>E16+E19+E27</f>
        <v>706</v>
      </c>
      <c r="E36" s="179"/>
      <c r="F36" s="47"/>
      <c r="G36" s="188"/>
      <c r="H36" s="188"/>
      <c r="I36" s="47"/>
      <c r="J36" s="188"/>
      <c r="K36" s="188"/>
    </row>
    <row r="37" spans="1:11" x14ac:dyDescent="0.25">
      <c r="A37" s="200"/>
      <c r="B37" s="36"/>
      <c r="D37" s="35"/>
      <c r="E37" s="36"/>
      <c r="F37" s="47"/>
      <c r="I37" s="47"/>
    </row>
    <row r="38" spans="1:11" x14ac:dyDescent="0.25">
      <c r="A38" s="200"/>
      <c r="B38" s="183" t="s">
        <v>50</v>
      </c>
      <c r="C38" s="27" t="s">
        <v>63</v>
      </c>
      <c r="D38" s="69">
        <f>E12+E23+E27</f>
        <v>777</v>
      </c>
      <c r="E38" s="179">
        <f>AVERAGE(D38:D39)</f>
        <v>772.5</v>
      </c>
      <c r="F38" s="47"/>
      <c r="G38" s="188">
        <f>(E38-E27)*G4</f>
        <v>64.25</v>
      </c>
      <c r="H38" s="188">
        <f>(E38-E27)*H4</f>
        <v>192.75</v>
      </c>
      <c r="I38" s="47"/>
      <c r="J38" s="188">
        <f>(E38-E27)*J4+E27</f>
        <v>708.25</v>
      </c>
      <c r="K38" s="188">
        <f>(E38-E27)*K4+E27</f>
        <v>579.75</v>
      </c>
    </row>
    <row r="39" spans="1:11" x14ac:dyDescent="0.25">
      <c r="A39" s="201"/>
      <c r="B39" s="184"/>
      <c r="C39" s="27" t="s">
        <v>65</v>
      </c>
      <c r="D39" s="69">
        <f>E16+E23+E27</f>
        <v>768</v>
      </c>
      <c r="E39" s="179"/>
      <c r="F39" s="47"/>
      <c r="G39" s="188"/>
      <c r="H39" s="188"/>
      <c r="I39" s="47"/>
      <c r="J39" s="188"/>
      <c r="K39" s="188"/>
    </row>
    <row r="40" spans="1:11" x14ac:dyDescent="0.25">
      <c r="A40" s="48"/>
      <c r="B40" s="49"/>
      <c r="C40" s="50"/>
      <c r="D40" s="51"/>
      <c r="E40" s="49"/>
      <c r="F40" s="47"/>
      <c r="G40" s="51"/>
      <c r="H40" s="51"/>
      <c r="I40" s="47"/>
      <c r="J40" s="47"/>
      <c r="K40" s="47"/>
    </row>
    <row r="41" spans="1:11" x14ac:dyDescent="0.25">
      <c r="F41" s="47"/>
      <c r="G41" s="185" t="s">
        <v>75</v>
      </c>
      <c r="H41" s="185"/>
      <c r="I41" s="47"/>
      <c r="J41" s="185" t="s">
        <v>76</v>
      </c>
      <c r="K41" s="185"/>
    </row>
    <row r="42" spans="1:11" ht="13.5" customHeight="1" x14ac:dyDescent="0.25">
      <c r="F42" s="47"/>
      <c r="G42" s="71" t="s">
        <v>67</v>
      </c>
      <c r="H42" s="71" t="s">
        <v>47</v>
      </c>
      <c r="I42" s="47"/>
      <c r="J42" s="71" t="s">
        <v>67</v>
      </c>
      <c r="K42" s="71" t="s">
        <v>47</v>
      </c>
    </row>
    <row r="43" spans="1:11" ht="21" customHeight="1" x14ac:dyDescent="0.25">
      <c r="A43" s="198" t="s">
        <v>66</v>
      </c>
      <c r="B43" s="69" t="s">
        <v>48</v>
      </c>
      <c r="C43" s="186" t="s">
        <v>68</v>
      </c>
      <c r="D43" s="187"/>
      <c r="E43" s="69">
        <f>AVERAGE(E29,E35)</f>
        <v>750.5</v>
      </c>
      <c r="F43" s="47"/>
      <c r="G43" s="69">
        <f>(E43-E27)*G4</f>
        <v>62.050000000000004</v>
      </c>
      <c r="H43" s="69">
        <f>(E43-E27)*H4</f>
        <v>186.15</v>
      </c>
      <c r="I43" s="47"/>
      <c r="J43" s="69">
        <f>E43-G43</f>
        <v>688.45</v>
      </c>
      <c r="K43" s="69">
        <f>E43-H43</f>
        <v>564.35</v>
      </c>
    </row>
    <row r="44" spans="1:11" ht="29.25" customHeight="1" x14ac:dyDescent="0.25">
      <c r="A44" s="198"/>
      <c r="B44" s="69" t="s">
        <v>49</v>
      </c>
      <c r="C44" s="186" t="s">
        <v>69</v>
      </c>
      <c r="D44" s="187"/>
      <c r="E44" s="69">
        <f>AVERAGE(E32,E38)</f>
        <v>812.5</v>
      </c>
      <c r="F44" s="47"/>
      <c r="G44" s="69">
        <f>(E44-E27)*G4</f>
        <v>68.25</v>
      </c>
      <c r="H44" s="69">
        <f>(E44-E27)*H4</f>
        <v>204.75</v>
      </c>
      <c r="I44" s="47"/>
      <c r="J44" s="69">
        <f>E44-G44</f>
        <v>744.25</v>
      </c>
      <c r="K44" s="69">
        <f>E44-H44</f>
        <v>607.75</v>
      </c>
    </row>
    <row r="45" spans="1:11" x14ac:dyDescent="0.25">
      <c r="A45" s="48"/>
      <c r="B45" s="49"/>
      <c r="C45" s="50"/>
      <c r="D45" s="51"/>
      <c r="E45" s="49"/>
      <c r="F45" s="47"/>
      <c r="G45" s="51"/>
      <c r="H45" s="51"/>
      <c r="I45" s="47"/>
      <c r="J45" s="47"/>
      <c r="K45" s="47"/>
    </row>
    <row r="46" spans="1:11" x14ac:dyDescent="0.25">
      <c r="A46" s="192" t="s">
        <v>77</v>
      </c>
      <c r="B46" s="27"/>
      <c r="C46" s="42" t="s">
        <v>79</v>
      </c>
      <c r="D46" s="52" t="s">
        <v>67</v>
      </c>
      <c r="E46" s="42" t="s">
        <v>47</v>
      </c>
    </row>
    <row r="47" spans="1:11" ht="23.25" x14ac:dyDescent="0.25">
      <c r="A47" s="193"/>
      <c r="B47" s="53" t="s">
        <v>70</v>
      </c>
      <c r="C47" s="69">
        <v>25000</v>
      </c>
      <c r="D47" s="69">
        <f>C47*10%</f>
        <v>2500</v>
      </c>
      <c r="E47" s="69">
        <f>C47*90%</f>
        <v>22500</v>
      </c>
    </row>
    <row r="48" spans="1:11" ht="21" customHeight="1" x14ac:dyDescent="0.25">
      <c r="A48" s="193"/>
      <c r="B48" s="53" t="s">
        <v>68</v>
      </c>
      <c r="C48" s="69">
        <f>C47*90%</f>
        <v>22500</v>
      </c>
      <c r="D48" s="69">
        <f>D47*90%</f>
        <v>2250</v>
      </c>
      <c r="E48" s="69">
        <f>E47*90%</f>
        <v>20250</v>
      </c>
    </row>
    <row r="49" spans="1:5" ht="34.5" x14ac:dyDescent="0.25">
      <c r="A49" s="194"/>
      <c r="B49" s="53" t="s">
        <v>69</v>
      </c>
      <c r="C49" s="69">
        <f>C47*10%</f>
        <v>2500</v>
      </c>
      <c r="D49" s="69">
        <f>D47*10%</f>
        <v>250</v>
      </c>
      <c r="E49" s="69">
        <f>E47*10%</f>
        <v>2250</v>
      </c>
    </row>
    <row r="50" spans="1:5" x14ac:dyDescent="0.25">
      <c r="A50" s="47"/>
      <c r="B50" s="47"/>
      <c r="C50" s="47"/>
      <c r="D50" s="47"/>
      <c r="E50" s="47"/>
    </row>
    <row r="51" spans="1:5" x14ac:dyDescent="0.25">
      <c r="A51" s="177" t="s">
        <v>78</v>
      </c>
      <c r="C51" s="42" t="s">
        <v>109</v>
      </c>
      <c r="D51" s="52" t="s">
        <v>67</v>
      </c>
      <c r="E51" s="42" t="s">
        <v>47</v>
      </c>
    </row>
    <row r="52" spans="1:5" ht="34.5" x14ac:dyDescent="0.25">
      <c r="A52" s="177"/>
      <c r="B52" s="74" t="s">
        <v>68</v>
      </c>
      <c r="C52" s="43">
        <f>D52+E52</f>
        <v>3909150</v>
      </c>
      <c r="D52" s="44">
        <f>D48*G43</f>
        <v>139612.5</v>
      </c>
      <c r="E52" s="44">
        <f>E48*H43</f>
        <v>3769537.5</v>
      </c>
    </row>
    <row r="53" spans="1:5" ht="34.5" x14ac:dyDescent="0.25">
      <c r="A53" s="177"/>
      <c r="B53" s="74" t="s">
        <v>69</v>
      </c>
      <c r="C53" s="43">
        <f>D53+E53</f>
        <v>477750</v>
      </c>
      <c r="D53" s="44">
        <f>D49*G44</f>
        <v>17062.5</v>
      </c>
      <c r="E53" s="44">
        <f>E49*H44</f>
        <v>460687.5</v>
      </c>
    </row>
    <row r="54" spans="1:5" x14ac:dyDescent="0.25">
      <c r="A54" s="177"/>
      <c r="B54" s="75" t="s">
        <v>71</v>
      </c>
      <c r="C54" s="54">
        <f>C52+C53</f>
        <v>4386900</v>
      </c>
      <c r="D54" s="43">
        <f>D52+D53</f>
        <v>156675</v>
      </c>
      <c r="E54" s="43">
        <f>E52+E53</f>
        <v>4230225</v>
      </c>
    </row>
    <row r="55" spans="1:5" x14ac:dyDescent="0.25">
      <c r="A55" s="47"/>
      <c r="B55" s="47"/>
      <c r="C55" s="47"/>
      <c r="D55" s="47"/>
      <c r="E55" s="47"/>
    </row>
    <row r="56" spans="1:5" x14ac:dyDescent="0.25">
      <c r="A56" s="177" t="s">
        <v>80</v>
      </c>
      <c r="C56" s="42" t="s">
        <v>109</v>
      </c>
      <c r="D56" s="52" t="s">
        <v>67</v>
      </c>
      <c r="E56" s="42" t="s">
        <v>47</v>
      </c>
    </row>
    <row r="57" spans="1:5" ht="34.5" x14ac:dyDescent="0.25">
      <c r="A57" s="177"/>
      <c r="B57" s="74" t="s">
        <v>68</v>
      </c>
      <c r="C57" s="43">
        <f>D57+E57</f>
        <v>12977100</v>
      </c>
      <c r="D57" s="44">
        <f>D48*J43</f>
        <v>1549012.5</v>
      </c>
      <c r="E57" s="44">
        <f>E48*K43</f>
        <v>11428087.5</v>
      </c>
    </row>
    <row r="58" spans="1:5" ht="34.5" x14ac:dyDescent="0.25">
      <c r="A58" s="177"/>
      <c r="B58" s="74" t="s">
        <v>69</v>
      </c>
      <c r="C58" s="43">
        <f>D58+E58</f>
        <v>1553500</v>
      </c>
      <c r="D58" s="44">
        <f>D49*J44</f>
        <v>186062.5</v>
      </c>
      <c r="E58" s="44">
        <f>E49*K44</f>
        <v>1367437.5</v>
      </c>
    </row>
    <row r="59" spans="1:5" ht="23.25" x14ac:dyDescent="0.25">
      <c r="A59" s="177"/>
      <c r="B59" s="75" t="s">
        <v>99</v>
      </c>
      <c r="C59" s="54">
        <f>C57+C58</f>
        <v>14530600</v>
      </c>
      <c r="D59" s="43">
        <f>D57+D58</f>
        <v>1735075</v>
      </c>
      <c r="E59" s="43">
        <f>E57+E58</f>
        <v>12795525</v>
      </c>
    </row>
    <row r="60" spans="1:5" x14ac:dyDescent="0.25">
      <c r="A60" s="177"/>
      <c r="B60" s="75"/>
      <c r="C60" s="54"/>
      <c r="D60" s="43"/>
      <c r="E60" s="43"/>
    </row>
    <row r="61" spans="1:5" ht="23.25" x14ac:dyDescent="0.25">
      <c r="A61" s="177"/>
      <c r="B61" s="75" t="s">
        <v>100</v>
      </c>
      <c r="C61" s="54">
        <f>C47*50</f>
        <v>1250000</v>
      </c>
      <c r="D61" s="43"/>
      <c r="E61" s="43"/>
    </row>
    <row r="62" spans="1:5" ht="15.75" x14ac:dyDescent="0.25">
      <c r="A62" s="177"/>
      <c r="B62" s="75" t="s">
        <v>71</v>
      </c>
      <c r="C62" s="86">
        <f>C59+C61+E65</f>
        <v>16165600</v>
      </c>
      <c r="D62" s="43"/>
      <c r="E62" s="43"/>
    </row>
    <row r="63" spans="1:5" x14ac:dyDescent="0.25">
      <c r="A63" s="47"/>
      <c r="B63" s="47"/>
      <c r="C63" s="47"/>
      <c r="D63" s="47"/>
      <c r="E63" s="47"/>
    </row>
    <row r="65" spans="2:5" ht="34.5" x14ac:dyDescent="0.25">
      <c r="B65" s="73" t="s">
        <v>137</v>
      </c>
      <c r="C65">
        <f>32000-25000</f>
        <v>7000</v>
      </c>
      <c r="D65">
        <v>55</v>
      </c>
      <c r="E65">
        <f>C65*D65</f>
        <v>385000</v>
      </c>
    </row>
    <row r="67" spans="2:5" ht="18.75" x14ac:dyDescent="0.3">
      <c r="B67" s="55" t="s">
        <v>81</v>
      </c>
      <c r="C67" s="56">
        <f>C54+C62</f>
        <v>20552500</v>
      </c>
    </row>
  </sheetData>
  <mergeCells count="75">
    <mergeCell ref="A51:A54"/>
    <mergeCell ref="A56:A62"/>
    <mergeCell ref="G41:H41"/>
    <mergeCell ref="J41:K41"/>
    <mergeCell ref="A43:A44"/>
    <mergeCell ref="C43:D43"/>
    <mergeCell ref="C44:D44"/>
    <mergeCell ref="A46:A49"/>
    <mergeCell ref="J35:J36"/>
    <mergeCell ref="K35:K36"/>
    <mergeCell ref="B38:B39"/>
    <mergeCell ref="E38:E39"/>
    <mergeCell ref="G38:G39"/>
    <mergeCell ref="H38:H39"/>
    <mergeCell ref="J38:J39"/>
    <mergeCell ref="K38:K39"/>
    <mergeCell ref="K29:K30"/>
    <mergeCell ref="B32:B33"/>
    <mergeCell ref="E32:E33"/>
    <mergeCell ref="G32:G33"/>
    <mergeCell ref="H32:H33"/>
    <mergeCell ref="J32:J33"/>
    <mergeCell ref="K32:K33"/>
    <mergeCell ref="J29:J30"/>
    <mergeCell ref="A29:A39"/>
    <mergeCell ref="B29:B30"/>
    <mergeCell ref="E29:E30"/>
    <mergeCell ref="G29:G30"/>
    <mergeCell ref="H29:H30"/>
    <mergeCell ref="B35:B36"/>
    <mergeCell ref="E35:E36"/>
    <mergeCell ref="G35:G36"/>
    <mergeCell ref="H35:H36"/>
    <mergeCell ref="K19:K21"/>
    <mergeCell ref="B23:B25"/>
    <mergeCell ref="E23:E25"/>
    <mergeCell ref="G23:G25"/>
    <mergeCell ref="H23:H25"/>
    <mergeCell ref="J23:J25"/>
    <mergeCell ref="K23:K25"/>
    <mergeCell ref="J19:J21"/>
    <mergeCell ref="A19:A27"/>
    <mergeCell ref="B19:B21"/>
    <mergeCell ref="E19:E21"/>
    <mergeCell ref="G19:G21"/>
    <mergeCell ref="H19:H21"/>
    <mergeCell ref="K9:K10"/>
    <mergeCell ref="K16:K17"/>
    <mergeCell ref="B12:B14"/>
    <mergeCell ref="E12:E14"/>
    <mergeCell ref="G12:G14"/>
    <mergeCell ref="H12:H14"/>
    <mergeCell ref="J12:J14"/>
    <mergeCell ref="K12:K14"/>
    <mergeCell ref="B16:B17"/>
    <mergeCell ref="E16:E17"/>
    <mergeCell ref="G16:G17"/>
    <mergeCell ref="H16:H17"/>
    <mergeCell ref="J16:J17"/>
    <mergeCell ref="A1:K1"/>
    <mergeCell ref="G2:H2"/>
    <mergeCell ref="J2:K2"/>
    <mergeCell ref="D4:E4"/>
    <mergeCell ref="A5:A17"/>
    <mergeCell ref="B5:B7"/>
    <mergeCell ref="E5:E7"/>
    <mergeCell ref="G5:G7"/>
    <mergeCell ref="H5:H7"/>
    <mergeCell ref="J5:J7"/>
    <mergeCell ref="K5:K7"/>
    <mergeCell ref="B9:B10"/>
    <mergeCell ref="E9:E10"/>
    <mergeCell ref="G9:G10"/>
    <mergeCell ref="H9:H10"/>
    <mergeCell ref="J9:J10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opLeftCell="A55" workbookViewId="0">
      <selection activeCell="C63" sqref="C63"/>
    </sheetView>
  </sheetViews>
  <sheetFormatPr defaultRowHeight="15" x14ac:dyDescent="0.25"/>
  <cols>
    <col min="2" max="2" width="18.5703125" bestFit="1" customWidth="1"/>
    <col min="3" max="3" width="42.5703125" bestFit="1" customWidth="1"/>
    <col min="4" max="4" width="17.42578125" customWidth="1"/>
    <col min="5" max="5" width="18.140625" customWidth="1"/>
    <col min="6" max="6" width="4" customWidth="1"/>
    <col min="7" max="7" width="14.5703125" bestFit="1" customWidth="1"/>
    <col min="8" max="8" width="10.42578125" customWidth="1"/>
    <col min="9" max="9" width="4" customWidth="1"/>
    <col min="10" max="10" width="14.5703125" bestFit="1" customWidth="1"/>
    <col min="11" max="11" width="10" customWidth="1"/>
    <col min="12" max="12" width="17" customWidth="1"/>
    <col min="13" max="13" width="15.5703125" customWidth="1"/>
  </cols>
  <sheetData>
    <row r="1" spans="1:11" x14ac:dyDescent="0.25">
      <c r="A1" s="202" t="s">
        <v>82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x14ac:dyDescent="0.25">
      <c r="F2" s="47"/>
      <c r="G2" s="189" t="s">
        <v>73</v>
      </c>
      <c r="H2" s="189"/>
      <c r="I2" s="47"/>
      <c r="J2" s="189" t="s">
        <v>72</v>
      </c>
      <c r="K2" s="189"/>
    </row>
    <row r="3" spans="1:11" x14ac:dyDescent="0.25">
      <c r="F3" s="47"/>
      <c r="G3" s="45" t="s">
        <v>67</v>
      </c>
      <c r="H3" s="45" t="s">
        <v>47</v>
      </c>
      <c r="I3" s="47"/>
      <c r="J3" s="45" t="s">
        <v>67</v>
      </c>
      <c r="K3" s="45" t="s">
        <v>47</v>
      </c>
    </row>
    <row r="4" spans="1:11" ht="34.5" customHeight="1" x14ac:dyDescent="0.25">
      <c r="D4" s="190" t="s">
        <v>74</v>
      </c>
      <c r="E4" s="191"/>
      <c r="F4" s="47"/>
      <c r="G4" s="46">
        <v>0.05</v>
      </c>
      <c r="H4" s="46">
        <v>0.2</v>
      </c>
      <c r="I4" s="47"/>
      <c r="J4" s="46">
        <v>0.95</v>
      </c>
      <c r="K4" s="46">
        <v>0.8</v>
      </c>
    </row>
    <row r="5" spans="1:11" x14ac:dyDescent="0.25">
      <c r="A5" s="177" t="s">
        <v>51</v>
      </c>
      <c r="B5" s="178" t="s">
        <v>43</v>
      </c>
      <c r="C5" s="27" t="s">
        <v>39</v>
      </c>
      <c r="D5" s="69">
        <f>'მკურნალობაში ჩართვის ჯგუფები'!E5</f>
        <v>60</v>
      </c>
      <c r="E5" s="179">
        <f>D5+D6+D7</f>
        <v>438</v>
      </c>
      <c r="F5" s="47"/>
      <c r="G5" s="188">
        <f>E5*$G$4</f>
        <v>21.900000000000002</v>
      </c>
      <c r="H5" s="188">
        <f>E5*H4</f>
        <v>87.600000000000009</v>
      </c>
      <c r="I5" s="47"/>
      <c r="J5" s="188">
        <f>E5*J4</f>
        <v>416.09999999999997</v>
      </c>
      <c r="K5" s="188">
        <f>E5*K4</f>
        <v>350.40000000000003</v>
      </c>
    </row>
    <row r="6" spans="1:11" x14ac:dyDescent="0.25">
      <c r="A6" s="177"/>
      <c r="B6" s="178"/>
      <c r="C6" s="27" t="s">
        <v>40</v>
      </c>
      <c r="D6" s="69">
        <f>'მკურნალობაში ჩართვის ჯგუფები'!E6</f>
        <v>369</v>
      </c>
      <c r="E6" s="179"/>
      <c r="F6" s="47"/>
      <c r="G6" s="188"/>
      <c r="H6" s="188"/>
      <c r="I6" s="47"/>
      <c r="J6" s="188"/>
      <c r="K6" s="188"/>
    </row>
    <row r="7" spans="1:11" x14ac:dyDescent="0.25">
      <c r="A7" s="177"/>
      <c r="B7" s="178"/>
      <c r="C7" s="27" t="s">
        <v>42</v>
      </c>
      <c r="D7" s="69">
        <f>'მკურნალობაში ჩართვის ჯგუფები'!E8</f>
        <v>9</v>
      </c>
      <c r="E7" s="179"/>
      <c r="F7" s="47"/>
      <c r="G7" s="188"/>
      <c r="H7" s="188"/>
      <c r="I7" s="47"/>
      <c r="J7" s="188"/>
      <c r="K7" s="188"/>
    </row>
    <row r="8" spans="1:11" x14ac:dyDescent="0.25">
      <c r="A8" s="177"/>
      <c r="D8" s="35"/>
      <c r="E8" s="36"/>
      <c r="F8" s="47"/>
      <c r="I8" s="47"/>
    </row>
    <row r="9" spans="1:11" x14ac:dyDescent="0.25">
      <c r="A9" s="177"/>
      <c r="B9" s="178" t="s">
        <v>44</v>
      </c>
      <c r="C9" s="27" t="s">
        <v>39</v>
      </c>
      <c r="D9" s="69">
        <f>'მკურნალობაში ჩართვის ჯგუფები'!E5</f>
        <v>60</v>
      </c>
      <c r="E9" s="179">
        <f>D9+D10</f>
        <v>429</v>
      </c>
      <c r="F9" s="47"/>
      <c r="G9" s="188">
        <f>E9*G4</f>
        <v>21.450000000000003</v>
      </c>
      <c r="H9" s="188">
        <f>E9*H4</f>
        <v>85.800000000000011</v>
      </c>
      <c r="I9" s="47"/>
      <c r="J9" s="188">
        <f>E9*J4</f>
        <v>407.54999999999995</v>
      </c>
      <c r="K9" s="188">
        <f>E9*K4</f>
        <v>343.20000000000005</v>
      </c>
    </row>
    <row r="10" spans="1:11" x14ac:dyDescent="0.25">
      <c r="A10" s="177"/>
      <c r="B10" s="178"/>
      <c r="C10" s="27" t="s">
        <v>40</v>
      </c>
      <c r="D10" s="69">
        <f>'მკურნალობაში ჩართვის ჯგუფები'!E6</f>
        <v>369</v>
      </c>
      <c r="E10" s="179"/>
      <c r="F10" s="47"/>
      <c r="G10" s="188"/>
      <c r="H10" s="188"/>
      <c r="I10" s="47"/>
      <c r="J10" s="188"/>
      <c r="K10" s="188"/>
    </row>
    <row r="11" spans="1:11" x14ac:dyDescent="0.25">
      <c r="A11" s="177"/>
      <c r="D11" s="35"/>
      <c r="E11" s="36"/>
      <c r="F11" s="47"/>
      <c r="I11" s="47"/>
    </row>
    <row r="12" spans="1:11" x14ac:dyDescent="0.25">
      <c r="A12" s="177"/>
      <c r="B12" s="178" t="s">
        <v>45</v>
      </c>
      <c r="C12" s="27" t="s">
        <v>39</v>
      </c>
      <c r="D12" s="69">
        <f>'მკურნალობაში ჩართვის ჯგუფები'!E5</f>
        <v>60</v>
      </c>
      <c r="E12" s="179">
        <f>D12+D13+D14</f>
        <v>358</v>
      </c>
      <c r="F12" s="47"/>
      <c r="G12" s="188">
        <f>E12*G4</f>
        <v>17.900000000000002</v>
      </c>
      <c r="H12" s="188">
        <f>E12*H4</f>
        <v>71.600000000000009</v>
      </c>
      <c r="I12" s="47"/>
      <c r="J12" s="188">
        <f>E12*J4</f>
        <v>340.09999999999997</v>
      </c>
      <c r="K12" s="188">
        <f>E12*K4</f>
        <v>286.40000000000003</v>
      </c>
    </row>
    <row r="13" spans="1:11" x14ac:dyDescent="0.25">
      <c r="A13" s="177"/>
      <c r="B13" s="178"/>
      <c r="C13" s="27" t="s">
        <v>41</v>
      </c>
      <c r="D13" s="69">
        <f>'მკურნალობაში ჩართვის ჯგუფები'!E7</f>
        <v>289</v>
      </c>
      <c r="E13" s="179"/>
      <c r="F13" s="47"/>
      <c r="G13" s="188"/>
      <c r="H13" s="188"/>
      <c r="I13" s="47"/>
      <c r="J13" s="188"/>
      <c r="K13" s="188"/>
    </row>
    <row r="14" spans="1:11" x14ac:dyDescent="0.25">
      <c r="A14" s="177"/>
      <c r="B14" s="178"/>
      <c r="C14" s="27" t="s">
        <v>42</v>
      </c>
      <c r="D14" s="69">
        <f>'მკურნალობაში ჩართვის ჯგუფები'!E8</f>
        <v>9</v>
      </c>
      <c r="E14" s="179"/>
      <c r="F14" s="47"/>
      <c r="G14" s="188"/>
      <c r="H14" s="188"/>
      <c r="I14" s="47"/>
      <c r="J14" s="188"/>
      <c r="K14" s="188"/>
    </row>
    <row r="15" spans="1:11" x14ac:dyDescent="0.25">
      <c r="A15" s="177"/>
      <c r="D15" s="35"/>
      <c r="E15" s="36"/>
      <c r="F15" s="47"/>
      <c r="I15" s="47"/>
    </row>
    <row r="16" spans="1:11" x14ac:dyDescent="0.25">
      <c r="A16" s="177"/>
      <c r="B16" s="178" t="s">
        <v>46</v>
      </c>
      <c r="C16" s="27" t="s">
        <v>39</v>
      </c>
      <c r="D16" s="69">
        <f>'მკურნალობაში ჩართვის ჯგუფები'!E5</f>
        <v>60</v>
      </c>
      <c r="E16" s="179">
        <f>D16+D17</f>
        <v>349</v>
      </c>
      <c r="F16" s="47"/>
      <c r="G16" s="188">
        <f>E16*G4</f>
        <v>17.45</v>
      </c>
      <c r="H16" s="188">
        <f>E16*H4</f>
        <v>69.8</v>
      </c>
      <c r="I16" s="47"/>
      <c r="J16" s="188">
        <f>E16*J4</f>
        <v>331.55</v>
      </c>
      <c r="K16" s="188">
        <f>E16*K4</f>
        <v>279.2</v>
      </c>
    </row>
    <row r="17" spans="1:11" x14ac:dyDescent="0.25">
      <c r="A17" s="177"/>
      <c r="B17" s="178"/>
      <c r="C17" s="27" t="s">
        <v>41</v>
      </c>
      <c r="D17" s="69">
        <f>'მკურნალობაში ჩართვის ჯგუფები'!E7</f>
        <v>289</v>
      </c>
      <c r="E17" s="179"/>
      <c r="F17" s="47"/>
      <c r="G17" s="188"/>
      <c r="H17" s="188"/>
      <c r="I17" s="47"/>
      <c r="J17" s="188"/>
      <c r="K17" s="188"/>
    </row>
    <row r="18" spans="1:11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</row>
    <row r="19" spans="1:11" x14ac:dyDescent="0.25">
      <c r="A19" s="177" t="s">
        <v>54</v>
      </c>
      <c r="B19" s="178" t="s">
        <v>55</v>
      </c>
      <c r="C19" s="29" t="s">
        <v>33</v>
      </c>
      <c r="D19" s="69">
        <f>'მონიტორინგის კვლევების ჯგუფები'!E5</f>
        <v>236</v>
      </c>
      <c r="E19" s="179">
        <f>AVERAGE(D19:D21)</f>
        <v>227</v>
      </c>
      <c r="F19" s="47"/>
      <c r="G19" s="195">
        <f>E19*G4</f>
        <v>11.350000000000001</v>
      </c>
      <c r="H19" s="195">
        <f>E19*H4</f>
        <v>45.400000000000006</v>
      </c>
      <c r="I19" s="47"/>
      <c r="J19" s="195">
        <f>E19*J4</f>
        <v>215.64999999999998</v>
      </c>
      <c r="K19" s="195">
        <f>E19*K4</f>
        <v>181.60000000000002</v>
      </c>
    </row>
    <row r="20" spans="1:11" x14ac:dyDescent="0.25">
      <c r="A20" s="177"/>
      <c r="B20" s="178"/>
      <c r="C20" s="29" t="s">
        <v>31</v>
      </c>
      <c r="D20" s="69">
        <f>'მონიტორინგის კვლევების ჯგუფები'!E6</f>
        <v>227</v>
      </c>
      <c r="E20" s="179"/>
      <c r="F20" s="47"/>
      <c r="G20" s="196"/>
      <c r="H20" s="196"/>
      <c r="I20" s="47"/>
      <c r="J20" s="196"/>
      <c r="K20" s="196"/>
    </row>
    <row r="21" spans="1:11" x14ac:dyDescent="0.25">
      <c r="A21" s="177"/>
      <c r="B21" s="178"/>
      <c r="C21" s="37" t="s">
        <v>34</v>
      </c>
      <c r="D21" s="69">
        <f>'მონიტორინგის კვლევების ჯგუფები'!E7</f>
        <v>218</v>
      </c>
      <c r="E21" s="179"/>
      <c r="F21" s="47"/>
      <c r="G21" s="197"/>
      <c r="H21" s="197"/>
      <c r="I21" s="47"/>
      <c r="J21" s="197"/>
      <c r="K21" s="197"/>
    </row>
    <row r="22" spans="1:11" x14ac:dyDescent="0.25">
      <c r="A22" s="177"/>
      <c r="E22" s="36"/>
      <c r="F22" s="47"/>
      <c r="I22" s="47"/>
    </row>
    <row r="23" spans="1:11" x14ac:dyDescent="0.25">
      <c r="A23" s="177"/>
      <c r="B23" s="178" t="s">
        <v>56</v>
      </c>
      <c r="C23" s="29" t="s">
        <v>35</v>
      </c>
      <c r="D23" s="69">
        <f>'მონიტორინგის კვლევების ჯგუფები'!E8</f>
        <v>304</v>
      </c>
      <c r="E23" s="180">
        <f>AVERAGE(D23:D25)</f>
        <v>289</v>
      </c>
      <c r="F23" s="47"/>
      <c r="G23" s="188">
        <f>E23*G4</f>
        <v>14.450000000000001</v>
      </c>
      <c r="H23" s="195">
        <f>E23*H4</f>
        <v>57.800000000000004</v>
      </c>
      <c r="I23" s="47"/>
      <c r="J23" s="188">
        <f>E23*J4</f>
        <v>274.55</v>
      </c>
      <c r="K23" s="195">
        <f>E23*K4</f>
        <v>231.20000000000002</v>
      </c>
    </row>
    <row r="24" spans="1:11" x14ac:dyDescent="0.25">
      <c r="A24" s="177"/>
      <c r="B24" s="178"/>
      <c r="C24" s="29" t="s">
        <v>32</v>
      </c>
      <c r="D24" s="69">
        <f>'მონიტორინგის კვლევების ჯგუფები'!E9</f>
        <v>286</v>
      </c>
      <c r="E24" s="181"/>
      <c r="F24" s="47"/>
      <c r="G24" s="188"/>
      <c r="H24" s="196"/>
      <c r="I24" s="47"/>
      <c r="J24" s="188"/>
      <c r="K24" s="196"/>
    </row>
    <row r="25" spans="1:11" x14ac:dyDescent="0.25">
      <c r="A25" s="177"/>
      <c r="B25" s="178"/>
      <c r="C25" s="37" t="s">
        <v>36</v>
      </c>
      <c r="D25" s="69">
        <f>'მონიტორინგის კვლევების ჯგუფები'!E10</f>
        <v>277</v>
      </c>
      <c r="E25" s="182"/>
      <c r="F25" s="47"/>
      <c r="G25" s="188"/>
      <c r="H25" s="197"/>
      <c r="I25" s="47"/>
      <c r="J25" s="188"/>
      <c r="K25" s="197"/>
    </row>
    <row r="26" spans="1:11" x14ac:dyDescent="0.25">
      <c r="A26" s="177"/>
      <c r="E26" s="36"/>
      <c r="F26" s="47"/>
      <c r="I26" s="47"/>
    </row>
    <row r="27" spans="1:11" x14ac:dyDescent="0.25">
      <c r="A27" s="177"/>
      <c r="B27" s="72" t="s">
        <v>57</v>
      </c>
      <c r="C27" s="27" t="s">
        <v>53</v>
      </c>
      <c r="D27" s="38">
        <f>'მონიტორინგის კვლევების ჯგუფები'!E11</f>
        <v>130</v>
      </c>
      <c r="E27" s="70">
        <v>130</v>
      </c>
      <c r="F27" s="47"/>
      <c r="G27" s="69">
        <v>0</v>
      </c>
      <c r="H27" s="69">
        <v>0</v>
      </c>
      <c r="I27" s="47"/>
      <c r="J27" s="69">
        <f>E27</f>
        <v>130</v>
      </c>
      <c r="K27" s="69">
        <f>E27</f>
        <v>130</v>
      </c>
    </row>
    <row r="28" spans="1:11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5">
      <c r="A29" s="199" t="s">
        <v>66</v>
      </c>
      <c r="B29" s="178" t="s">
        <v>48</v>
      </c>
      <c r="C29" s="27" t="s">
        <v>58</v>
      </c>
      <c r="D29" s="69">
        <f>E5+E19+E27</f>
        <v>795</v>
      </c>
      <c r="E29" s="179">
        <f>AVERAGE(D29:D30)</f>
        <v>790.5</v>
      </c>
      <c r="F29" s="47"/>
      <c r="G29" s="188">
        <f>(E29-E27)*G4</f>
        <v>33.024999999999999</v>
      </c>
      <c r="H29" s="188">
        <f>(E29-E27)*H4</f>
        <v>132.1</v>
      </c>
      <c r="I29" s="47"/>
      <c r="J29" s="188">
        <f>(E29-E27)*J4+E27</f>
        <v>757.47500000000002</v>
      </c>
      <c r="K29" s="188">
        <f>(E29-E27)*K4+E27</f>
        <v>658.4</v>
      </c>
    </row>
    <row r="30" spans="1:11" x14ac:dyDescent="0.25">
      <c r="A30" s="200"/>
      <c r="B30" s="178"/>
      <c r="C30" s="27" t="s">
        <v>60</v>
      </c>
      <c r="D30" s="69">
        <f>E9+E19+E27</f>
        <v>786</v>
      </c>
      <c r="E30" s="179"/>
      <c r="F30" s="47"/>
      <c r="G30" s="188"/>
      <c r="H30" s="188"/>
      <c r="I30" s="47"/>
      <c r="J30" s="188"/>
      <c r="K30" s="188"/>
    </row>
    <row r="31" spans="1:11" x14ac:dyDescent="0.25">
      <c r="A31" s="200"/>
      <c r="B31" s="36"/>
      <c r="D31" s="35"/>
      <c r="E31" s="36"/>
      <c r="F31" s="47"/>
      <c r="I31" s="47"/>
    </row>
    <row r="32" spans="1:11" x14ac:dyDescent="0.25">
      <c r="A32" s="200"/>
      <c r="B32" s="178" t="s">
        <v>49</v>
      </c>
      <c r="C32" s="27" t="s">
        <v>59</v>
      </c>
      <c r="D32" s="69">
        <f>E5+E23+E27</f>
        <v>857</v>
      </c>
      <c r="E32" s="179">
        <f>AVERAGE(D32:D33)</f>
        <v>852.5</v>
      </c>
      <c r="F32" s="47"/>
      <c r="G32" s="188">
        <f>(E32-E27)*G4</f>
        <v>36.125</v>
      </c>
      <c r="H32" s="188">
        <f>(E32-E27)*H4</f>
        <v>144.5</v>
      </c>
      <c r="I32" s="47"/>
      <c r="J32" s="188">
        <f>(E32-E27)*J4+E27</f>
        <v>816.375</v>
      </c>
      <c r="K32" s="188">
        <f>(E32-E27)*K4+E27</f>
        <v>708</v>
      </c>
    </row>
    <row r="33" spans="1:11" x14ac:dyDescent="0.25">
      <c r="A33" s="200"/>
      <c r="B33" s="178"/>
      <c r="C33" s="27" t="s">
        <v>61</v>
      </c>
      <c r="D33" s="69">
        <f>E9+E23+E27</f>
        <v>848</v>
      </c>
      <c r="E33" s="179"/>
      <c r="F33" s="47"/>
      <c r="G33" s="188"/>
      <c r="H33" s="188"/>
      <c r="I33" s="47"/>
      <c r="J33" s="188"/>
      <c r="K33" s="188"/>
    </row>
    <row r="34" spans="1:11" x14ac:dyDescent="0.25">
      <c r="A34" s="200"/>
      <c r="B34" s="36"/>
      <c r="D34" s="35"/>
      <c r="E34" s="36"/>
      <c r="F34" s="47"/>
      <c r="I34" s="47"/>
    </row>
    <row r="35" spans="1:11" x14ac:dyDescent="0.25">
      <c r="A35" s="200"/>
      <c r="B35" s="178" t="s">
        <v>52</v>
      </c>
      <c r="C35" s="27" t="s">
        <v>62</v>
      </c>
      <c r="D35" s="69">
        <f>E12+E19+E27</f>
        <v>715</v>
      </c>
      <c r="E35" s="179">
        <f>AVERAGE(D35:D36)</f>
        <v>710.5</v>
      </c>
      <c r="F35" s="47"/>
      <c r="G35" s="188">
        <f>(E35-E27)*G4</f>
        <v>29.025000000000002</v>
      </c>
      <c r="H35" s="188">
        <f>(E35-E27)*H4</f>
        <v>116.10000000000001</v>
      </c>
      <c r="I35" s="47"/>
      <c r="J35" s="188">
        <f>(E35-E27)*J4+E27</f>
        <v>681.47500000000002</v>
      </c>
      <c r="K35" s="188">
        <f>(E35-E27)*K4+E27</f>
        <v>594.40000000000009</v>
      </c>
    </row>
    <row r="36" spans="1:11" x14ac:dyDescent="0.25">
      <c r="A36" s="200"/>
      <c r="B36" s="178"/>
      <c r="C36" s="27" t="s">
        <v>64</v>
      </c>
      <c r="D36" s="69">
        <f>E16+E19+E27</f>
        <v>706</v>
      </c>
      <c r="E36" s="179"/>
      <c r="F36" s="47"/>
      <c r="G36" s="188"/>
      <c r="H36" s="188"/>
      <c r="I36" s="47"/>
      <c r="J36" s="188"/>
      <c r="K36" s="188"/>
    </row>
    <row r="37" spans="1:11" x14ac:dyDescent="0.25">
      <c r="A37" s="200"/>
      <c r="B37" s="36"/>
      <c r="D37" s="35"/>
      <c r="E37" s="36"/>
      <c r="F37" s="47"/>
      <c r="I37" s="47"/>
    </row>
    <row r="38" spans="1:11" x14ac:dyDescent="0.25">
      <c r="A38" s="200"/>
      <c r="B38" s="183" t="s">
        <v>50</v>
      </c>
      <c r="C38" s="27" t="s">
        <v>63</v>
      </c>
      <c r="D38" s="69">
        <f>E12+E23+E27</f>
        <v>777</v>
      </c>
      <c r="E38" s="179">
        <f>AVERAGE(D38:D39)</f>
        <v>772.5</v>
      </c>
      <c r="F38" s="47"/>
      <c r="G38" s="188">
        <f>(E38-E27)*G4</f>
        <v>32.125</v>
      </c>
      <c r="H38" s="188">
        <f>(E38-E27)*H4</f>
        <v>128.5</v>
      </c>
      <c r="I38" s="47"/>
      <c r="J38" s="188">
        <f>(E38-E27)*J4+E27</f>
        <v>740.375</v>
      </c>
      <c r="K38" s="188">
        <f>(E38-E27)*K4+E27</f>
        <v>644</v>
      </c>
    </row>
    <row r="39" spans="1:11" x14ac:dyDescent="0.25">
      <c r="A39" s="201"/>
      <c r="B39" s="184"/>
      <c r="C39" s="27" t="s">
        <v>65</v>
      </c>
      <c r="D39" s="69">
        <f>E16+E23+E27</f>
        <v>768</v>
      </c>
      <c r="E39" s="179"/>
      <c r="F39" s="47"/>
      <c r="G39" s="188"/>
      <c r="H39" s="188"/>
      <c r="I39" s="47"/>
      <c r="J39" s="188"/>
      <c r="K39" s="188"/>
    </row>
    <row r="40" spans="1:11" x14ac:dyDescent="0.25">
      <c r="A40" s="48"/>
      <c r="B40" s="49"/>
      <c r="C40" s="50"/>
      <c r="D40" s="51"/>
      <c r="E40" s="49"/>
      <c r="F40" s="47"/>
      <c r="G40" s="51"/>
      <c r="H40" s="51"/>
      <c r="I40" s="47"/>
      <c r="J40" s="47"/>
      <c r="K40" s="47"/>
    </row>
    <row r="41" spans="1:11" x14ac:dyDescent="0.25">
      <c r="F41" s="47"/>
      <c r="G41" s="185" t="s">
        <v>75</v>
      </c>
      <c r="H41" s="185"/>
      <c r="I41" s="47"/>
      <c r="J41" s="185" t="s">
        <v>76</v>
      </c>
      <c r="K41" s="185"/>
    </row>
    <row r="42" spans="1:11" ht="13.5" customHeight="1" x14ac:dyDescent="0.25">
      <c r="F42" s="47"/>
      <c r="G42" s="71" t="s">
        <v>67</v>
      </c>
      <c r="H42" s="71" t="s">
        <v>47</v>
      </c>
      <c r="I42" s="47"/>
      <c r="J42" s="71" t="s">
        <v>67</v>
      </c>
      <c r="K42" s="71" t="s">
        <v>47</v>
      </c>
    </row>
    <row r="43" spans="1:11" ht="21" customHeight="1" x14ac:dyDescent="0.25">
      <c r="A43" s="198" t="s">
        <v>66</v>
      </c>
      <c r="B43" s="69" t="s">
        <v>48</v>
      </c>
      <c r="C43" s="186" t="s">
        <v>68</v>
      </c>
      <c r="D43" s="187"/>
      <c r="E43" s="69">
        <f>AVERAGE(E29,E35)</f>
        <v>750.5</v>
      </c>
      <c r="F43" s="47"/>
      <c r="G43" s="69">
        <f>(E43-E27)*G4</f>
        <v>31.025000000000002</v>
      </c>
      <c r="H43" s="69">
        <f>(E43-E27)*H4</f>
        <v>124.10000000000001</v>
      </c>
      <c r="I43" s="47"/>
      <c r="J43" s="69">
        <f>E43-G43</f>
        <v>719.47500000000002</v>
      </c>
      <c r="K43" s="69">
        <f>E43-H43</f>
        <v>626.4</v>
      </c>
    </row>
    <row r="44" spans="1:11" ht="29.25" customHeight="1" x14ac:dyDescent="0.25">
      <c r="A44" s="198"/>
      <c r="B44" s="69" t="s">
        <v>49</v>
      </c>
      <c r="C44" s="186" t="s">
        <v>69</v>
      </c>
      <c r="D44" s="187"/>
      <c r="E44" s="69">
        <f>AVERAGE(E32,E38)</f>
        <v>812.5</v>
      </c>
      <c r="F44" s="47"/>
      <c r="G44" s="69">
        <f>(E44-E27)*G4</f>
        <v>34.125</v>
      </c>
      <c r="H44" s="69">
        <f>(E44-E27)*H4</f>
        <v>136.5</v>
      </c>
      <c r="I44" s="47"/>
      <c r="J44" s="69">
        <f>E44-G44</f>
        <v>778.375</v>
      </c>
      <c r="K44" s="69">
        <f>E44-H44</f>
        <v>676</v>
      </c>
    </row>
    <row r="45" spans="1:11" x14ac:dyDescent="0.25">
      <c r="A45" s="48"/>
      <c r="B45" s="49"/>
      <c r="C45" s="50"/>
      <c r="D45" s="51"/>
      <c r="E45" s="49"/>
      <c r="F45" s="47"/>
      <c r="G45" s="51"/>
      <c r="H45" s="51"/>
      <c r="I45" s="47"/>
      <c r="J45" s="47"/>
      <c r="K45" s="47"/>
    </row>
    <row r="46" spans="1:11" x14ac:dyDescent="0.25">
      <c r="A46" s="192" t="s">
        <v>77</v>
      </c>
      <c r="B46" s="27"/>
      <c r="C46" s="42" t="s">
        <v>79</v>
      </c>
      <c r="D46" s="52" t="s">
        <v>67</v>
      </c>
      <c r="E46" s="42" t="s">
        <v>47</v>
      </c>
    </row>
    <row r="47" spans="1:11" ht="23.25" x14ac:dyDescent="0.25">
      <c r="A47" s="193"/>
      <c r="B47" s="53" t="s">
        <v>70</v>
      </c>
      <c r="C47" s="69">
        <v>25000</v>
      </c>
      <c r="D47" s="69">
        <f>C47*10%</f>
        <v>2500</v>
      </c>
      <c r="E47" s="69">
        <f>C47*90%</f>
        <v>22500</v>
      </c>
    </row>
    <row r="48" spans="1:11" ht="21" customHeight="1" x14ac:dyDescent="0.25">
      <c r="A48" s="193"/>
      <c r="B48" s="53" t="s">
        <v>68</v>
      </c>
      <c r="C48" s="69">
        <f>C47*90%</f>
        <v>22500</v>
      </c>
      <c r="D48" s="69">
        <f>D47*90%</f>
        <v>2250</v>
      </c>
      <c r="E48" s="69">
        <f>E47*90%</f>
        <v>20250</v>
      </c>
    </row>
    <row r="49" spans="1:5" ht="34.5" x14ac:dyDescent="0.25">
      <c r="A49" s="194"/>
      <c r="B49" s="53" t="s">
        <v>69</v>
      </c>
      <c r="C49" s="69">
        <f>C47*10%</f>
        <v>2500</v>
      </c>
      <c r="D49" s="69">
        <f>D47*10%</f>
        <v>250</v>
      </c>
      <c r="E49" s="69">
        <f>E47*10%</f>
        <v>2250</v>
      </c>
    </row>
    <row r="50" spans="1:5" x14ac:dyDescent="0.25">
      <c r="A50" s="47"/>
      <c r="B50" s="47"/>
      <c r="C50" s="47"/>
      <c r="D50" s="47"/>
      <c r="E50" s="47"/>
    </row>
    <row r="51" spans="1:5" x14ac:dyDescent="0.25">
      <c r="A51" s="177" t="s">
        <v>78</v>
      </c>
      <c r="C51" s="42" t="s">
        <v>109</v>
      </c>
      <c r="D51" s="52" t="s">
        <v>67</v>
      </c>
      <c r="E51" s="42" t="s">
        <v>47</v>
      </c>
    </row>
    <row r="52" spans="1:5" ht="34.5" x14ac:dyDescent="0.25">
      <c r="A52" s="177"/>
      <c r="B52" s="74" t="s">
        <v>68</v>
      </c>
      <c r="C52" s="43">
        <f>D52+E52</f>
        <v>2582831.25</v>
      </c>
      <c r="D52" s="44">
        <f>D48*G43</f>
        <v>69806.25</v>
      </c>
      <c r="E52" s="44">
        <f>E48*H43</f>
        <v>2513025</v>
      </c>
    </row>
    <row r="53" spans="1:5" ht="34.5" x14ac:dyDescent="0.25">
      <c r="A53" s="177"/>
      <c r="B53" s="74" t="s">
        <v>69</v>
      </c>
      <c r="C53" s="43">
        <f>D53+E53</f>
        <v>315656.25</v>
      </c>
      <c r="D53" s="44">
        <f>D49*G44</f>
        <v>8531.25</v>
      </c>
      <c r="E53" s="44">
        <f>E49*H44</f>
        <v>307125</v>
      </c>
    </row>
    <row r="54" spans="1:5" x14ac:dyDescent="0.25">
      <c r="A54" s="177"/>
      <c r="B54" s="75" t="s">
        <v>71</v>
      </c>
      <c r="C54" s="54">
        <f>C52+C53</f>
        <v>2898487.5</v>
      </c>
      <c r="D54" s="43">
        <f>D52+D53</f>
        <v>78337.5</v>
      </c>
      <c r="E54" s="43">
        <f>E52+E53</f>
        <v>2820150</v>
      </c>
    </row>
    <row r="55" spans="1:5" x14ac:dyDescent="0.25">
      <c r="A55" s="47"/>
      <c r="B55" s="47"/>
      <c r="C55" s="47"/>
      <c r="D55" s="47"/>
      <c r="E55" s="47"/>
    </row>
    <row r="56" spans="1:5" x14ac:dyDescent="0.25">
      <c r="A56" s="177" t="s">
        <v>80</v>
      </c>
      <c r="C56" s="42" t="s">
        <v>109</v>
      </c>
      <c r="D56" s="52" t="s">
        <v>67</v>
      </c>
      <c r="E56" s="42" t="s">
        <v>47</v>
      </c>
    </row>
    <row r="57" spans="1:5" ht="34.5" x14ac:dyDescent="0.25">
      <c r="A57" s="177"/>
      <c r="B57" s="74" t="s">
        <v>68</v>
      </c>
      <c r="C57" s="43">
        <f>D57+E57</f>
        <v>14303418.75</v>
      </c>
      <c r="D57" s="44">
        <f>D48*J43</f>
        <v>1618818.75</v>
      </c>
      <c r="E57" s="44">
        <f>E48*K43</f>
        <v>12684600</v>
      </c>
    </row>
    <row r="58" spans="1:5" ht="34.5" x14ac:dyDescent="0.25">
      <c r="A58" s="177"/>
      <c r="B58" s="74" t="s">
        <v>69</v>
      </c>
      <c r="C58" s="43">
        <f>D58+E58</f>
        <v>1715593.75</v>
      </c>
      <c r="D58" s="44">
        <f>D49*J44</f>
        <v>194593.75</v>
      </c>
      <c r="E58" s="44">
        <f>E49*K44</f>
        <v>1521000</v>
      </c>
    </row>
    <row r="59" spans="1:5" ht="23.25" x14ac:dyDescent="0.25">
      <c r="A59" s="177"/>
      <c r="B59" s="75" t="s">
        <v>99</v>
      </c>
      <c r="C59" s="54">
        <f>C57+C58</f>
        <v>16019012.5</v>
      </c>
      <c r="D59" s="43">
        <f>D57+D58</f>
        <v>1813412.5</v>
      </c>
      <c r="E59" s="43">
        <f>E57+E58</f>
        <v>14205600</v>
      </c>
    </row>
    <row r="60" spans="1:5" x14ac:dyDescent="0.25">
      <c r="A60" s="177"/>
      <c r="B60" s="75"/>
      <c r="C60" s="54"/>
      <c r="D60" s="43"/>
      <c r="E60" s="43"/>
    </row>
    <row r="61" spans="1:5" ht="23.25" x14ac:dyDescent="0.25">
      <c r="A61" s="177"/>
      <c r="B61" s="75" t="s">
        <v>100</v>
      </c>
      <c r="C61" s="54">
        <f>C47*50</f>
        <v>1250000</v>
      </c>
      <c r="D61" s="43"/>
      <c r="E61" s="43"/>
    </row>
    <row r="62" spans="1:5" ht="15.75" x14ac:dyDescent="0.25">
      <c r="A62" s="177"/>
      <c r="B62" s="75" t="s">
        <v>71</v>
      </c>
      <c r="C62" s="86">
        <f>C59+C61+E65</f>
        <v>17654012.5</v>
      </c>
      <c r="D62" s="43"/>
      <c r="E62" s="43"/>
    </row>
    <row r="63" spans="1:5" x14ac:dyDescent="0.25">
      <c r="A63" s="47"/>
      <c r="B63" s="47"/>
      <c r="C63" s="47"/>
      <c r="D63" s="47"/>
      <c r="E63" s="47"/>
    </row>
    <row r="65" spans="2:5" ht="34.5" x14ac:dyDescent="0.25">
      <c r="B65" s="73" t="s">
        <v>137</v>
      </c>
      <c r="C65">
        <f>32000-25000</f>
        <v>7000</v>
      </c>
      <c r="D65">
        <v>55</v>
      </c>
      <c r="E65">
        <f>C65*D65</f>
        <v>385000</v>
      </c>
    </row>
    <row r="67" spans="2:5" ht="18.75" x14ac:dyDescent="0.3">
      <c r="B67" s="55" t="s">
        <v>81</v>
      </c>
      <c r="C67" s="56">
        <f>C54+C62</f>
        <v>20552500</v>
      </c>
    </row>
  </sheetData>
  <mergeCells count="75">
    <mergeCell ref="A51:A54"/>
    <mergeCell ref="A56:A62"/>
    <mergeCell ref="G41:H41"/>
    <mergeCell ref="J41:K41"/>
    <mergeCell ref="A43:A44"/>
    <mergeCell ref="C43:D43"/>
    <mergeCell ref="C44:D44"/>
    <mergeCell ref="A46:A49"/>
    <mergeCell ref="J35:J36"/>
    <mergeCell ref="K35:K36"/>
    <mergeCell ref="B38:B39"/>
    <mergeCell ref="E38:E39"/>
    <mergeCell ref="G38:G39"/>
    <mergeCell ref="H38:H39"/>
    <mergeCell ref="J38:J39"/>
    <mergeCell ref="K38:K39"/>
    <mergeCell ref="K29:K30"/>
    <mergeCell ref="B32:B33"/>
    <mergeCell ref="E32:E33"/>
    <mergeCell ref="G32:G33"/>
    <mergeCell ref="H32:H33"/>
    <mergeCell ref="J32:J33"/>
    <mergeCell ref="K32:K33"/>
    <mergeCell ref="J29:J30"/>
    <mergeCell ref="A29:A39"/>
    <mergeCell ref="B29:B30"/>
    <mergeCell ref="E29:E30"/>
    <mergeCell ref="G29:G30"/>
    <mergeCell ref="H29:H30"/>
    <mergeCell ref="B35:B36"/>
    <mergeCell ref="E35:E36"/>
    <mergeCell ref="G35:G36"/>
    <mergeCell ref="H35:H36"/>
    <mergeCell ref="K19:K21"/>
    <mergeCell ref="B23:B25"/>
    <mergeCell ref="E23:E25"/>
    <mergeCell ref="G23:G25"/>
    <mergeCell ref="H23:H25"/>
    <mergeCell ref="J23:J25"/>
    <mergeCell ref="K23:K25"/>
    <mergeCell ref="J19:J21"/>
    <mergeCell ref="A19:A27"/>
    <mergeCell ref="B19:B21"/>
    <mergeCell ref="E19:E21"/>
    <mergeCell ref="G19:G21"/>
    <mergeCell ref="H19:H21"/>
    <mergeCell ref="K9:K10"/>
    <mergeCell ref="K16:K17"/>
    <mergeCell ref="B12:B14"/>
    <mergeCell ref="E12:E14"/>
    <mergeCell ref="G12:G14"/>
    <mergeCell ref="H12:H14"/>
    <mergeCell ref="J12:J14"/>
    <mergeCell ref="K12:K14"/>
    <mergeCell ref="B16:B17"/>
    <mergeCell ref="E16:E17"/>
    <mergeCell ref="G16:G17"/>
    <mergeCell ref="H16:H17"/>
    <mergeCell ref="J16:J17"/>
    <mergeCell ref="A1:K1"/>
    <mergeCell ref="G2:H2"/>
    <mergeCell ref="J2:K2"/>
    <mergeCell ref="D4:E4"/>
    <mergeCell ref="A5:A17"/>
    <mergeCell ref="B5:B7"/>
    <mergeCell ref="E5:E7"/>
    <mergeCell ref="G5:G7"/>
    <mergeCell ref="H5:H7"/>
    <mergeCell ref="J5:J7"/>
    <mergeCell ref="K5:K7"/>
    <mergeCell ref="B9:B10"/>
    <mergeCell ref="E9:E10"/>
    <mergeCell ref="G9:G10"/>
    <mergeCell ref="H9:H10"/>
    <mergeCell ref="J9:J10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opLeftCell="A52" workbookViewId="0">
      <selection activeCell="B65" sqref="B65:E65"/>
    </sheetView>
  </sheetViews>
  <sheetFormatPr defaultRowHeight="15" x14ac:dyDescent="0.25"/>
  <cols>
    <col min="2" max="2" width="18.5703125" bestFit="1" customWidth="1"/>
    <col min="3" max="3" width="42.5703125" bestFit="1" customWidth="1"/>
    <col min="4" max="4" width="17.42578125" customWidth="1"/>
    <col min="5" max="5" width="18.140625" customWidth="1"/>
    <col min="6" max="6" width="4" customWidth="1"/>
    <col min="7" max="7" width="14.5703125" bestFit="1" customWidth="1"/>
    <col min="8" max="8" width="10.42578125" customWidth="1"/>
    <col min="9" max="9" width="4" customWidth="1"/>
    <col min="10" max="10" width="14.5703125" bestFit="1" customWidth="1"/>
    <col min="11" max="11" width="10" customWidth="1"/>
    <col min="12" max="12" width="17" customWidth="1"/>
    <col min="13" max="13" width="15.5703125" customWidth="1"/>
  </cols>
  <sheetData>
    <row r="1" spans="1:11" x14ac:dyDescent="0.25">
      <c r="A1" s="202" t="s">
        <v>82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x14ac:dyDescent="0.25">
      <c r="F2" s="47"/>
      <c r="G2" s="189" t="s">
        <v>73</v>
      </c>
      <c r="H2" s="189"/>
      <c r="I2" s="47"/>
      <c r="J2" s="189" t="s">
        <v>72</v>
      </c>
      <c r="K2" s="189"/>
    </row>
    <row r="3" spans="1:11" x14ac:dyDescent="0.25">
      <c r="F3" s="47"/>
      <c r="G3" s="45" t="s">
        <v>67</v>
      </c>
      <c r="H3" s="45" t="s">
        <v>47</v>
      </c>
      <c r="I3" s="47"/>
      <c r="J3" s="45" t="s">
        <v>67</v>
      </c>
      <c r="K3" s="45" t="s">
        <v>47</v>
      </c>
    </row>
    <row r="4" spans="1:11" ht="34.5" customHeight="1" x14ac:dyDescent="0.25">
      <c r="D4" s="190" t="s">
        <v>74</v>
      </c>
      <c r="E4" s="191"/>
      <c r="F4" s="47"/>
      <c r="G4" s="46">
        <v>0</v>
      </c>
      <c r="H4" s="46">
        <v>0.1</v>
      </c>
      <c r="I4" s="47"/>
      <c r="J4" s="46">
        <v>1</v>
      </c>
      <c r="K4" s="46">
        <v>0.9</v>
      </c>
    </row>
    <row r="5" spans="1:11" x14ac:dyDescent="0.25">
      <c r="A5" s="177" t="s">
        <v>51</v>
      </c>
      <c r="B5" s="178" t="s">
        <v>43</v>
      </c>
      <c r="C5" s="27" t="s">
        <v>39</v>
      </c>
      <c r="D5" s="69">
        <f>'მკურნალობაში ჩართვის ჯგუფები'!E5</f>
        <v>60</v>
      </c>
      <c r="E5" s="179">
        <f>D5+D6+D7</f>
        <v>438</v>
      </c>
      <c r="F5" s="47"/>
      <c r="G5" s="188">
        <f>E5*$G$4</f>
        <v>0</v>
      </c>
      <c r="H5" s="188">
        <f>E5*H4</f>
        <v>43.800000000000004</v>
      </c>
      <c r="I5" s="47"/>
      <c r="J5" s="188">
        <f>E5*J4</f>
        <v>438</v>
      </c>
      <c r="K5" s="188">
        <f>E5*K4</f>
        <v>394.2</v>
      </c>
    </row>
    <row r="6" spans="1:11" x14ac:dyDescent="0.25">
      <c r="A6" s="177"/>
      <c r="B6" s="178"/>
      <c r="C6" s="27" t="s">
        <v>40</v>
      </c>
      <c r="D6" s="69">
        <f>'მკურნალობაში ჩართვის ჯგუფები'!E6</f>
        <v>369</v>
      </c>
      <c r="E6" s="179"/>
      <c r="F6" s="47"/>
      <c r="G6" s="188"/>
      <c r="H6" s="188"/>
      <c r="I6" s="47"/>
      <c r="J6" s="188"/>
      <c r="K6" s="188"/>
    </row>
    <row r="7" spans="1:11" x14ac:dyDescent="0.25">
      <c r="A7" s="177"/>
      <c r="B7" s="178"/>
      <c r="C7" s="27" t="s">
        <v>42</v>
      </c>
      <c r="D7" s="69">
        <f>'მკურნალობაში ჩართვის ჯგუფები'!E8</f>
        <v>9</v>
      </c>
      <c r="E7" s="179"/>
      <c r="F7" s="47"/>
      <c r="G7" s="188"/>
      <c r="H7" s="188"/>
      <c r="I7" s="47"/>
      <c r="J7" s="188"/>
      <c r="K7" s="188"/>
    </row>
    <row r="8" spans="1:11" x14ac:dyDescent="0.25">
      <c r="A8" s="177"/>
      <c r="D8" s="35"/>
      <c r="E8" s="36"/>
      <c r="F8" s="47"/>
      <c r="I8" s="47"/>
    </row>
    <row r="9" spans="1:11" x14ac:dyDescent="0.25">
      <c r="A9" s="177"/>
      <c r="B9" s="178" t="s">
        <v>44</v>
      </c>
      <c r="C9" s="27" t="s">
        <v>39</v>
      </c>
      <c r="D9" s="69">
        <f>'მკურნალობაში ჩართვის ჯგუფები'!E5</f>
        <v>60</v>
      </c>
      <c r="E9" s="179">
        <f>D9+D10</f>
        <v>429</v>
      </c>
      <c r="F9" s="47"/>
      <c r="G9" s="188">
        <f>E9*G4</f>
        <v>0</v>
      </c>
      <c r="H9" s="188">
        <f>E9*H4</f>
        <v>42.900000000000006</v>
      </c>
      <c r="I9" s="47"/>
      <c r="J9" s="188">
        <f>E9*J4</f>
        <v>429</v>
      </c>
      <c r="K9" s="188">
        <f>E9*K4</f>
        <v>386.1</v>
      </c>
    </row>
    <row r="10" spans="1:11" x14ac:dyDescent="0.25">
      <c r="A10" s="177"/>
      <c r="B10" s="178"/>
      <c r="C10" s="27" t="s">
        <v>40</v>
      </c>
      <c r="D10" s="69">
        <f>'მკურნალობაში ჩართვის ჯგუფები'!E6</f>
        <v>369</v>
      </c>
      <c r="E10" s="179"/>
      <c r="F10" s="47"/>
      <c r="G10" s="188"/>
      <c r="H10" s="188"/>
      <c r="I10" s="47"/>
      <c r="J10" s="188"/>
      <c r="K10" s="188"/>
    </row>
    <row r="11" spans="1:11" x14ac:dyDescent="0.25">
      <c r="A11" s="177"/>
      <c r="D11" s="35"/>
      <c r="E11" s="36"/>
      <c r="F11" s="47"/>
      <c r="I11" s="47"/>
    </row>
    <row r="12" spans="1:11" x14ac:dyDescent="0.25">
      <c r="A12" s="177"/>
      <c r="B12" s="178" t="s">
        <v>45</v>
      </c>
      <c r="C12" s="27" t="s">
        <v>39</v>
      </c>
      <c r="D12" s="69">
        <f>'მკურნალობაში ჩართვის ჯგუფები'!E5</f>
        <v>60</v>
      </c>
      <c r="E12" s="179">
        <f>D12+D13+D14</f>
        <v>358</v>
      </c>
      <c r="F12" s="47"/>
      <c r="G12" s="188">
        <f>E12*G4</f>
        <v>0</v>
      </c>
      <c r="H12" s="188">
        <f>E12*H4</f>
        <v>35.800000000000004</v>
      </c>
      <c r="I12" s="47"/>
      <c r="J12" s="188">
        <f>E12*J4</f>
        <v>358</v>
      </c>
      <c r="K12" s="188">
        <f>E12*K4</f>
        <v>322.2</v>
      </c>
    </row>
    <row r="13" spans="1:11" x14ac:dyDescent="0.25">
      <c r="A13" s="177"/>
      <c r="B13" s="178"/>
      <c r="C13" s="27" t="s">
        <v>41</v>
      </c>
      <c r="D13" s="69">
        <f>'მკურნალობაში ჩართვის ჯგუფები'!E7</f>
        <v>289</v>
      </c>
      <c r="E13" s="179"/>
      <c r="F13" s="47"/>
      <c r="G13" s="188"/>
      <c r="H13" s="188"/>
      <c r="I13" s="47"/>
      <c r="J13" s="188"/>
      <c r="K13" s="188"/>
    </row>
    <row r="14" spans="1:11" x14ac:dyDescent="0.25">
      <c r="A14" s="177"/>
      <c r="B14" s="178"/>
      <c r="C14" s="27" t="s">
        <v>42</v>
      </c>
      <c r="D14" s="69">
        <f>'მკურნალობაში ჩართვის ჯგუფები'!E8</f>
        <v>9</v>
      </c>
      <c r="E14" s="179"/>
      <c r="F14" s="47"/>
      <c r="G14" s="188"/>
      <c r="H14" s="188"/>
      <c r="I14" s="47"/>
      <c r="J14" s="188"/>
      <c r="K14" s="188"/>
    </row>
    <row r="15" spans="1:11" x14ac:dyDescent="0.25">
      <c r="A15" s="177"/>
      <c r="D15" s="35"/>
      <c r="E15" s="36"/>
      <c r="F15" s="47"/>
      <c r="I15" s="47"/>
    </row>
    <row r="16" spans="1:11" x14ac:dyDescent="0.25">
      <c r="A16" s="177"/>
      <c r="B16" s="178" t="s">
        <v>46</v>
      </c>
      <c r="C16" s="27" t="s">
        <v>39</v>
      </c>
      <c r="D16" s="69">
        <f>'მკურნალობაში ჩართვის ჯგუფები'!E5</f>
        <v>60</v>
      </c>
      <c r="E16" s="179">
        <f>D16+D17</f>
        <v>349</v>
      </c>
      <c r="F16" s="47"/>
      <c r="G16" s="188">
        <f>E16*G4</f>
        <v>0</v>
      </c>
      <c r="H16" s="188">
        <f>E16*H4</f>
        <v>34.9</v>
      </c>
      <c r="I16" s="47"/>
      <c r="J16" s="188">
        <f>E16*J4</f>
        <v>349</v>
      </c>
      <c r="K16" s="188">
        <f>E16*K4</f>
        <v>314.10000000000002</v>
      </c>
    </row>
    <row r="17" spans="1:11" x14ac:dyDescent="0.25">
      <c r="A17" s="177"/>
      <c r="B17" s="178"/>
      <c r="C17" s="27" t="s">
        <v>41</v>
      </c>
      <c r="D17" s="69">
        <f>'მკურნალობაში ჩართვის ჯგუფები'!E7</f>
        <v>289</v>
      </c>
      <c r="E17" s="179"/>
      <c r="F17" s="47"/>
      <c r="G17" s="188"/>
      <c r="H17" s="188"/>
      <c r="I17" s="47"/>
      <c r="J17" s="188"/>
      <c r="K17" s="188"/>
    </row>
    <row r="18" spans="1:11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</row>
    <row r="19" spans="1:11" x14ac:dyDescent="0.25">
      <c r="A19" s="177" t="s">
        <v>54</v>
      </c>
      <c r="B19" s="178" t="s">
        <v>55</v>
      </c>
      <c r="C19" s="29" t="s">
        <v>33</v>
      </c>
      <c r="D19" s="69">
        <f>'მონიტორინგის კვლევების ჯგუფები'!E5</f>
        <v>236</v>
      </c>
      <c r="E19" s="179">
        <f>AVERAGE(D19:D21)</f>
        <v>227</v>
      </c>
      <c r="F19" s="47"/>
      <c r="G19" s="195">
        <f>E19*G4</f>
        <v>0</v>
      </c>
      <c r="H19" s="195">
        <f>E19*H4</f>
        <v>22.700000000000003</v>
      </c>
      <c r="I19" s="47"/>
      <c r="J19" s="195">
        <f>E19*J4</f>
        <v>227</v>
      </c>
      <c r="K19" s="195">
        <f>E19*K4</f>
        <v>204.3</v>
      </c>
    </row>
    <row r="20" spans="1:11" x14ac:dyDescent="0.25">
      <c r="A20" s="177"/>
      <c r="B20" s="178"/>
      <c r="C20" s="29" t="s">
        <v>31</v>
      </c>
      <c r="D20" s="69">
        <f>'მონიტორინგის კვლევების ჯგუფები'!E6</f>
        <v>227</v>
      </c>
      <c r="E20" s="179"/>
      <c r="F20" s="47"/>
      <c r="G20" s="196"/>
      <c r="H20" s="196"/>
      <c r="I20" s="47"/>
      <c r="J20" s="196"/>
      <c r="K20" s="196"/>
    </row>
    <row r="21" spans="1:11" x14ac:dyDescent="0.25">
      <c r="A21" s="177"/>
      <c r="B21" s="178"/>
      <c r="C21" s="37" t="s">
        <v>34</v>
      </c>
      <c r="D21" s="69">
        <f>'მონიტორინგის კვლევების ჯგუფები'!E7</f>
        <v>218</v>
      </c>
      <c r="E21" s="179"/>
      <c r="F21" s="47"/>
      <c r="G21" s="197"/>
      <c r="H21" s="197"/>
      <c r="I21" s="47"/>
      <c r="J21" s="197"/>
      <c r="K21" s="197"/>
    </row>
    <row r="22" spans="1:11" x14ac:dyDescent="0.25">
      <c r="A22" s="177"/>
      <c r="E22" s="36"/>
      <c r="F22" s="47"/>
      <c r="I22" s="47"/>
    </row>
    <row r="23" spans="1:11" x14ac:dyDescent="0.25">
      <c r="A23" s="177"/>
      <c r="B23" s="178" t="s">
        <v>56</v>
      </c>
      <c r="C23" s="29" t="s">
        <v>35</v>
      </c>
      <c r="D23" s="69">
        <f>'მონიტორინგის კვლევების ჯგუფები'!E8</f>
        <v>304</v>
      </c>
      <c r="E23" s="180">
        <f>AVERAGE(D23:D25)</f>
        <v>289</v>
      </c>
      <c r="F23" s="47"/>
      <c r="G23" s="188">
        <f>E23*G4</f>
        <v>0</v>
      </c>
      <c r="H23" s="195">
        <f>E23*H4</f>
        <v>28.900000000000002</v>
      </c>
      <c r="I23" s="47"/>
      <c r="J23" s="188">
        <f>E23*J4</f>
        <v>289</v>
      </c>
      <c r="K23" s="195">
        <f>E23*K4</f>
        <v>260.10000000000002</v>
      </c>
    </row>
    <row r="24" spans="1:11" x14ac:dyDescent="0.25">
      <c r="A24" s="177"/>
      <c r="B24" s="178"/>
      <c r="C24" s="29" t="s">
        <v>32</v>
      </c>
      <c r="D24" s="69">
        <f>'მონიტორინგის კვლევების ჯგუფები'!E9</f>
        <v>286</v>
      </c>
      <c r="E24" s="181"/>
      <c r="F24" s="47"/>
      <c r="G24" s="188"/>
      <c r="H24" s="196"/>
      <c r="I24" s="47"/>
      <c r="J24" s="188"/>
      <c r="K24" s="196"/>
    </row>
    <row r="25" spans="1:11" x14ac:dyDescent="0.25">
      <c r="A25" s="177"/>
      <c r="B25" s="178"/>
      <c r="C25" s="37" t="s">
        <v>36</v>
      </c>
      <c r="D25" s="69">
        <f>'მონიტორინგის კვლევების ჯგუფები'!E10</f>
        <v>277</v>
      </c>
      <c r="E25" s="182"/>
      <c r="F25" s="47"/>
      <c r="G25" s="188"/>
      <c r="H25" s="197"/>
      <c r="I25" s="47"/>
      <c r="J25" s="188"/>
      <c r="K25" s="197"/>
    </row>
    <row r="26" spans="1:11" x14ac:dyDescent="0.25">
      <c r="A26" s="177"/>
      <c r="E26" s="36"/>
      <c r="F26" s="47"/>
      <c r="I26" s="47"/>
    </row>
    <row r="27" spans="1:11" x14ac:dyDescent="0.25">
      <c r="A27" s="177"/>
      <c r="B27" s="72" t="s">
        <v>57</v>
      </c>
      <c r="C27" s="27" t="s">
        <v>53</v>
      </c>
      <c r="D27" s="38">
        <f>'მონიტორინგის კვლევების ჯგუფები'!E11</f>
        <v>130</v>
      </c>
      <c r="E27" s="70">
        <v>130</v>
      </c>
      <c r="F27" s="47"/>
      <c r="G27" s="69">
        <v>0</v>
      </c>
      <c r="H27" s="69">
        <v>0</v>
      </c>
      <c r="I27" s="47"/>
      <c r="J27" s="69">
        <f>E27</f>
        <v>130</v>
      </c>
      <c r="K27" s="69">
        <f>E27</f>
        <v>130</v>
      </c>
    </row>
    <row r="28" spans="1:11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5">
      <c r="A29" s="199" t="s">
        <v>66</v>
      </c>
      <c r="B29" s="178" t="s">
        <v>48</v>
      </c>
      <c r="C29" s="27" t="s">
        <v>58</v>
      </c>
      <c r="D29" s="69">
        <f>E5+E19+E27</f>
        <v>795</v>
      </c>
      <c r="E29" s="179">
        <f>AVERAGE(D29:D30)</f>
        <v>790.5</v>
      </c>
      <c r="F29" s="47"/>
      <c r="G29" s="188">
        <f>(E29-E27)*G4</f>
        <v>0</v>
      </c>
      <c r="H29" s="188">
        <f>(E29-E27)*H4</f>
        <v>66.05</v>
      </c>
      <c r="I29" s="47"/>
      <c r="J29" s="188">
        <f>(E29-E27)*J4+E27</f>
        <v>790.5</v>
      </c>
      <c r="K29" s="188">
        <f>(E29-E27)*K4+E27</f>
        <v>724.45</v>
      </c>
    </row>
    <row r="30" spans="1:11" x14ac:dyDescent="0.25">
      <c r="A30" s="200"/>
      <c r="B30" s="178"/>
      <c r="C30" s="27" t="s">
        <v>60</v>
      </c>
      <c r="D30" s="69">
        <f>E9+E19+E27</f>
        <v>786</v>
      </c>
      <c r="E30" s="179"/>
      <c r="F30" s="47"/>
      <c r="G30" s="188"/>
      <c r="H30" s="188"/>
      <c r="I30" s="47"/>
      <c r="J30" s="188"/>
      <c r="K30" s="188"/>
    </row>
    <row r="31" spans="1:11" x14ac:dyDescent="0.25">
      <c r="A31" s="200"/>
      <c r="B31" s="36"/>
      <c r="D31" s="35"/>
      <c r="E31" s="36"/>
      <c r="F31" s="47"/>
      <c r="I31" s="47"/>
    </row>
    <row r="32" spans="1:11" x14ac:dyDescent="0.25">
      <c r="A32" s="200"/>
      <c r="B32" s="178" t="s">
        <v>49</v>
      </c>
      <c r="C32" s="27" t="s">
        <v>59</v>
      </c>
      <c r="D32" s="69">
        <f>E5+E23+E27</f>
        <v>857</v>
      </c>
      <c r="E32" s="179">
        <f>AVERAGE(D32:D33)</f>
        <v>852.5</v>
      </c>
      <c r="F32" s="47"/>
      <c r="G32" s="188">
        <f>(E32-E27)*G4</f>
        <v>0</v>
      </c>
      <c r="H32" s="188">
        <f>(E32-E27)*H4</f>
        <v>72.25</v>
      </c>
      <c r="I32" s="47"/>
      <c r="J32" s="188">
        <f>(E32-E27)*J4+E27</f>
        <v>852.5</v>
      </c>
      <c r="K32" s="188">
        <f>(E32-E27)*K4+E27</f>
        <v>780.25</v>
      </c>
    </row>
    <row r="33" spans="1:11" x14ac:dyDescent="0.25">
      <c r="A33" s="200"/>
      <c r="B33" s="178"/>
      <c r="C33" s="27" t="s">
        <v>61</v>
      </c>
      <c r="D33" s="69">
        <f>E9+E23+E27</f>
        <v>848</v>
      </c>
      <c r="E33" s="179"/>
      <c r="F33" s="47"/>
      <c r="G33" s="188"/>
      <c r="H33" s="188"/>
      <c r="I33" s="47"/>
      <c r="J33" s="188"/>
      <c r="K33" s="188"/>
    </row>
    <row r="34" spans="1:11" x14ac:dyDescent="0.25">
      <c r="A34" s="200"/>
      <c r="B34" s="36"/>
      <c r="D34" s="35"/>
      <c r="E34" s="36"/>
      <c r="F34" s="47"/>
      <c r="I34" s="47"/>
    </row>
    <row r="35" spans="1:11" x14ac:dyDescent="0.25">
      <c r="A35" s="200"/>
      <c r="B35" s="178" t="s">
        <v>52</v>
      </c>
      <c r="C35" s="27" t="s">
        <v>62</v>
      </c>
      <c r="D35" s="69">
        <f>E12+E19+E27</f>
        <v>715</v>
      </c>
      <c r="E35" s="179">
        <f>AVERAGE(D35:D36)</f>
        <v>710.5</v>
      </c>
      <c r="F35" s="47"/>
      <c r="G35" s="188">
        <f>(E35-E27)*G4</f>
        <v>0</v>
      </c>
      <c r="H35" s="188">
        <f>(E35-E27)*H4</f>
        <v>58.050000000000004</v>
      </c>
      <c r="I35" s="47"/>
      <c r="J35" s="188">
        <f>(E35-E27)*J4+E27</f>
        <v>710.5</v>
      </c>
      <c r="K35" s="188">
        <f>(E35-E27)*K4+E27</f>
        <v>652.45000000000005</v>
      </c>
    </row>
    <row r="36" spans="1:11" x14ac:dyDescent="0.25">
      <c r="A36" s="200"/>
      <c r="B36" s="178"/>
      <c r="C36" s="27" t="s">
        <v>64</v>
      </c>
      <c r="D36" s="69">
        <f>E16+E19+E27</f>
        <v>706</v>
      </c>
      <c r="E36" s="179"/>
      <c r="F36" s="47"/>
      <c r="G36" s="188"/>
      <c r="H36" s="188"/>
      <c r="I36" s="47"/>
      <c r="J36" s="188"/>
      <c r="K36" s="188"/>
    </row>
    <row r="37" spans="1:11" x14ac:dyDescent="0.25">
      <c r="A37" s="200"/>
      <c r="B37" s="36"/>
      <c r="D37" s="35"/>
      <c r="E37" s="36"/>
      <c r="F37" s="47"/>
      <c r="I37" s="47"/>
    </row>
    <row r="38" spans="1:11" x14ac:dyDescent="0.25">
      <c r="A38" s="200"/>
      <c r="B38" s="183" t="s">
        <v>50</v>
      </c>
      <c r="C38" s="27" t="s">
        <v>63</v>
      </c>
      <c r="D38" s="69">
        <f>E12+E23+E27</f>
        <v>777</v>
      </c>
      <c r="E38" s="179">
        <f>AVERAGE(D38:D39)</f>
        <v>772.5</v>
      </c>
      <c r="F38" s="47"/>
      <c r="G38" s="188">
        <f>(E38-E27)*G4</f>
        <v>0</v>
      </c>
      <c r="H38" s="188">
        <f>(E38-E27)*H4</f>
        <v>64.25</v>
      </c>
      <c r="I38" s="47"/>
      <c r="J38" s="188">
        <f>(E38-E27)*J4+E27</f>
        <v>772.5</v>
      </c>
      <c r="K38" s="188">
        <f>(E38-E27)*K4+E27</f>
        <v>708.25</v>
      </c>
    </row>
    <row r="39" spans="1:11" x14ac:dyDescent="0.25">
      <c r="A39" s="201"/>
      <c r="B39" s="184"/>
      <c r="C39" s="27" t="s">
        <v>65</v>
      </c>
      <c r="D39" s="69">
        <f>E16+E23+E27</f>
        <v>768</v>
      </c>
      <c r="E39" s="179"/>
      <c r="F39" s="47"/>
      <c r="G39" s="188"/>
      <c r="H39" s="188"/>
      <c r="I39" s="47"/>
      <c r="J39" s="188"/>
      <c r="K39" s="188"/>
    </row>
    <row r="40" spans="1:11" x14ac:dyDescent="0.25">
      <c r="A40" s="48"/>
      <c r="B40" s="49"/>
      <c r="C40" s="50"/>
      <c r="D40" s="51"/>
      <c r="E40" s="49"/>
      <c r="F40" s="47"/>
      <c r="G40" s="51"/>
      <c r="H40" s="51"/>
      <c r="I40" s="47"/>
      <c r="J40" s="47"/>
      <c r="K40" s="47"/>
    </row>
    <row r="41" spans="1:11" x14ac:dyDescent="0.25">
      <c r="F41" s="47"/>
      <c r="G41" s="185" t="s">
        <v>75</v>
      </c>
      <c r="H41" s="185"/>
      <c r="I41" s="47"/>
      <c r="J41" s="185" t="s">
        <v>76</v>
      </c>
      <c r="K41" s="185"/>
    </row>
    <row r="42" spans="1:11" ht="13.5" customHeight="1" x14ac:dyDescent="0.25">
      <c r="F42" s="47"/>
      <c r="G42" s="71" t="s">
        <v>67</v>
      </c>
      <c r="H42" s="71" t="s">
        <v>47</v>
      </c>
      <c r="I42" s="47"/>
      <c r="J42" s="71" t="s">
        <v>67</v>
      </c>
      <c r="K42" s="71" t="s">
        <v>47</v>
      </c>
    </row>
    <row r="43" spans="1:11" ht="21" customHeight="1" x14ac:dyDescent="0.25">
      <c r="A43" s="198" t="s">
        <v>66</v>
      </c>
      <c r="B43" s="69" t="s">
        <v>48</v>
      </c>
      <c r="C43" s="186" t="s">
        <v>68</v>
      </c>
      <c r="D43" s="187"/>
      <c r="E43" s="69">
        <f>AVERAGE(E29,E35)</f>
        <v>750.5</v>
      </c>
      <c r="F43" s="47"/>
      <c r="G43" s="69">
        <f>(E43-E27)*G4</f>
        <v>0</v>
      </c>
      <c r="H43" s="69">
        <f>(E43-E27)*H4</f>
        <v>62.050000000000004</v>
      </c>
      <c r="I43" s="47"/>
      <c r="J43" s="69">
        <f>E43-G43</f>
        <v>750.5</v>
      </c>
      <c r="K43" s="69">
        <f>E43-H43</f>
        <v>688.45</v>
      </c>
    </row>
    <row r="44" spans="1:11" ht="29.25" customHeight="1" x14ac:dyDescent="0.25">
      <c r="A44" s="198"/>
      <c r="B44" s="69" t="s">
        <v>49</v>
      </c>
      <c r="C44" s="186" t="s">
        <v>69</v>
      </c>
      <c r="D44" s="187"/>
      <c r="E44" s="69">
        <f>AVERAGE(E32,E38)</f>
        <v>812.5</v>
      </c>
      <c r="F44" s="47"/>
      <c r="G44" s="69">
        <f>(E44-E27)*G4</f>
        <v>0</v>
      </c>
      <c r="H44" s="69">
        <f>(E44-E27)*H4</f>
        <v>68.25</v>
      </c>
      <c r="I44" s="47"/>
      <c r="J44" s="69">
        <f>E44-G44</f>
        <v>812.5</v>
      </c>
      <c r="K44" s="69">
        <f>E44-H44</f>
        <v>744.25</v>
      </c>
    </row>
    <row r="45" spans="1:11" x14ac:dyDescent="0.25">
      <c r="A45" s="48"/>
      <c r="B45" s="49"/>
      <c r="C45" s="50"/>
      <c r="D45" s="51"/>
      <c r="E45" s="49"/>
      <c r="F45" s="47"/>
      <c r="G45" s="51"/>
      <c r="H45" s="51"/>
      <c r="I45" s="47"/>
      <c r="J45" s="47"/>
      <c r="K45" s="47"/>
    </row>
    <row r="46" spans="1:11" x14ac:dyDescent="0.25">
      <c r="A46" s="192" t="s">
        <v>77</v>
      </c>
      <c r="B46" s="27"/>
      <c r="C46" s="42" t="s">
        <v>79</v>
      </c>
      <c r="D46" s="52" t="s">
        <v>67</v>
      </c>
      <c r="E46" s="42" t="s">
        <v>47</v>
      </c>
    </row>
    <row r="47" spans="1:11" ht="23.25" x14ac:dyDescent="0.25">
      <c r="A47" s="193"/>
      <c r="B47" s="53" t="s">
        <v>70</v>
      </c>
      <c r="C47" s="69">
        <v>25000</v>
      </c>
      <c r="D47" s="69">
        <f>C47*10%</f>
        <v>2500</v>
      </c>
      <c r="E47" s="69">
        <f>C47*90%</f>
        <v>22500</v>
      </c>
    </row>
    <row r="48" spans="1:11" ht="21" customHeight="1" x14ac:dyDescent="0.25">
      <c r="A48" s="193"/>
      <c r="B48" s="53" t="s">
        <v>68</v>
      </c>
      <c r="C48" s="69">
        <f>C47*90%</f>
        <v>22500</v>
      </c>
      <c r="D48" s="69">
        <f>D47*90%</f>
        <v>2250</v>
      </c>
      <c r="E48" s="69">
        <f>E47*90%</f>
        <v>20250</v>
      </c>
    </row>
    <row r="49" spans="1:5" ht="34.5" x14ac:dyDescent="0.25">
      <c r="A49" s="194"/>
      <c r="B49" s="53" t="s">
        <v>69</v>
      </c>
      <c r="C49" s="69">
        <f>C47*10%</f>
        <v>2500</v>
      </c>
      <c r="D49" s="69">
        <f>D47*10%</f>
        <v>250</v>
      </c>
      <c r="E49" s="69">
        <f>E47*10%</f>
        <v>2250</v>
      </c>
    </row>
    <row r="50" spans="1:5" x14ac:dyDescent="0.25">
      <c r="A50" s="47"/>
      <c r="B50" s="47"/>
      <c r="C50" s="47"/>
      <c r="D50" s="47"/>
      <c r="E50" s="47"/>
    </row>
    <row r="51" spans="1:5" x14ac:dyDescent="0.25">
      <c r="A51" s="177" t="s">
        <v>78</v>
      </c>
      <c r="C51" s="42" t="s">
        <v>109</v>
      </c>
      <c r="D51" s="52" t="s">
        <v>67</v>
      </c>
      <c r="E51" s="42" t="s">
        <v>47</v>
      </c>
    </row>
    <row r="52" spans="1:5" ht="34.5" x14ac:dyDescent="0.25">
      <c r="A52" s="177"/>
      <c r="B52" s="74" t="s">
        <v>68</v>
      </c>
      <c r="C52" s="43">
        <f>D52+E52</f>
        <v>1256512.5</v>
      </c>
      <c r="D52" s="44">
        <f>D48*G43</f>
        <v>0</v>
      </c>
      <c r="E52" s="44">
        <f>E48*H43</f>
        <v>1256512.5</v>
      </c>
    </row>
    <row r="53" spans="1:5" ht="34.5" x14ac:dyDescent="0.25">
      <c r="A53" s="177"/>
      <c r="B53" s="74" t="s">
        <v>69</v>
      </c>
      <c r="C53" s="43">
        <f>D53+E53</f>
        <v>153562.5</v>
      </c>
      <c r="D53" s="44">
        <f>D49*G44</f>
        <v>0</v>
      </c>
      <c r="E53" s="44">
        <f>E49*H44</f>
        <v>153562.5</v>
      </c>
    </row>
    <row r="54" spans="1:5" x14ac:dyDescent="0.25">
      <c r="A54" s="177"/>
      <c r="B54" s="75" t="s">
        <v>71</v>
      </c>
      <c r="C54" s="54">
        <f>C52+C53</f>
        <v>1410075</v>
      </c>
      <c r="D54" s="43">
        <f>D52+D53</f>
        <v>0</v>
      </c>
      <c r="E54" s="43">
        <f>E52+E53</f>
        <v>1410075</v>
      </c>
    </row>
    <row r="55" spans="1:5" x14ac:dyDescent="0.25">
      <c r="A55" s="47"/>
      <c r="B55" s="47"/>
      <c r="C55" s="47"/>
      <c r="D55" s="47"/>
      <c r="E55" s="47"/>
    </row>
    <row r="56" spans="1:5" x14ac:dyDescent="0.25">
      <c r="A56" s="177" t="s">
        <v>80</v>
      </c>
      <c r="C56" s="42" t="s">
        <v>109</v>
      </c>
      <c r="D56" s="52" t="s">
        <v>67</v>
      </c>
      <c r="E56" s="42" t="s">
        <v>47</v>
      </c>
    </row>
    <row r="57" spans="1:5" ht="34.5" x14ac:dyDescent="0.25">
      <c r="A57" s="177"/>
      <c r="B57" s="74" t="s">
        <v>68</v>
      </c>
      <c r="C57" s="43">
        <f>D57+E57</f>
        <v>15629737.5</v>
      </c>
      <c r="D57" s="44">
        <f>D48*J43</f>
        <v>1688625</v>
      </c>
      <c r="E57" s="44">
        <f>E48*K43</f>
        <v>13941112.5</v>
      </c>
    </row>
    <row r="58" spans="1:5" ht="34.5" x14ac:dyDescent="0.25">
      <c r="A58" s="177"/>
      <c r="B58" s="74" t="s">
        <v>69</v>
      </c>
      <c r="C58" s="43">
        <f>D58+E58</f>
        <v>1877687.5</v>
      </c>
      <c r="D58" s="44">
        <f>D49*J44</f>
        <v>203125</v>
      </c>
      <c r="E58" s="44">
        <f>E49*K44</f>
        <v>1674562.5</v>
      </c>
    </row>
    <row r="59" spans="1:5" ht="23.25" x14ac:dyDescent="0.25">
      <c r="A59" s="177"/>
      <c r="B59" s="75" t="s">
        <v>99</v>
      </c>
      <c r="C59" s="54">
        <f>C57+C58</f>
        <v>17507425</v>
      </c>
      <c r="D59" s="43">
        <f>D57+D58</f>
        <v>1891750</v>
      </c>
      <c r="E59" s="43">
        <f>E57+E58</f>
        <v>15615675</v>
      </c>
    </row>
    <row r="60" spans="1:5" x14ac:dyDescent="0.25">
      <c r="A60" s="177"/>
      <c r="B60" s="75"/>
      <c r="C60" s="54"/>
      <c r="D60" s="43"/>
      <c r="E60" s="43"/>
    </row>
    <row r="61" spans="1:5" ht="23.25" x14ac:dyDescent="0.25">
      <c r="A61" s="177"/>
      <c r="B61" s="75" t="s">
        <v>100</v>
      </c>
      <c r="C61" s="54">
        <f>C47*50</f>
        <v>1250000</v>
      </c>
      <c r="D61" s="43"/>
      <c r="E61" s="43"/>
    </row>
    <row r="62" spans="1:5" ht="15.75" x14ac:dyDescent="0.25">
      <c r="A62" s="177"/>
      <c r="B62" s="75" t="s">
        <v>71</v>
      </c>
      <c r="C62" s="86">
        <f>C59+C61+E65</f>
        <v>19142425</v>
      </c>
      <c r="D62" s="43"/>
      <c r="E62" s="43"/>
    </row>
    <row r="63" spans="1:5" x14ac:dyDescent="0.25">
      <c r="A63" s="47"/>
      <c r="B63" s="47"/>
      <c r="C63" s="47"/>
      <c r="D63" s="47"/>
      <c r="E63" s="47"/>
    </row>
    <row r="65" spans="2:5" ht="34.5" x14ac:dyDescent="0.25">
      <c r="B65" s="73" t="s">
        <v>137</v>
      </c>
      <c r="C65">
        <f>32000-25000</f>
        <v>7000</v>
      </c>
      <c r="D65">
        <v>55</v>
      </c>
      <c r="E65">
        <f>C65*D65</f>
        <v>385000</v>
      </c>
    </row>
    <row r="67" spans="2:5" ht="18.75" x14ac:dyDescent="0.3">
      <c r="B67" s="55" t="s">
        <v>81</v>
      </c>
      <c r="C67" s="56">
        <f>C54+C62</f>
        <v>20552500</v>
      </c>
    </row>
  </sheetData>
  <mergeCells count="75">
    <mergeCell ref="A51:A54"/>
    <mergeCell ref="A56:A62"/>
    <mergeCell ref="G41:H41"/>
    <mergeCell ref="J41:K41"/>
    <mergeCell ref="A43:A44"/>
    <mergeCell ref="C43:D43"/>
    <mergeCell ref="C44:D44"/>
    <mergeCell ref="A46:A49"/>
    <mergeCell ref="J35:J36"/>
    <mergeCell ref="K35:K36"/>
    <mergeCell ref="B38:B39"/>
    <mergeCell ref="E38:E39"/>
    <mergeCell ref="G38:G39"/>
    <mergeCell ref="H38:H39"/>
    <mergeCell ref="J38:J39"/>
    <mergeCell ref="K38:K39"/>
    <mergeCell ref="K29:K30"/>
    <mergeCell ref="B32:B33"/>
    <mergeCell ref="E32:E33"/>
    <mergeCell ref="G32:G33"/>
    <mergeCell ref="H32:H33"/>
    <mergeCell ref="J32:J33"/>
    <mergeCell ref="K32:K33"/>
    <mergeCell ref="J29:J30"/>
    <mergeCell ref="A29:A39"/>
    <mergeCell ref="B29:B30"/>
    <mergeCell ref="E29:E30"/>
    <mergeCell ref="G29:G30"/>
    <mergeCell ref="H29:H30"/>
    <mergeCell ref="B35:B36"/>
    <mergeCell ref="E35:E36"/>
    <mergeCell ref="G35:G36"/>
    <mergeCell ref="H35:H36"/>
    <mergeCell ref="K19:K21"/>
    <mergeCell ref="B23:B25"/>
    <mergeCell ref="E23:E25"/>
    <mergeCell ref="G23:G25"/>
    <mergeCell ref="H23:H25"/>
    <mergeCell ref="J23:J25"/>
    <mergeCell ref="K23:K25"/>
    <mergeCell ref="J19:J21"/>
    <mergeCell ref="A19:A27"/>
    <mergeCell ref="B19:B21"/>
    <mergeCell ref="E19:E21"/>
    <mergeCell ref="G19:G21"/>
    <mergeCell ref="H19:H21"/>
    <mergeCell ref="K9:K10"/>
    <mergeCell ref="K16:K17"/>
    <mergeCell ref="B12:B14"/>
    <mergeCell ref="E12:E14"/>
    <mergeCell ref="G12:G14"/>
    <mergeCell ref="H12:H14"/>
    <mergeCell ref="J12:J14"/>
    <mergeCell ref="K12:K14"/>
    <mergeCell ref="B16:B17"/>
    <mergeCell ref="E16:E17"/>
    <mergeCell ref="G16:G17"/>
    <mergeCell ref="H16:H17"/>
    <mergeCell ref="J16:J17"/>
    <mergeCell ref="A1:K1"/>
    <mergeCell ref="G2:H2"/>
    <mergeCell ref="J2:K2"/>
    <mergeCell ref="D4:E4"/>
    <mergeCell ref="A5:A17"/>
    <mergeCell ref="B5:B7"/>
    <mergeCell ref="E5:E7"/>
    <mergeCell ref="G5:G7"/>
    <mergeCell ref="H5:H7"/>
    <mergeCell ref="J5:J7"/>
    <mergeCell ref="K5:K7"/>
    <mergeCell ref="B9:B10"/>
    <mergeCell ref="E9:E10"/>
    <mergeCell ref="G9:G10"/>
    <mergeCell ref="H9:H10"/>
    <mergeCell ref="J9:J10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opLeftCell="A49" workbookViewId="0">
      <selection activeCell="C63" sqref="C63"/>
    </sheetView>
  </sheetViews>
  <sheetFormatPr defaultRowHeight="15" x14ac:dyDescent="0.25"/>
  <cols>
    <col min="2" max="2" width="18.5703125" bestFit="1" customWidth="1"/>
    <col min="3" max="3" width="42.5703125" bestFit="1" customWidth="1"/>
    <col min="4" max="4" width="17.42578125" customWidth="1"/>
    <col min="5" max="5" width="18.140625" customWidth="1"/>
    <col min="6" max="6" width="4" customWidth="1"/>
    <col min="7" max="7" width="14.5703125" bestFit="1" customWidth="1"/>
    <col min="8" max="8" width="10.42578125" customWidth="1"/>
    <col min="9" max="9" width="4" customWidth="1"/>
    <col min="10" max="10" width="14.5703125" bestFit="1" customWidth="1"/>
    <col min="11" max="11" width="10" customWidth="1"/>
    <col min="12" max="12" width="17" customWidth="1"/>
    <col min="13" max="13" width="15.5703125" customWidth="1"/>
  </cols>
  <sheetData>
    <row r="1" spans="1:11" x14ac:dyDescent="0.25">
      <c r="A1" s="202" t="s">
        <v>82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x14ac:dyDescent="0.25">
      <c r="F2" s="47"/>
      <c r="G2" s="189" t="s">
        <v>73</v>
      </c>
      <c r="H2" s="189"/>
      <c r="I2" s="47"/>
      <c r="J2" s="189" t="s">
        <v>72</v>
      </c>
      <c r="K2" s="189"/>
    </row>
    <row r="3" spans="1:11" x14ac:dyDescent="0.25">
      <c r="F3" s="47"/>
      <c r="G3" s="45" t="s">
        <v>67</v>
      </c>
      <c r="H3" s="45" t="s">
        <v>47</v>
      </c>
      <c r="I3" s="47"/>
      <c r="J3" s="45" t="s">
        <v>67</v>
      </c>
      <c r="K3" s="45" t="s">
        <v>47</v>
      </c>
    </row>
    <row r="4" spans="1:11" ht="34.5" customHeight="1" x14ac:dyDescent="0.25">
      <c r="D4" s="190" t="s">
        <v>74</v>
      </c>
      <c r="E4" s="191"/>
      <c r="F4" s="47"/>
      <c r="G4" s="46">
        <v>0</v>
      </c>
      <c r="H4" s="46">
        <v>0</v>
      </c>
      <c r="I4" s="47"/>
      <c r="J4" s="46">
        <v>1</v>
      </c>
      <c r="K4" s="46">
        <v>1</v>
      </c>
    </row>
    <row r="5" spans="1:11" x14ac:dyDescent="0.25">
      <c r="A5" s="177" t="s">
        <v>51</v>
      </c>
      <c r="B5" s="178" t="s">
        <v>43</v>
      </c>
      <c r="C5" s="27" t="s">
        <v>39</v>
      </c>
      <c r="D5" s="69">
        <f>'მკურნალობაში ჩართვის ჯგუფები'!E5</f>
        <v>60</v>
      </c>
      <c r="E5" s="179">
        <f>D5+D6+D7</f>
        <v>438</v>
      </c>
      <c r="F5" s="47"/>
      <c r="G5" s="188">
        <f>E5*$G$4</f>
        <v>0</v>
      </c>
      <c r="H5" s="188">
        <f>E5*H4</f>
        <v>0</v>
      </c>
      <c r="I5" s="47"/>
      <c r="J5" s="188">
        <f>E5*J4</f>
        <v>438</v>
      </c>
      <c r="K5" s="188">
        <f>E5*K4</f>
        <v>438</v>
      </c>
    </row>
    <row r="6" spans="1:11" x14ac:dyDescent="0.25">
      <c r="A6" s="177"/>
      <c r="B6" s="178"/>
      <c r="C6" s="27" t="s">
        <v>40</v>
      </c>
      <c r="D6" s="69">
        <f>'მკურნალობაში ჩართვის ჯგუფები'!E6</f>
        <v>369</v>
      </c>
      <c r="E6" s="179"/>
      <c r="F6" s="47"/>
      <c r="G6" s="188"/>
      <c r="H6" s="188"/>
      <c r="I6" s="47"/>
      <c r="J6" s="188"/>
      <c r="K6" s="188"/>
    </row>
    <row r="7" spans="1:11" x14ac:dyDescent="0.25">
      <c r="A7" s="177"/>
      <c r="B7" s="178"/>
      <c r="C7" s="27" t="s">
        <v>42</v>
      </c>
      <c r="D7" s="69">
        <f>'მკურნალობაში ჩართვის ჯგუფები'!E8</f>
        <v>9</v>
      </c>
      <c r="E7" s="179"/>
      <c r="F7" s="47"/>
      <c r="G7" s="188"/>
      <c r="H7" s="188"/>
      <c r="I7" s="47"/>
      <c r="J7" s="188"/>
      <c r="K7" s="188"/>
    </row>
    <row r="8" spans="1:11" x14ac:dyDescent="0.25">
      <c r="A8" s="177"/>
      <c r="D8" s="35"/>
      <c r="E8" s="36"/>
      <c r="F8" s="47"/>
      <c r="I8" s="47"/>
    </row>
    <row r="9" spans="1:11" x14ac:dyDescent="0.25">
      <c r="A9" s="177"/>
      <c r="B9" s="178" t="s">
        <v>44</v>
      </c>
      <c r="C9" s="27" t="s">
        <v>39</v>
      </c>
      <c r="D9" s="69">
        <f>'მკურნალობაში ჩართვის ჯგუფები'!E5</f>
        <v>60</v>
      </c>
      <c r="E9" s="179">
        <f>D9+D10</f>
        <v>429</v>
      </c>
      <c r="F9" s="47"/>
      <c r="G9" s="188">
        <f>E9*G4</f>
        <v>0</v>
      </c>
      <c r="H9" s="188">
        <f>E9*H4</f>
        <v>0</v>
      </c>
      <c r="I9" s="47"/>
      <c r="J9" s="188">
        <f>E9*J4</f>
        <v>429</v>
      </c>
      <c r="K9" s="188">
        <f>E9*K4</f>
        <v>429</v>
      </c>
    </row>
    <row r="10" spans="1:11" x14ac:dyDescent="0.25">
      <c r="A10" s="177"/>
      <c r="B10" s="178"/>
      <c r="C10" s="27" t="s">
        <v>40</v>
      </c>
      <c r="D10" s="69">
        <f>'მკურნალობაში ჩართვის ჯგუფები'!E6</f>
        <v>369</v>
      </c>
      <c r="E10" s="179"/>
      <c r="F10" s="47"/>
      <c r="G10" s="188"/>
      <c r="H10" s="188"/>
      <c r="I10" s="47"/>
      <c r="J10" s="188"/>
      <c r="K10" s="188"/>
    </row>
    <row r="11" spans="1:11" x14ac:dyDescent="0.25">
      <c r="A11" s="177"/>
      <c r="D11" s="35"/>
      <c r="E11" s="36"/>
      <c r="F11" s="47"/>
      <c r="I11" s="47"/>
    </row>
    <row r="12" spans="1:11" x14ac:dyDescent="0.25">
      <c r="A12" s="177"/>
      <c r="B12" s="178" t="s">
        <v>45</v>
      </c>
      <c r="C12" s="27" t="s">
        <v>39</v>
      </c>
      <c r="D12" s="69">
        <f>'მკურნალობაში ჩართვის ჯგუფები'!E5</f>
        <v>60</v>
      </c>
      <c r="E12" s="179">
        <f>D12+D13+D14</f>
        <v>358</v>
      </c>
      <c r="F12" s="47"/>
      <c r="G12" s="188">
        <f>E12*G4</f>
        <v>0</v>
      </c>
      <c r="H12" s="188">
        <f>E12*H4</f>
        <v>0</v>
      </c>
      <c r="I12" s="47"/>
      <c r="J12" s="188">
        <f>E12*J4</f>
        <v>358</v>
      </c>
      <c r="K12" s="188">
        <f>E12*K4</f>
        <v>358</v>
      </c>
    </row>
    <row r="13" spans="1:11" x14ac:dyDescent="0.25">
      <c r="A13" s="177"/>
      <c r="B13" s="178"/>
      <c r="C13" s="27" t="s">
        <v>41</v>
      </c>
      <c r="D13" s="69">
        <f>'მკურნალობაში ჩართვის ჯგუფები'!E7</f>
        <v>289</v>
      </c>
      <c r="E13" s="179"/>
      <c r="F13" s="47"/>
      <c r="G13" s="188"/>
      <c r="H13" s="188"/>
      <c r="I13" s="47"/>
      <c r="J13" s="188"/>
      <c r="K13" s="188"/>
    </row>
    <row r="14" spans="1:11" x14ac:dyDescent="0.25">
      <c r="A14" s="177"/>
      <c r="B14" s="178"/>
      <c r="C14" s="27" t="s">
        <v>42</v>
      </c>
      <c r="D14" s="69">
        <f>'მკურნალობაში ჩართვის ჯგუფები'!E8</f>
        <v>9</v>
      </c>
      <c r="E14" s="179"/>
      <c r="F14" s="47"/>
      <c r="G14" s="188"/>
      <c r="H14" s="188"/>
      <c r="I14" s="47"/>
      <c r="J14" s="188"/>
      <c r="K14" s="188"/>
    </row>
    <row r="15" spans="1:11" x14ac:dyDescent="0.25">
      <c r="A15" s="177"/>
      <c r="D15" s="35"/>
      <c r="E15" s="36"/>
      <c r="F15" s="47"/>
      <c r="I15" s="47"/>
    </row>
    <row r="16" spans="1:11" x14ac:dyDescent="0.25">
      <c r="A16" s="177"/>
      <c r="B16" s="178" t="s">
        <v>46</v>
      </c>
      <c r="C16" s="27" t="s">
        <v>39</v>
      </c>
      <c r="D16" s="69">
        <f>'მკურნალობაში ჩართვის ჯგუფები'!E5</f>
        <v>60</v>
      </c>
      <c r="E16" s="179">
        <f>D16+D17</f>
        <v>349</v>
      </c>
      <c r="F16" s="47"/>
      <c r="G16" s="188">
        <f>E16*G4</f>
        <v>0</v>
      </c>
      <c r="H16" s="188">
        <f>E16*H4</f>
        <v>0</v>
      </c>
      <c r="I16" s="47"/>
      <c r="J16" s="188">
        <f>E16*J4</f>
        <v>349</v>
      </c>
      <c r="K16" s="188">
        <f>E16*K4</f>
        <v>349</v>
      </c>
    </row>
    <row r="17" spans="1:11" x14ac:dyDescent="0.25">
      <c r="A17" s="177"/>
      <c r="B17" s="178"/>
      <c r="C17" s="27" t="s">
        <v>41</v>
      </c>
      <c r="D17" s="69">
        <f>'მკურნალობაში ჩართვის ჯგუფები'!E7</f>
        <v>289</v>
      </c>
      <c r="E17" s="179"/>
      <c r="F17" s="47"/>
      <c r="G17" s="188"/>
      <c r="H17" s="188"/>
      <c r="I17" s="47"/>
      <c r="J17" s="188"/>
      <c r="K17" s="188"/>
    </row>
    <row r="18" spans="1:11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</row>
    <row r="19" spans="1:11" x14ac:dyDescent="0.25">
      <c r="A19" s="177" t="s">
        <v>54</v>
      </c>
      <c r="B19" s="178" t="s">
        <v>55</v>
      </c>
      <c r="C19" s="29" t="s">
        <v>33</v>
      </c>
      <c r="D19" s="69">
        <f>'მონიტორინგის კვლევების ჯგუფები'!E5</f>
        <v>236</v>
      </c>
      <c r="E19" s="179">
        <f>AVERAGE(D19:D21)</f>
        <v>227</v>
      </c>
      <c r="F19" s="47"/>
      <c r="G19" s="195">
        <f>E19*G4</f>
        <v>0</v>
      </c>
      <c r="H19" s="195">
        <f>E19*H4</f>
        <v>0</v>
      </c>
      <c r="I19" s="47"/>
      <c r="J19" s="195">
        <f>E19*J4</f>
        <v>227</v>
      </c>
      <c r="K19" s="195">
        <f>E19*K4</f>
        <v>227</v>
      </c>
    </row>
    <row r="20" spans="1:11" x14ac:dyDescent="0.25">
      <c r="A20" s="177"/>
      <c r="B20" s="178"/>
      <c r="C20" s="29" t="s">
        <v>31</v>
      </c>
      <c r="D20" s="69">
        <f>'მონიტორინგის კვლევების ჯგუფები'!E6</f>
        <v>227</v>
      </c>
      <c r="E20" s="179"/>
      <c r="F20" s="47"/>
      <c r="G20" s="196"/>
      <c r="H20" s="196"/>
      <c r="I20" s="47"/>
      <c r="J20" s="196"/>
      <c r="K20" s="196"/>
    </row>
    <row r="21" spans="1:11" x14ac:dyDescent="0.25">
      <c r="A21" s="177"/>
      <c r="B21" s="178"/>
      <c r="C21" s="37" t="s">
        <v>34</v>
      </c>
      <c r="D21" s="69">
        <f>'მონიტორინგის კვლევების ჯგუფები'!E7</f>
        <v>218</v>
      </c>
      <c r="E21" s="179"/>
      <c r="F21" s="47"/>
      <c r="G21" s="197"/>
      <c r="H21" s="197"/>
      <c r="I21" s="47"/>
      <c r="J21" s="197"/>
      <c r="K21" s="197"/>
    </row>
    <row r="22" spans="1:11" x14ac:dyDescent="0.25">
      <c r="A22" s="177"/>
      <c r="E22" s="36"/>
      <c r="F22" s="47"/>
      <c r="I22" s="47"/>
    </row>
    <row r="23" spans="1:11" x14ac:dyDescent="0.25">
      <c r="A23" s="177"/>
      <c r="B23" s="178" t="s">
        <v>56</v>
      </c>
      <c r="C23" s="29" t="s">
        <v>35</v>
      </c>
      <c r="D23" s="69">
        <f>'მონიტორინგის კვლევების ჯგუფები'!E8</f>
        <v>304</v>
      </c>
      <c r="E23" s="180">
        <f>AVERAGE(D23:D25)</f>
        <v>289</v>
      </c>
      <c r="F23" s="47"/>
      <c r="G23" s="188">
        <f>E23*G4</f>
        <v>0</v>
      </c>
      <c r="H23" s="195">
        <f>E23*H4</f>
        <v>0</v>
      </c>
      <c r="I23" s="47"/>
      <c r="J23" s="188">
        <f>E23*J4</f>
        <v>289</v>
      </c>
      <c r="K23" s="195">
        <f>E23*K4</f>
        <v>289</v>
      </c>
    </row>
    <row r="24" spans="1:11" x14ac:dyDescent="0.25">
      <c r="A24" s="177"/>
      <c r="B24" s="178"/>
      <c r="C24" s="29" t="s">
        <v>32</v>
      </c>
      <c r="D24" s="69">
        <f>'მონიტორინგის კვლევების ჯგუფები'!E9</f>
        <v>286</v>
      </c>
      <c r="E24" s="181"/>
      <c r="F24" s="47"/>
      <c r="G24" s="188"/>
      <c r="H24" s="196"/>
      <c r="I24" s="47"/>
      <c r="J24" s="188"/>
      <c r="K24" s="196"/>
    </row>
    <row r="25" spans="1:11" x14ac:dyDescent="0.25">
      <c r="A25" s="177"/>
      <c r="B25" s="178"/>
      <c r="C25" s="37" t="s">
        <v>36</v>
      </c>
      <c r="D25" s="69">
        <f>'მონიტორინგის კვლევების ჯგუფები'!E10</f>
        <v>277</v>
      </c>
      <c r="E25" s="182"/>
      <c r="F25" s="47"/>
      <c r="G25" s="188"/>
      <c r="H25" s="197"/>
      <c r="I25" s="47"/>
      <c r="J25" s="188"/>
      <c r="K25" s="197"/>
    </row>
    <row r="26" spans="1:11" x14ac:dyDescent="0.25">
      <c r="A26" s="177"/>
      <c r="E26" s="36"/>
      <c r="F26" s="47"/>
      <c r="I26" s="47"/>
    </row>
    <row r="27" spans="1:11" x14ac:dyDescent="0.25">
      <c r="A27" s="177"/>
      <c r="B27" s="72" t="s">
        <v>57</v>
      </c>
      <c r="C27" s="27" t="s">
        <v>53</v>
      </c>
      <c r="D27" s="38">
        <f>'მონიტორინგის კვლევების ჯგუფები'!E11</f>
        <v>130</v>
      </c>
      <c r="E27" s="70">
        <v>130</v>
      </c>
      <c r="F27" s="47"/>
      <c r="G27" s="69">
        <v>0</v>
      </c>
      <c r="H27" s="69">
        <v>0</v>
      </c>
      <c r="I27" s="47"/>
      <c r="J27" s="69">
        <f>E27</f>
        <v>130</v>
      </c>
      <c r="K27" s="69">
        <f>E27</f>
        <v>130</v>
      </c>
    </row>
    <row r="28" spans="1:11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5">
      <c r="A29" s="199" t="s">
        <v>66</v>
      </c>
      <c r="B29" s="178" t="s">
        <v>48</v>
      </c>
      <c r="C29" s="27" t="s">
        <v>58</v>
      </c>
      <c r="D29" s="69">
        <f>E5+E19+E27</f>
        <v>795</v>
      </c>
      <c r="E29" s="179">
        <f>AVERAGE(D29:D30)</f>
        <v>790.5</v>
      </c>
      <c r="F29" s="47"/>
      <c r="G29" s="188">
        <f>(E29-E27)*G4</f>
        <v>0</v>
      </c>
      <c r="H29" s="188">
        <f>(E29-E27)*H4</f>
        <v>0</v>
      </c>
      <c r="I29" s="47"/>
      <c r="J29" s="188">
        <f>(E29-E27)*J4+E27</f>
        <v>790.5</v>
      </c>
      <c r="K29" s="188">
        <f>(E29-E27)*K4+E27</f>
        <v>790.5</v>
      </c>
    </row>
    <row r="30" spans="1:11" x14ac:dyDescent="0.25">
      <c r="A30" s="200"/>
      <c r="B30" s="178"/>
      <c r="C30" s="27" t="s">
        <v>60</v>
      </c>
      <c r="D30" s="69">
        <f>E9+E19+E27</f>
        <v>786</v>
      </c>
      <c r="E30" s="179"/>
      <c r="F30" s="47"/>
      <c r="G30" s="188"/>
      <c r="H30" s="188"/>
      <c r="I30" s="47"/>
      <c r="J30" s="188"/>
      <c r="K30" s="188"/>
    </row>
    <row r="31" spans="1:11" x14ac:dyDescent="0.25">
      <c r="A31" s="200"/>
      <c r="B31" s="36"/>
      <c r="D31" s="35"/>
      <c r="E31" s="36"/>
      <c r="F31" s="47"/>
      <c r="I31" s="47"/>
    </row>
    <row r="32" spans="1:11" x14ac:dyDescent="0.25">
      <c r="A32" s="200"/>
      <c r="B32" s="178" t="s">
        <v>49</v>
      </c>
      <c r="C32" s="27" t="s">
        <v>59</v>
      </c>
      <c r="D32" s="69">
        <f>E5+E23+E27</f>
        <v>857</v>
      </c>
      <c r="E32" s="179">
        <f>AVERAGE(D32:D33)</f>
        <v>852.5</v>
      </c>
      <c r="F32" s="47"/>
      <c r="G32" s="188">
        <f>(E32-E27)*G4</f>
        <v>0</v>
      </c>
      <c r="H32" s="188">
        <f>(E32-E27)*H4</f>
        <v>0</v>
      </c>
      <c r="I32" s="47"/>
      <c r="J32" s="188">
        <f>(E32-E27)*J4+E27</f>
        <v>852.5</v>
      </c>
      <c r="K32" s="188">
        <f>(E32-E27)*K4+E27</f>
        <v>852.5</v>
      </c>
    </row>
    <row r="33" spans="1:11" x14ac:dyDescent="0.25">
      <c r="A33" s="200"/>
      <c r="B33" s="178"/>
      <c r="C33" s="27" t="s">
        <v>61</v>
      </c>
      <c r="D33" s="69">
        <f>E9+E23+E27</f>
        <v>848</v>
      </c>
      <c r="E33" s="179"/>
      <c r="F33" s="47"/>
      <c r="G33" s="188"/>
      <c r="H33" s="188"/>
      <c r="I33" s="47"/>
      <c r="J33" s="188"/>
      <c r="K33" s="188"/>
    </row>
    <row r="34" spans="1:11" x14ac:dyDescent="0.25">
      <c r="A34" s="200"/>
      <c r="B34" s="36"/>
      <c r="D34" s="35"/>
      <c r="E34" s="36"/>
      <c r="F34" s="47"/>
      <c r="I34" s="47"/>
    </row>
    <row r="35" spans="1:11" x14ac:dyDescent="0.25">
      <c r="A35" s="200"/>
      <c r="B35" s="178" t="s">
        <v>52</v>
      </c>
      <c r="C35" s="27" t="s">
        <v>62</v>
      </c>
      <c r="D35" s="69">
        <f>E12+E19+E27</f>
        <v>715</v>
      </c>
      <c r="E35" s="179">
        <f>AVERAGE(D35:D36)</f>
        <v>710.5</v>
      </c>
      <c r="F35" s="47"/>
      <c r="G35" s="188">
        <f>(E35-E27)*G4</f>
        <v>0</v>
      </c>
      <c r="H35" s="188">
        <f>(E35-E27)*H4</f>
        <v>0</v>
      </c>
      <c r="I35" s="47"/>
      <c r="J35" s="188">
        <f>(E35-E27)*J4+E27</f>
        <v>710.5</v>
      </c>
      <c r="K35" s="188">
        <f>(E35-E27)*K4+E27</f>
        <v>710.5</v>
      </c>
    </row>
    <row r="36" spans="1:11" x14ac:dyDescent="0.25">
      <c r="A36" s="200"/>
      <c r="B36" s="178"/>
      <c r="C36" s="27" t="s">
        <v>64</v>
      </c>
      <c r="D36" s="69">
        <f>E16+E19+E27</f>
        <v>706</v>
      </c>
      <c r="E36" s="179"/>
      <c r="F36" s="47"/>
      <c r="G36" s="188"/>
      <c r="H36" s="188"/>
      <c r="I36" s="47"/>
      <c r="J36" s="188"/>
      <c r="K36" s="188"/>
    </row>
    <row r="37" spans="1:11" x14ac:dyDescent="0.25">
      <c r="A37" s="200"/>
      <c r="B37" s="36"/>
      <c r="D37" s="35"/>
      <c r="E37" s="36"/>
      <c r="F37" s="47"/>
      <c r="I37" s="47"/>
    </row>
    <row r="38" spans="1:11" x14ac:dyDescent="0.25">
      <c r="A38" s="200"/>
      <c r="B38" s="183" t="s">
        <v>50</v>
      </c>
      <c r="C38" s="27" t="s">
        <v>63</v>
      </c>
      <c r="D38" s="69">
        <f>E12+E23+E27</f>
        <v>777</v>
      </c>
      <c r="E38" s="179">
        <f>AVERAGE(D38:D39)</f>
        <v>772.5</v>
      </c>
      <c r="F38" s="47"/>
      <c r="G38" s="188">
        <f>(E38-E27)*G4</f>
        <v>0</v>
      </c>
      <c r="H38" s="188">
        <f>(E38-E27)*H4</f>
        <v>0</v>
      </c>
      <c r="I38" s="47"/>
      <c r="J38" s="188">
        <f>(E38-E27)*J4+E27</f>
        <v>772.5</v>
      </c>
      <c r="K38" s="188">
        <f>(E38-E27)*K4+E27</f>
        <v>772.5</v>
      </c>
    </row>
    <row r="39" spans="1:11" x14ac:dyDescent="0.25">
      <c r="A39" s="201"/>
      <c r="B39" s="184"/>
      <c r="C39" s="27" t="s">
        <v>65</v>
      </c>
      <c r="D39" s="69">
        <f>E16+E23+E27</f>
        <v>768</v>
      </c>
      <c r="E39" s="179"/>
      <c r="F39" s="47"/>
      <c r="G39" s="188"/>
      <c r="H39" s="188"/>
      <c r="I39" s="47"/>
      <c r="J39" s="188"/>
      <c r="K39" s="188"/>
    </row>
    <row r="40" spans="1:11" x14ac:dyDescent="0.25">
      <c r="A40" s="48"/>
      <c r="B40" s="49"/>
      <c r="C40" s="50"/>
      <c r="D40" s="51"/>
      <c r="E40" s="49"/>
      <c r="F40" s="47"/>
      <c r="G40" s="51"/>
      <c r="H40" s="51"/>
      <c r="I40" s="47"/>
      <c r="J40" s="47"/>
      <c r="K40" s="47"/>
    </row>
    <row r="41" spans="1:11" x14ac:dyDescent="0.25">
      <c r="F41" s="47"/>
      <c r="G41" s="185" t="s">
        <v>75</v>
      </c>
      <c r="H41" s="185"/>
      <c r="I41" s="47"/>
      <c r="J41" s="185" t="s">
        <v>76</v>
      </c>
      <c r="K41" s="185"/>
    </row>
    <row r="42" spans="1:11" ht="13.5" customHeight="1" x14ac:dyDescent="0.25">
      <c r="F42" s="47"/>
      <c r="G42" s="71" t="s">
        <v>67</v>
      </c>
      <c r="H42" s="71" t="s">
        <v>47</v>
      </c>
      <c r="I42" s="47"/>
      <c r="J42" s="71" t="s">
        <v>67</v>
      </c>
      <c r="K42" s="71" t="s">
        <v>47</v>
      </c>
    </row>
    <row r="43" spans="1:11" ht="21" customHeight="1" x14ac:dyDescent="0.25">
      <c r="A43" s="198" t="s">
        <v>66</v>
      </c>
      <c r="B43" s="69" t="s">
        <v>48</v>
      </c>
      <c r="C43" s="186" t="s">
        <v>68</v>
      </c>
      <c r="D43" s="187"/>
      <c r="E43" s="69">
        <f>AVERAGE(E29,E35)</f>
        <v>750.5</v>
      </c>
      <c r="F43" s="47"/>
      <c r="G43" s="69">
        <f>(E43-E27)*G4</f>
        <v>0</v>
      </c>
      <c r="H43" s="69">
        <f>(E43-E27)*H4</f>
        <v>0</v>
      </c>
      <c r="I43" s="47"/>
      <c r="J43" s="69">
        <f>E43-G43</f>
        <v>750.5</v>
      </c>
      <c r="K43" s="69">
        <f>E43-H43</f>
        <v>750.5</v>
      </c>
    </row>
    <row r="44" spans="1:11" ht="29.25" customHeight="1" x14ac:dyDescent="0.25">
      <c r="A44" s="198"/>
      <c r="B44" s="69" t="s">
        <v>49</v>
      </c>
      <c r="C44" s="186" t="s">
        <v>69</v>
      </c>
      <c r="D44" s="187"/>
      <c r="E44" s="69">
        <f>AVERAGE(E32,E38)</f>
        <v>812.5</v>
      </c>
      <c r="F44" s="47"/>
      <c r="G44" s="69">
        <f>(E44-E27)*G4</f>
        <v>0</v>
      </c>
      <c r="H44" s="69">
        <f>(E44-E27)*H4</f>
        <v>0</v>
      </c>
      <c r="I44" s="47"/>
      <c r="J44" s="69">
        <f>E44-G44</f>
        <v>812.5</v>
      </c>
      <c r="K44" s="69">
        <f>E44-H44</f>
        <v>812.5</v>
      </c>
    </row>
    <row r="45" spans="1:11" x14ac:dyDescent="0.25">
      <c r="A45" s="48"/>
      <c r="B45" s="49"/>
      <c r="C45" s="50"/>
      <c r="D45" s="51"/>
      <c r="E45" s="49"/>
      <c r="F45" s="47"/>
      <c r="G45" s="51"/>
      <c r="H45" s="51"/>
      <c r="I45" s="47"/>
      <c r="J45" s="47"/>
      <c r="K45" s="47"/>
    </row>
    <row r="46" spans="1:11" x14ac:dyDescent="0.25">
      <c r="A46" s="192" t="s">
        <v>77</v>
      </c>
      <c r="B46" s="27"/>
      <c r="C46" s="42" t="s">
        <v>79</v>
      </c>
      <c r="D46" s="52" t="s">
        <v>67</v>
      </c>
      <c r="E46" s="42" t="s">
        <v>47</v>
      </c>
    </row>
    <row r="47" spans="1:11" ht="23.25" x14ac:dyDescent="0.25">
      <c r="A47" s="193"/>
      <c r="B47" s="53" t="s">
        <v>70</v>
      </c>
      <c r="C47" s="69">
        <v>25000</v>
      </c>
      <c r="D47" s="69">
        <f>C47*10%</f>
        <v>2500</v>
      </c>
      <c r="E47" s="69">
        <f>C47*90%</f>
        <v>22500</v>
      </c>
    </row>
    <row r="48" spans="1:11" ht="21" customHeight="1" x14ac:dyDescent="0.25">
      <c r="A48" s="193"/>
      <c r="B48" s="53" t="s">
        <v>68</v>
      </c>
      <c r="C48" s="69">
        <f>C47*90%</f>
        <v>22500</v>
      </c>
      <c r="D48" s="69">
        <f>D47*90%</f>
        <v>2250</v>
      </c>
      <c r="E48" s="69">
        <f>E47*90%</f>
        <v>20250</v>
      </c>
    </row>
    <row r="49" spans="1:5" ht="34.5" x14ac:dyDescent="0.25">
      <c r="A49" s="194"/>
      <c r="B49" s="53" t="s">
        <v>69</v>
      </c>
      <c r="C49" s="69">
        <f>C47*10%</f>
        <v>2500</v>
      </c>
      <c r="D49" s="69">
        <f>D47*10%</f>
        <v>250</v>
      </c>
      <c r="E49" s="69">
        <f>E47*10%</f>
        <v>2250</v>
      </c>
    </row>
    <row r="50" spans="1:5" x14ac:dyDescent="0.25">
      <c r="A50" s="47"/>
      <c r="B50" s="47"/>
      <c r="C50" s="47"/>
      <c r="D50" s="47"/>
      <c r="E50" s="47"/>
    </row>
    <row r="51" spans="1:5" x14ac:dyDescent="0.25">
      <c r="A51" s="177" t="s">
        <v>78</v>
      </c>
      <c r="C51" s="42" t="s">
        <v>109</v>
      </c>
      <c r="D51" s="52" t="s">
        <v>67</v>
      </c>
      <c r="E51" s="42" t="s">
        <v>47</v>
      </c>
    </row>
    <row r="52" spans="1:5" ht="34.5" x14ac:dyDescent="0.25">
      <c r="A52" s="177"/>
      <c r="B52" s="74" t="s">
        <v>68</v>
      </c>
      <c r="C52" s="43">
        <f>D52+E52</f>
        <v>0</v>
      </c>
      <c r="D52" s="44">
        <f>D48*G43</f>
        <v>0</v>
      </c>
      <c r="E52" s="44">
        <f>E48*H43</f>
        <v>0</v>
      </c>
    </row>
    <row r="53" spans="1:5" ht="34.5" x14ac:dyDescent="0.25">
      <c r="A53" s="177"/>
      <c r="B53" s="74" t="s">
        <v>69</v>
      </c>
      <c r="C53" s="43">
        <f>D53+E53</f>
        <v>0</v>
      </c>
      <c r="D53" s="44">
        <f>D49*G44</f>
        <v>0</v>
      </c>
      <c r="E53" s="44">
        <f>E49*H44</f>
        <v>0</v>
      </c>
    </row>
    <row r="54" spans="1:5" x14ac:dyDescent="0.25">
      <c r="A54" s="177"/>
      <c r="B54" s="75" t="s">
        <v>71</v>
      </c>
      <c r="C54" s="54">
        <f>C52+C53</f>
        <v>0</v>
      </c>
      <c r="D54" s="43">
        <f>D52+D53</f>
        <v>0</v>
      </c>
      <c r="E54" s="43">
        <f>E52+E53</f>
        <v>0</v>
      </c>
    </row>
    <row r="55" spans="1:5" x14ac:dyDescent="0.25">
      <c r="A55" s="47"/>
      <c r="B55" s="47"/>
      <c r="C55" s="47"/>
      <c r="D55" s="47"/>
      <c r="E55" s="47"/>
    </row>
    <row r="56" spans="1:5" x14ac:dyDescent="0.25">
      <c r="A56" s="177" t="s">
        <v>80</v>
      </c>
      <c r="C56" s="42" t="s">
        <v>109</v>
      </c>
      <c r="D56" s="52" t="s">
        <v>67</v>
      </c>
      <c r="E56" s="42" t="s">
        <v>47</v>
      </c>
    </row>
    <row r="57" spans="1:5" ht="34.5" x14ac:dyDescent="0.25">
      <c r="A57" s="177"/>
      <c r="B57" s="74" t="s">
        <v>68</v>
      </c>
      <c r="C57" s="43">
        <f>D57+E57</f>
        <v>16886250</v>
      </c>
      <c r="D57" s="44">
        <f>D48*J43</f>
        <v>1688625</v>
      </c>
      <c r="E57" s="44">
        <f>E48*K43</f>
        <v>15197625</v>
      </c>
    </row>
    <row r="58" spans="1:5" ht="34.5" x14ac:dyDescent="0.25">
      <c r="A58" s="177"/>
      <c r="B58" s="74" t="s">
        <v>69</v>
      </c>
      <c r="C58" s="43">
        <f>D58+E58</f>
        <v>2031250</v>
      </c>
      <c r="D58" s="44">
        <f>D49*J44</f>
        <v>203125</v>
      </c>
      <c r="E58" s="44">
        <f>E49*K44</f>
        <v>1828125</v>
      </c>
    </row>
    <row r="59" spans="1:5" ht="23.25" x14ac:dyDescent="0.25">
      <c r="A59" s="177"/>
      <c r="B59" s="75" t="s">
        <v>99</v>
      </c>
      <c r="C59" s="54">
        <f>C57+C58</f>
        <v>18917500</v>
      </c>
      <c r="D59" s="43">
        <f>D57+D58</f>
        <v>1891750</v>
      </c>
      <c r="E59" s="43">
        <f>E57+E58</f>
        <v>17025750</v>
      </c>
    </row>
    <row r="60" spans="1:5" x14ac:dyDescent="0.25">
      <c r="A60" s="177"/>
      <c r="B60" s="75"/>
      <c r="C60" s="54"/>
      <c r="D60" s="43"/>
      <c r="E60" s="43"/>
    </row>
    <row r="61" spans="1:5" ht="23.25" x14ac:dyDescent="0.25">
      <c r="A61" s="177"/>
      <c r="B61" s="75" t="s">
        <v>100</v>
      </c>
      <c r="C61" s="54">
        <f>C47*50</f>
        <v>1250000</v>
      </c>
      <c r="D61" s="43"/>
      <c r="E61" s="43"/>
    </row>
    <row r="62" spans="1:5" ht="15.75" x14ac:dyDescent="0.25">
      <c r="A62" s="177"/>
      <c r="B62" s="75" t="s">
        <v>71</v>
      </c>
      <c r="C62" s="86">
        <f>C59+C61+E65</f>
        <v>20552500</v>
      </c>
      <c r="D62" s="43"/>
      <c r="E62" s="43"/>
    </row>
    <row r="63" spans="1:5" x14ac:dyDescent="0.25">
      <c r="A63" s="47"/>
      <c r="B63" s="47"/>
      <c r="C63" s="47"/>
      <c r="D63" s="47"/>
      <c r="E63" s="47"/>
    </row>
    <row r="65" spans="2:5" ht="34.5" x14ac:dyDescent="0.25">
      <c r="B65" s="73" t="s">
        <v>137</v>
      </c>
      <c r="C65">
        <f>32000-25000</f>
        <v>7000</v>
      </c>
      <c r="D65">
        <v>55</v>
      </c>
      <c r="E65">
        <f>C65*D65</f>
        <v>385000</v>
      </c>
    </row>
    <row r="67" spans="2:5" ht="18.75" x14ac:dyDescent="0.3">
      <c r="B67" s="55" t="s">
        <v>81</v>
      </c>
      <c r="C67" s="56">
        <f>C54+C62</f>
        <v>20552500</v>
      </c>
    </row>
  </sheetData>
  <mergeCells count="75">
    <mergeCell ref="A51:A54"/>
    <mergeCell ref="A56:A62"/>
    <mergeCell ref="G41:H41"/>
    <mergeCell ref="J41:K41"/>
    <mergeCell ref="A43:A44"/>
    <mergeCell ref="C43:D43"/>
    <mergeCell ref="C44:D44"/>
    <mergeCell ref="A46:A49"/>
    <mergeCell ref="J35:J36"/>
    <mergeCell ref="K35:K36"/>
    <mergeCell ref="B38:B39"/>
    <mergeCell ref="E38:E39"/>
    <mergeCell ref="G38:G39"/>
    <mergeCell ref="H38:H39"/>
    <mergeCell ref="J38:J39"/>
    <mergeCell ref="K38:K39"/>
    <mergeCell ref="K29:K30"/>
    <mergeCell ref="B32:B33"/>
    <mergeCell ref="E32:E33"/>
    <mergeCell ref="G32:G33"/>
    <mergeCell ref="H32:H33"/>
    <mergeCell ref="J32:J33"/>
    <mergeCell ref="K32:K33"/>
    <mergeCell ref="J29:J30"/>
    <mergeCell ref="A29:A39"/>
    <mergeCell ref="B29:B30"/>
    <mergeCell ref="E29:E30"/>
    <mergeCell ref="G29:G30"/>
    <mergeCell ref="H29:H30"/>
    <mergeCell ref="B35:B36"/>
    <mergeCell ref="E35:E36"/>
    <mergeCell ref="G35:G36"/>
    <mergeCell ref="H35:H36"/>
    <mergeCell ref="K19:K21"/>
    <mergeCell ref="B23:B25"/>
    <mergeCell ref="E23:E25"/>
    <mergeCell ref="G23:G25"/>
    <mergeCell ref="H23:H25"/>
    <mergeCell ref="J23:J25"/>
    <mergeCell ref="K23:K25"/>
    <mergeCell ref="J19:J21"/>
    <mergeCell ref="A19:A27"/>
    <mergeCell ref="B19:B21"/>
    <mergeCell ref="E19:E21"/>
    <mergeCell ref="G19:G21"/>
    <mergeCell ref="H19:H21"/>
    <mergeCell ref="K9:K10"/>
    <mergeCell ref="K16:K17"/>
    <mergeCell ref="B12:B14"/>
    <mergeCell ref="E12:E14"/>
    <mergeCell ref="G12:G14"/>
    <mergeCell ref="H12:H14"/>
    <mergeCell ref="J12:J14"/>
    <mergeCell ref="K12:K14"/>
    <mergeCell ref="B16:B17"/>
    <mergeCell ref="E16:E17"/>
    <mergeCell ref="G16:G17"/>
    <mergeCell ref="H16:H17"/>
    <mergeCell ref="J16:J17"/>
    <mergeCell ref="A1:K1"/>
    <mergeCell ref="G2:H2"/>
    <mergeCell ref="J2:K2"/>
    <mergeCell ref="D4:E4"/>
    <mergeCell ref="A5:A17"/>
    <mergeCell ref="B5:B7"/>
    <mergeCell ref="E5:E7"/>
    <mergeCell ref="G5:G7"/>
    <mergeCell ref="H5:H7"/>
    <mergeCell ref="J5:J7"/>
    <mergeCell ref="K5:K7"/>
    <mergeCell ref="B9:B10"/>
    <mergeCell ref="E9:E10"/>
    <mergeCell ref="G9:G10"/>
    <mergeCell ref="H9:H10"/>
    <mergeCell ref="J9:J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workbookViewId="0">
      <selection activeCell="D13" sqref="D13"/>
    </sheetView>
  </sheetViews>
  <sheetFormatPr defaultRowHeight="15" x14ac:dyDescent="0.25"/>
  <cols>
    <col min="2" max="2" width="18.5703125" bestFit="1" customWidth="1"/>
    <col min="3" max="3" width="42.5703125" bestFit="1" customWidth="1"/>
    <col min="4" max="4" width="17.42578125" customWidth="1"/>
    <col min="5" max="5" width="16.85546875" bestFit="1" customWidth="1"/>
    <col min="6" max="6" width="4" customWidth="1"/>
    <col min="7" max="7" width="14.5703125" bestFit="1" customWidth="1"/>
    <col min="8" max="8" width="10.42578125" customWidth="1"/>
    <col min="9" max="9" width="4" customWidth="1"/>
    <col min="10" max="10" width="14.5703125" bestFit="1" customWidth="1"/>
    <col min="11" max="11" width="10" customWidth="1"/>
    <col min="12" max="12" width="17" customWidth="1"/>
    <col min="13" max="13" width="15.5703125" customWidth="1"/>
  </cols>
  <sheetData>
    <row r="1" spans="1:11" x14ac:dyDescent="0.25">
      <c r="A1" s="202" t="s">
        <v>82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x14ac:dyDescent="0.25">
      <c r="F2" s="47"/>
      <c r="G2" s="189" t="s">
        <v>73</v>
      </c>
      <c r="H2" s="189"/>
      <c r="I2" s="47"/>
      <c r="J2" s="189" t="s">
        <v>72</v>
      </c>
      <c r="K2" s="189"/>
    </row>
    <row r="3" spans="1:11" x14ac:dyDescent="0.25">
      <c r="F3" s="47"/>
      <c r="G3" s="45" t="s">
        <v>67</v>
      </c>
      <c r="H3" s="45" t="s">
        <v>47</v>
      </c>
      <c r="I3" s="47"/>
      <c r="J3" s="45" t="s">
        <v>67</v>
      </c>
      <c r="K3" s="45" t="s">
        <v>47</v>
      </c>
    </row>
    <row r="4" spans="1:11" ht="34.5" customHeight="1" x14ac:dyDescent="0.25">
      <c r="D4" s="190" t="s">
        <v>74</v>
      </c>
      <c r="E4" s="191"/>
      <c r="F4" s="47"/>
      <c r="G4" s="46">
        <v>0.3</v>
      </c>
      <c r="H4" s="46">
        <v>0.7</v>
      </c>
      <c r="I4" s="47"/>
      <c r="J4" s="46">
        <v>0.7</v>
      </c>
      <c r="K4" s="46">
        <v>0.3</v>
      </c>
    </row>
    <row r="5" spans="1:11" x14ac:dyDescent="0.25">
      <c r="A5" s="177" t="s">
        <v>51</v>
      </c>
      <c r="B5" s="178" t="s">
        <v>43</v>
      </c>
      <c r="C5" s="27" t="s">
        <v>39</v>
      </c>
      <c r="D5" s="167">
        <v>60</v>
      </c>
      <c r="E5" s="179">
        <f>D5+D6+D7</f>
        <v>438</v>
      </c>
      <c r="F5" s="47"/>
      <c r="G5" s="188">
        <f>E5*$G$4</f>
        <v>131.4</v>
      </c>
      <c r="H5" s="188">
        <f>E5*H4</f>
        <v>306.59999999999997</v>
      </c>
      <c r="I5" s="47"/>
      <c r="J5" s="188">
        <f>E5*J4</f>
        <v>306.59999999999997</v>
      </c>
      <c r="K5" s="188">
        <f>E5*K4</f>
        <v>131.4</v>
      </c>
    </row>
    <row r="6" spans="1:11" x14ac:dyDescent="0.25">
      <c r="A6" s="177"/>
      <c r="B6" s="178"/>
      <c r="C6" s="27" t="s">
        <v>40</v>
      </c>
      <c r="D6" s="167">
        <f>'მკურნალობაში ჩართვის ჯგუფები'!E6</f>
        <v>369</v>
      </c>
      <c r="E6" s="179"/>
      <c r="F6" s="47"/>
      <c r="G6" s="188"/>
      <c r="H6" s="188"/>
      <c r="I6" s="47"/>
      <c r="J6" s="188"/>
      <c r="K6" s="188"/>
    </row>
    <row r="7" spans="1:11" x14ac:dyDescent="0.25">
      <c r="A7" s="177"/>
      <c r="B7" s="178"/>
      <c r="C7" s="27" t="s">
        <v>42</v>
      </c>
      <c r="D7" s="167">
        <f>'მკურნალობაში ჩართვის ჯგუფები'!E8</f>
        <v>9</v>
      </c>
      <c r="E7" s="179"/>
      <c r="F7" s="47"/>
      <c r="G7" s="188"/>
      <c r="H7" s="188"/>
      <c r="I7" s="47"/>
      <c r="J7" s="188"/>
      <c r="K7" s="188"/>
    </row>
    <row r="8" spans="1:11" x14ac:dyDescent="0.25">
      <c r="A8" s="177"/>
      <c r="D8" s="169"/>
      <c r="E8" s="36"/>
      <c r="F8" s="47"/>
      <c r="I8" s="47"/>
    </row>
    <row r="9" spans="1:11" x14ac:dyDescent="0.25">
      <c r="A9" s="177"/>
      <c r="B9" s="178" t="s">
        <v>44</v>
      </c>
      <c r="C9" s="27" t="s">
        <v>39</v>
      </c>
      <c r="D9" s="167">
        <v>60</v>
      </c>
      <c r="E9" s="179">
        <f>D9+D10</f>
        <v>429</v>
      </c>
      <c r="F9" s="47"/>
      <c r="G9" s="188">
        <f>E9*G4</f>
        <v>128.69999999999999</v>
      </c>
      <c r="H9" s="188">
        <f>E9*H4</f>
        <v>300.29999999999995</v>
      </c>
      <c r="I9" s="47"/>
      <c r="J9" s="188">
        <f>E9*J4</f>
        <v>300.29999999999995</v>
      </c>
      <c r="K9" s="188">
        <f>E9*K4</f>
        <v>128.69999999999999</v>
      </c>
    </row>
    <row r="10" spans="1:11" x14ac:dyDescent="0.25">
      <c r="A10" s="177"/>
      <c r="B10" s="178"/>
      <c r="C10" s="27" t="s">
        <v>40</v>
      </c>
      <c r="D10" s="167">
        <f>'მკურნალობაში ჩართვის ჯგუფები'!E6</f>
        <v>369</v>
      </c>
      <c r="E10" s="179"/>
      <c r="F10" s="47"/>
      <c r="G10" s="188"/>
      <c r="H10" s="188"/>
      <c r="I10" s="47"/>
      <c r="J10" s="188"/>
      <c r="K10" s="188"/>
    </row>
    <row r="11" spans="1:11" x14ac:dyDescent="0.25">
      <c r="A11" s="177"/>
      <c r="D11" s="169"/>
      <c r="E11" s="36"/>
      <c r="F11" s="47"/>
      <c r="I11" s="47"/>
    </row>
    <row r="12" spans="1:11" x14ac:dyDescent="0.25">
      <c r="A12" s="177"/>
      <c r="B12" s="178" t="s">
        <v>45</v>
      </c>
      <c r="C12" s="27" t="s">
        <v>39</v>
      </c>
      <c r="D12" s="167">
        <v>60</v>
      </c>
      <c r="E12" s="179">
        <f>D12+D13+D14</f>
        <v>358</v>
      </c>
      <c r="F12" s="47"/>
      <c r="G12" s="188">
        <f>E12*G4</f>
        <v>107.39999999999999</v>
      </c>
      <c r="H12" s="188">
        <f>E12*H4</f>
        <v>250.6</v>
      </c>
      <c r="I12" s="47"/>
      <c r="J12" s="188">
        <f>E12*J4</f>
        <v>250.6</v>
      </c>
      <c r="K12" s="188">
        <f>E12*K4</f>
        <v>107.39999999999999</v>
      </c>
    </row>
    <row r="13" spans="1:11" x14ac:dyDescent="0.25">
      <c r="A13" s="177"/>
      <c r="B13" s="178"/>
      <c r="C13" s="27" t="s">
        <v>41</v>
      </c>
      <c r="D13" s="167">
        <f>'მკურნალობაში ჩართვის ჯგუფები'!E7</f>
        <v>289</v>
      </c>
      <c r="E13" s="179"/>
      <c r="F13" s="47"/>
      <c r="G13" s="188"/>
      <c r="H13" s="188"/>
      <c r="I13" s="47"/>
      <c r="J13" s="188"/>
      <c r="K13" s="188"/>
    </row>
    <row r="14" spans="1:11" x14ac:dyDescent="0.25">
      <c r="A14" s="177"/>
      <c r="B14" s="178"/>
      <c r="C14" s="27" t="s">
        <v>42</v>
      </c>
      <c r="D14" s="167">
        <f>'მკურნალობაში ჩართვის ჯგუფები'!E8</f>
        <v>9</v>
      </c>
      <c r="E14" s="179"/>
      <c r="F14" s="47"/>
      <c r="G14" s="188"/>
      <c r="H14" s="188"/>
      <c r="I14" s="47"/>
      <c r="J14" s="188"/>
      <c r="K14" s="188"/>
    </row>
    <row r="15" spans="1:11" x14ac:dyDescent="0.25">
      <c r="A15" s="177"/>
      <c r="D15" s="169"/>
      <c r="E15" s="36"/>
      <c r="F15" s="47"/>
      <c r="I15" s="47"/>
    </row>
    <row r="16" spans="1:11" x14ac:dyDescent="0.25">
      <c r="A16" s="177"/>
      <c r="B16" s="178" t="s">
        <v>46</v>
      </c>
      <c r="C16" s="27" t="s">
        <v>39</v>
      </c>
      <c r="D16" s="167">
        <v>60</v>
      </c>
      <c r="E16" s="179">
        <f>D16+D17</f>
        <v>349</v>
      </c>
      <c r="F16" s="47"/>
      <c r="G16" s="188">
        <f>E16*G4</f>
        <v>104.7</v>
      </c>
      <c r="H16" s="188">
        <f>E16*H4</f>
        <v>244.29999999999998</v>
      </c>
      <c r="I16" s="47"/>
      <c r="J16" s="188">
        <f>E16*J4</f>
        <v>244.29999999999998</v>
      </c>
      <c r="K16" s="188">
        <f>E16*K4</f>
        <v>104.7</v>
      </c>
    </row>
    <row r="17" spans="1:11" x14ac:dyDescent="0.25">
      <c r="A17" s="177"/>
      <c r="B17" s="178"/>
      <c r="C17" s="27" t="s">
        <v>41</v>
      </c>
      <c r="D17" s="167">
        <f>'მკურნალობაში ჩართვის ჯგუფები'!E7</f>
        <v>289</v>
      </c>
      <c r="E17" s="179"/>
      <c r="F17" s="47"/>
      <c r="G17" s="188"/>
      <c r="H17" s="188"/>
      <c r="I17" s="47"/>
      <c r="J17" s="188"/>
      <c r="K17" s="188"/>
    </row>
    <row r="18" spans="1:11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</row>
    <row r="19" spans="1:11" x14ac:dyDescent="0.25">
      <c r="A19" s="177" t="s">
        <v>54</v>
      </c>
      <c r="B19" s="178" t="s">
        <v>55</v>
      </c>
      <c r="C19" s="29" t="s">
        <v>33</v>
      </c>
      <c r="D19" s="167">
        <f>'მონიტორინგის კვლევების ჯგუფები'!E5</f>
        <v>236</v>
      </c>
      <c r="E19" s="179">
        <f>AVERAGE(D19:D21)</f>
        <v>227</v>
      </c>
      <c r="F19" s="47"/>
      <c r="G19" s="195">
        <f>E19*G4</f>
        <v>68.099999999999994</v>
      </c>
      <c r="H19" s="195">
        <f>E19*H4</f>
        <v>158.89999999999998</v>
      </c>
      <c r="I19" s="47"/>
      <c r="J19" s="195">
        <f>E19*J4</f>
        <v>158.89999999999998</v>
      </c>
      <c r="K19" s="195">
        <f>E19*K4</f>
        <v>68.099999999999994</v>
      </c>
    </row>
    <row r="20" spans="1:11" x14ac:dyDescent="0.25">
      <c r="A20" s="177"/>
      <c r="B20" s="178"/>
      <c r="C20" s="29" t="s">
        <v>31</v>
      </c>
      <c r="D20" s="167">
        <f>'მონიტორინგის კვლევების ჯგუფები'!E6</f>
        <v>227</v>
      </c>
      <c r="E20" s="179"/>
      <c r="F20" s="47"/>
      <c r="G20" s="196"/>
      <c r="H20" s="196"/>
      <c r="I20" s="47"/>
      <c r="J20" s="196"/>
      <c r="K20" s="196"/>
    </row>
    <row r="21" spans="1:11" x14ac:dyDescent="0.25">
      <c r="A21" s="177"/>
      <c r="B21" s="178"/>
      <c r="C21" s="37" t="s">
        <v>34</v>
      </c>
      <c r="D21" s="167">
        <f>'მონიტორინგის კვლევების ჯგუფები'!E7</f>
        <v>218</v>
      </c>
      <c r="E21" s="179"/>
      <c r="F21" s="47"/>
      <c r="G21" s="197"/>
      <c r="H21" s="197"/>
      <c r="I21" s="47"/>
      <c r="J21" s="197"/>
      <c r="K21" s="197"/>
    </row>
    <row r="22" spans="1:11" x14ac:dyDescent="0.25">
      <c r="A22" s="177"/>
      <c r="E22" s="36"/>
      <c r="F22" s="47"/>
      <c r="I22" s="47"/>
    </row>
    <row r="23" spans="1:11" x14ac:dyDescent="0.25">
      <c r="A23" s="177"/>
      <c r="B23" s="178" t="s">
        <v>56</v>
      </c>
      <c r="C23" s="29" t="s">
        <v>35</v>
      </c>
      <c r="D23" s="167">
        <f>'მონიტორინგის კვლევების ჯგუფები'!E8</f>
        <v>304</v>
      </c>
      <c r="E23" s="180">
        <f>AVERAGE(D23:D25)</f>
        <v>289</v>
      </c>
      <c r="F23" s="47"/>
      <c r="G23" s="188">
        <f>E23*G4</f>
        <v>86.7</v>
      </c>
      <c r="H23" s="195">
        <f>E23*H4</f>
        <v>202.29999999999998</v>
      </c>
      <c r="I23" s="47"/>
      <c r="J23" s="188">
        <f>E23*J4</f>
        <v>202.29999999999998</v>
      </c>
      <c r="K23" s="195">
        <f>E23*K4</f>
        <v>86.7</v>
      </c>
    </row>
    <row r="24" spans="1:11" x14ac:dyDescent="0.25">
      <c r="A24" s="177"/>
      <c r="B24" s="178"/>
      <c r="C24" s="29" t="s">
        <v>32</v>
      </c>
      <c r="D24" s="167">
        <f>'მონიტორინგის კვლევების ჯგუფები'!E9</f>
        <v>286</v>
      </c>
      <c r="E24" s="181"/>
      <c r="F24" s="47"/>
      <c r="G24" s="188"/>
      <c r="H24" s="196"/>
      <c r="I24" s="47"/>
      <c r="J24" s="188"/>
      <c r="K24" s="196"/>
    </row>
    <row r="25" spans="1:11" x14ac:dyDescent="0.25">
      <c r="A25" s="177"/>
      <c r="B25" s="178"/>
      <c r="C25" s="37" t="s">
        <v>36</v>
      </c>
      <c r="D25" s="167">
        <f>'მონიტორინგის კვლევების ჯგუფები'!E10</f>
        <v>277</v>
      </c>
      <c r="E25" s="182"/>
      <c r="F25" s="47"/>
      <c r="G25" s="188"/>
      <c r="H25" s="197"/>
      <c r="I25" s="47"/>
      <c r="J25" s="188"/>
      <c r="K25" s="197"/>
    </row>
    <row r="26" spans="1:11" x14ac:dyDescent="0.25">
      <c r="A26" s="177"/>
      <c r="E26" s="36"/>
      <c r="F26" s="47"/>
      <c r="I26" s="47"/>
    </row>
    <row r="27" spans="1:11" x14ac:dyDescent="0.25">
      <c r="A27" s="177"/>
      <c r="B27" s="165" t="s">
        <v>57</v>
      </c>
      <c r="C27" s="27" t="s">
        <v>53</v>
      </c>
      <c r="D27" s="38">
        <f>'მონიტორინგის კვლევების ჯგუფები'!E11</f>
        <v>130</v>
      </c>
      <c r="E27" s="168">
        <v>130</v>
      </c>
      <c r="F27" s="47"/>
      <c r="G27" s="167">
        <v>0</v>
      </c>
      <c r="H27" s="167">
        <v>0</v>
      </c>
      <c r="I27" s="47"/>
      <c r="J27" s="167">
        <f>E27</f>
        <v>130</v>
      </c>
      <c r="K27" s="167">
        <f>E27</f>
        <v>130</v>
      </c>
    </row>
    <row r="28" spans="1:11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5">
      <c r="A29" s="199" t="s">
        <v>66</v>
      </c>
      <c r="B29" s="178" t="s">
        <v>48</v>
      </c>
      <c r="C29" s="27" t="s">
        <v>58</v>
      </c>
      <c r="D29" s="167">
        <f>E5+E19+E27</f>
        <v>795</v>
      </c>
      <c r="E29" s="179">
        <f>AVERAGE(D29:D30)</f>
        <v>790.5</v>
      </c>
      <c r="F29" s="47"/>
      <c r="G29" s="188">
        <f>(E29-E27)*G4</f>
        <v>198.15</v>
      </c>
      <c r="H29" s="188">
        <f>(E29-E27)*H4</f>
        <v>462.34999999999997</v>
      </c>
      <c r="I29" s="47"/>
      <c r="J29" s="188">
        <f>(E29-E27)*J4+E27</f>
        <v>592.34999999999991</v>
      </c>
      <c r="K29" s="188">
        <f>(E29-E27)*K4+E27</f>
        <v>328.15</v>
      </c>
    </row>
    <row r="30" spans="1:11" x14ac:dyDescent="0.25">
      <c r="A30" s="200"/>
      <c r="B30" s="178"/>
      <c r="C30" s="27" t="s">
        <v>60</v>
      </c>
      <c r="D30" s="167">
        <f>E9+E19+E27</f>
        <v>786</v>
      </c>
      <c r="E30" s="179"/>
      <c r="F30" s="47"/>
      <c r="G30" s="188"/>
      <c r="H30" s="188"/>
      <c r="I30" s="47"/>
      <c r="J30" s="188"/>
      <c r="K30" s="188"/>
    </row>
    <row r="31" spans="1:11" x14ac:dyDescent="0.25">
      <c r="A31" s="200"/>
      <c r="B31" s="36"/>
      <c r="D31" s="169"/>
      <c r="E31" s="36"/>
      <c r="F31" s="47"/>
      <c r="I31" s="47"/>
    </row>
    <row r="32" spans="1:11" x14ac:dyDescent="0.25">
      <c r="A32" s="200"/>
      <c r="B32" s="178" t="s">
        <v>49</v>
      </c>
      <c r="C32" s="27" t="s">
        <v>59</v>
      </c>
      <c r="D32" s="167">
        <f>E5+E23+E27</f>
        <v>857</v>
      </c>
      <c r="E32" s="179">
        <f>AVERAGE(D32:D33)</f>
        <v>852.5</v>
      </c>
      <c r="F32" s="47"/>
      <c r="G32" s="188">
        <f>(E32-E27)*G4</f>
        <v>216.75</v>
      </c>
      <c r="H32" s="188">
        <f>(E32-E27)*H4</f>
        <v>505.74999999999994</v>
      </c>
      <c r="I32" s="47"/>
      <c r="J32" s="188">
        <f>(E32-E27)*J4+E27</f>
        <v>635.75</v>
      </c>
      <c r="K32" s="188">
        <f>(E32-E27)*K4+E27</f>
        <v>346.75</v>
      </c>
    </row>
    <row r="33" spans="1:11" x14ac:dyDescent="0.25">
      <c r="A33" s="200"/>
      <c r="B33" s="178"/>
      <c r="C33" s="27" t="s">
        <v>61</v>
      </c>
      <c r="D33" s="167">
        <f>E9+E23+E27</f>
        <v>848</v>
      </c>
      <c r="E33" s="179"/>
      <c r="F33" s="47"/>
      <c r="G33" s="188"/>
      <c r="H33" s="188"/>
      <c r="I33" s="47"/>
      <c r="J33" s="188"/>
      <c r="K33" s="188"/>
    </row>
    <row r="34" spans="1:11" x14ac:dyDescent="0.25">
      <c r="A34" s="200"/>
      <c r="B34" s="36"/>
      <c r="D34" s="169"/>
      <c r="E34" s="36"/>
      <c r="F34" s="47"/>
      <c r="I34" s="47"/>
    </row>
    <row r="35" spans="1:11" x14ac:dyDescent="0.25">
      <c r="A35" s="200"/>
      <c r="B35" s="178" t="s">
        <v>52</v>
      </c>
      <c r="C35" s="27" t="s">
        <v>62</v>
      </c>
      <c r="D35" s="167">
        <f>E12+E19+E27</f>
        <v>715</v>
      </c>
      <c r="E35" s="179">
        <f>AVERAGE(D35:D36)</f>
        <v>710.5</v>
      </c>
      <c r="F35" s="47"/>
      <c r="G35" s="188">
        <f>(E35-E27)*G4</f>
        <v>174.15</v>
      </c>
      <c r="H35" s="188">
        <f>(E35-E27)*H4</f>
        <v>406.34999999999997</v>
      </c>
      <c r="I35" s="47"/>
      <c r="J35" s="188">
        <f>(E35-E27)*J4+E27</f>
        <v>536.34999999999991</v>
      </c>
      <c r="K35" s="188">
        <f>(E35-E27)*K4+E27</f>
        <v>304.14999999999998</v>
      </c>
    </row>
    <row r="36" spans="1:11" x14ac:dyDescent="0.25">
      <c r="A36" s="200"/>
      <c r="B36" s="178"/>
      <c r="C36" s="27" t="s">
        <v>64</v>
      </c>
      <c r="D36" s="167">
        <f>E16+E19+E27</f>
        <v>706</v>
      </c>
      <c r="E36" s="179"/>
      <c r="F36" s="47"/>
      <c r="G36" s="188"/>
      <c r="H36" s="188"/>
      <c r="I36" s="47"/>
      <c r="J36" s="188"/>
      <c r="K36" s="188"/>
    </row>
    <row r="37" spans="1:11" x14ac:dyDescent="0.25">
      <c r="A37" s="200"/>
      <c r="B37" s="36"/>
      <c r="D37" s="169"/>
      <c r="E37" s="36"/>
      <c r="F37" s="47"/>
      <c r="I37" s="47"/>
    </row>
    <row r="38" spans="1:11" x14ac:dyDescent="0.25">
      <c r="A38" s="200"/>
      <c r="B38" s="183" t="s">
        <v>50</v>
      </c>
      <c r="C38" s="27" t="s">
        <v>63</v>
      </c>
      <c r="D38" s="167">
        <f>E12+E23+E27</f>
        <v>777</v>
      </c>
      <c r="E38" s="179">
        <f>AVERAGE(D38:D39)</f>
        <v>772.5</v>
      </c>
      <c r="F38" s="47"/>
      <c r="G38" s="188">
        <f>(E38-E27)*G4</f>
        <v>192.75</v>
      </c>
      <c r="H38" s="188">
        <f>(E38-E27)*H4</f>
        <v>449.74999999999994</v>
      </c>
      <c r="I38" s="47"/>
      <c r="J38" s="188">
        <f>(E38-E27)*J4+E27</f>
        <v>579.75</v>
      </c>
      <c r="K38" s="188">
        <f>(E38-E27)*K4+E27</f>
        <v>322.75</v>
      </c>
    </row>
    <row r="39" spans="1:11" x14ac:dyDescent="0.25">
      <c r="A39" s="201"/>
      <c r="B39" s="184"/>
      <c r="C39" s="27" t="s">
        <v>65</v>
      </c>
      <c r="D39" s="167">
        <f>E16+E23+E27</f>
        <v>768</v>
      </c>
      <c r="E39" s="179"/>
      <c r="F39" s="47"/>
      <c r="G39" s="188"/>
      <c r="H39" s="188"/>
      <c r="I39" s="47"/>
      <c r="J39" s="188"/>
      <c r="K39" s="188"/>
    </row>
    <row r="40" spans="1:11" x14ac:dyDescent="0.25">
      <c r="A40" s="48"/>
      <c r="B40" s="49"/>
      <c r="C40" s="50"/>
      <c r="D40" s="51"/>
      <c r="E40" s="49"/>
      <c r="F40" s="47"/>
      <c r="G40" s="51"/>
      <c r="H40" s="51"/>
      <c r="I40" s="47"/>
      <c r="J40" s="47"/>
      <c r="K40" s="47"/>
    </row>
    <row r="41" spans="1:11" x14ac:dyDescent="0.25">
      <c r="F41" s="47"/>
      <c r="G41" s="185" t="s">
        <v>75</v>
      </c>
      <c r="H41" s="185"/>
      <c r="I41" s="47"/>
      <c r="J41" s="185" t="s">
        <v>76</v>
      </c>
      <c r="K41" s="185"/>
    </row>
    <row r="42" spans="1:11" ht="13.5" customHeight="1" x14ac:dyDescent="0.25">
      <c r="F42" s="47"/>
      <c r="G42" s="166" t="s">
        <v>67</v>
      </c>
      <c r="H42" s="166" t="s">
        <v>47</v>
      </c>
      <c r="I42" s="47"/>
      <c r="J42" s="166" t="s">
        <v>67</v>
      </c>
      <c r="K42" s="166" t="s">
        <v>47</v>
      </c>
    </row>
    <row r="43" spans="1:11" ht="21" customHeight="1" x14ac:dyDescent="0.25">
      <c r="A43" s="198" t="s">
        <v>66</v>
      </c>
      <c r="B43" s="167" t="s">
        <v>48</v>
      </c>
      <c r="C43" s="186" t="s">
        <v>68</v>
      </c>
      <c r="D43" s="187"/>
      <c r="E43" s="167">
        <f>AVERAGE(E29,E35)</f>
        <v>750.5</v>
      </c>
      <c r="F43" s="47"/>
      <c r="G43" s="167">
        <f>(E43-E27)*G4</f>
        <v>186.15</v>
      </c>
      <c r="H43" s="167">
        <f>(E43-E27)*H4</f>
        <v>434.34999999999997</v>
      </c>
      <c r="I43" s="47"/>
      <c r="J43" s="167">
        <f>E43-G43</f>
        <v>564.35</v>
      </c>
      <c r="K43" s="167">
        <f>E43-H43</f>
        <v>316.15000000000003</v>
      </c>
    </row>
    <row r="44" spans="1:11" ht="29.25" customHeight="1" x14ac:dyDescent="0.25">
      <c r="A44" s="198"/>
      <c r="B44" s="167" t="s">
        <v>49</v>
      </c>
      <c r="C44" s="186" t="s">
        <v>69</v>
      </c>
      <c r="D44" s="187"/>
      <c r="E44" s="167">
        <f>AVERAGE(E32,E38)</f>
        <v>812.5</v>
      </c>
      <c r="F44" s="47"/>
      <c r="G44" s="167">
        <f>(E44-E27)*G4</f>
        <v>204.75</v>
      </c>
      <c r="H44" s="167">
        <f>(E44-E27)*H4</f>
        <v>477.74999999999994</v>
      </c>
      <c r="I44" s="47"/>
      <c r="J44" s="167">
        <f>E44-G44</f>
        <v>607.75</v>
      </c>
      <c r="K44" s="167">
        <f>E44-H44</f>
        <v>334.75000000000006</v>
      </c>
    </row>
    <row r="45" spans="1:11" x14ac:dyDescent="0.25">
      <c r="A45" s="48"/>
      <c r="B45" s="49"/>
      <c r="C45" s="50"/>
      <c r="D45" s="51"/>
      <c r="E45" s="49"/>
      <c r="F45" s="47"/>
      <c r="G45" s="51"/>
      <c r="H45" s="51"/>
      <c r="I45" s="47"/>
      <c r="J45" s="47"/>
      <c r="K45" s="47"/>
    </row>
    <row r="46" spans="1:11" x14ac:dyDescent="0.25">
      <c r="A46" s="192" t="s">
        <v>77</v>
      </c>
      <c r="B46" s="27"/>
      <c r="C46" s="42" t="s">
        <v>79</v>
      </c>
      <c r="D46" s="52" t="s">
        <v>67</v>
      </c>
      <c r="E46" s="42" t="s">
        <v>47</v>
      </c>
    </row>
    <row r="47" spans="1:11" ht="23.25" x14ac:dyDescent="0.25">
      <c r="A47" s="193"/>
      <c r="B47" s="53" t="s">
        <v>70</v>
      </c>
      <c r="C47" s="167">
        <v>3000</v>
      </c>
      <c r="D47" s="167">
        <f>C47*10%</f>
        <v>300</v>
      </c>
      <c r="E47" s="167">
        <f>C47*90%</f>
        <v>2700</v>
      </c>
    </row>
    <row r="48" spans="1:11" ht="21" customHeight="1" x14ac:dyDescent="0.25">
      <c r="A48" s="193"/>
      <c r="B48" s="53" t="s">
        <v>68</v>
      </c>
      <c r="C48" s="167">
        <f>C47*90%</f>
        <v>2700</v>
      </c>
      <c r="D48" s="167">
        <f>D47*90%</f>
        <v>270</v>
      </c>
      <c r="E48" s="167">
        <f>E47*90%</f>
        <v>2430</v>
      </c>
    </row>
    <row r="49" spans="1:5" ht="22.5" customHeight="1" x14ac:dyDescent="0.25">
      <c r="A49" s="194"/>
      <c r="B49" s="53" t="s">
        <v>69</v>
      </c>
      <c r="C49" s="167">
        <f>C47*10%</f>
        <v>300</v>
      </c>
      <c r="D49" s="167">
        <f>D47*10%</f>
        <v>30</v>
      </c>
      <c r="E49" s="167">
        <f>E47*10%</f>
        <v>270</v>
      </c>
    </row>
    <row r="50" spans="1:5" x14ac:dyDescent="0.25">
      <c r="A50" s="47"/>
      <c r="B50" s="47"/>
      <c r="C50" s="47"/>
      <c r="D50" s="47"/>
      <c r="E50" s="47"/>
    </row>
    <row r="51" spans="1:5" x14ac:dyDescent="0.25">
      <c r="A51" s="177" t="s">
        <v>78</v>
      </c>
      <c r="C51" s="42" t="s">
        <v>109</v>
      </c>
      <c r="D51" s="52" t="s">
        <v>67</v>
      </c>
      <c r="E51" s="42" t="s">
        <v>47</v>
      </c>
    </row>
    <row r="52" spans="1:5" ht="34.5" customHeight="1" x14ac:dyDescent="0.25">
      <c r="A52" s="177"/>
      <c r="B52" s="74" t="s">
        <v>68</v>
      </c>
      <c r="C52" s="43">
        <f>D52+E52</f>
        <v>1105731</v>
      </c>
      <c r="D52" s="44">
        <f>D48*G43</f>
        <v>50260.5</v>
      </c>
      <c r="E52" s="44">
        <f>E48*H43</f>
        <v>1055470.5</v>
      </c>
    </row>
    <row r="53" spans="1:5" ht="34.5" x14ac:dyDescent="0.25">
      <c r="A53" s="177"/>
      <c r="B53" s="74" t="s">
        <v>69</v>
      </c>
      <c r="C53" s="43">
        <f>D53+E53</f>
        <v>135135</v>
      </c>
      <c r="D53" s="44">
        <f>D49*G44</f>
        <v>6142.5</v>
      </c>
      <c r="E53" s="44">
        <f>E49*H44</f>
        <v>128992.49999999999</v>
      </c>
    </row>
    <row r="54" spans="1:5" ht="15.75" x14ac:dyDescent="0.25">
      <c r="A54" s="177"/>
      <c r="B54" s="75" t="s">
        <v>71</v>
      </c>
      <c r="C54" s="86">
        <f>C52+C53</f>
        <v>1240866</v>
      </c>
      <c r="D54" s="43">
        <f>D52+D53</f>
        <v>56403</v>
      </c>
      <c r="E54" s="43">
        <f>E52+E53</f>
        <v>1184463</v>
      </c>
    </row>
    <row r="55" spans="1:5" x14ac:dyDescent="0.25">
      <c r="A55" s="47"/>
      <c r="B55" s="47"/>
      <c r="C55" s="47"/>
      <c r="D55" s="47"/>
      <c r="E55" s="47"/>
    </row>
    <row r="56" spans="1:5" x14ac:dyDescent="0.25">
      <c r="A56" s="177" t="s">
        <v>80</v>
      </c>
      <c r="C56" s="42" t="s">
        <v>109</v>
      </c>
      <c r="D56" s="52" t="s">
        <v>67</v>
      </c>
      <c r="E56" s="42" t="s">
        <v>47</v>
      </c>
    </row>
    <row r="57" spans="1:5" ht="34.5" customHeight="1" x14ac:dyDescent="0.25">
      <c r="A57" s="177"/>
      <c r="B57" s="74" t="s">
        <v>68</v>
      </c>
      <c r="C57" s="43">
        <f>D57+E57</f>
        <v>920619.00000000012</v>
      </c>
      <c r="D57" s="44">
        <f>D48*J43</f>
        <v>152374.5</v>
      </c>
      <c r="E57" s="44">
        <f>E48*K43</f>
        <v>768244.50000000012</v>
      </c>
    </row>
    <row r="58" spans="1:5" ht="34.5" x14ac:dyDescent="0.25">
      <c r="A58" s="177"/>
      <c r="B58" s="74" t="s">
        <v>69</v>
      </c>
      <c r="C58" s="43">
        <f>D58+E58</f>
        <v>108615.00000000001</v>
      </c>
      <c r="D58" s="44">
        <f>D49*J44</f>
        <v>18232.5</v>
      </c>
      <c r="E58" s="44">
        <f>E49*K44</f>
        <v>90382.500000000015</v>
      </c>
    </row>
    <row r="59" spans="1:5" ht="23.25" x14ac:dyDescent="0.25">
      <c r="A59" s="177"/>
      <c r="B59" s="75" t="s">
        <v>99</v>
      </c>
      <c r="C59" s="54">
        <f>C57+C58</f>
        <v>1029234.0000000001</v>
      </c>
      <c r="D59" s="43">
        <f>D57+D58</f>
        <v>170607</v>
      </c>
      <c r="E59" s="43">
        <f>E57+E58</f>
        <v>858627.00000000012</v>
      </c>
    </row>
    <row r="60" spans="1:5" x14ac:dyDescent="0.25">
      <c r="A60" s="177"/>
      <c r="B60" s="75"/>
      <c r="C60" s="54"/>
      <c r="D60" s="43"/>
      <c r="E60" s="43"/>
    </row>
    <row r="61" spans="1:5" ht="23.25" x14ac:dyDescent="0.25">
      <c r="A61" s="177"/>
      <c r="B61" s="75" t="s">
        <v>100</v>
      </c>
      <c r="C61" s="54">
        <f>C47*50</f>
        <v>150000</v>
      </c>
      <c r="D61" s="43"/>
      <c r="E61" s="43"/>
    </row>
    <row r="62" spans="1:5" ht="15.75" x14ac:dyDescent="0.25">
      <c r="A62" s="177"/>
      <c r="B62" s="75" t="s">
        <v>71</v>
      </c>
      <c r="C62" s="86">
        <f>C59+C61+E65</f>
        <v>1564234</v>
      </c>
      <c r="D62" s="43"/>
      <c r="E62" s="43"/>
    </row>
    <row r="63" spans="1:5" x14ac:dyDescent="0.25">
      <c r="A63" s="47"/>
      <c r="B63" s="47"/>
      <c r="C63" s="47"/>
      <c r="D63" s="47"/>
      <c r="E63" s="47"/>
    </row>
    <row r="65" spans="2:5" ht="34.5" x14ac:dyDescent="0.25">
      <c r="B65" s="73" t="s">
        <v>137</v>
      </c>
      <c r="C65">
        <f>32000-25000</f>
        <v>7000</v>
      </c>
      <c r="D65">
        <v>55</v>
      </c>
      <c r="E65">
        <f>C65*D65</f>
        <v>385000</v>
      </c>
    </row>
    <row r="67" spans="2:5" ht="18.75" x14ac:dyDescent="0.3">
      <c r="B67" s="55" t="s">
        <v>81</v>
      </c>
      <c r="C67" s="56">
        <f>C54+C62</f>
        <v>2805100</v>
      </c>
      <c r="D67" s="170">
        <f>C67-C69</f>
        <v>254010</v>
      </c>
    </row>
    <row r="69" spans="2:5" ht="18.75" x14ac:dyDescent="0.3">
      <c r="B69" t="s">
        <v>146</v>
      </c>
      <c r="C69" s="56">
        <f>'სამეგრელო (2)'!C62</f>
        <v>2551090</v>
      </c>
      <c r="D69" s="111"/>
    </row>
    <row r="71" spans="2:5" ht="18.75" x14ac:dyDescent="0.3">
      <c r="B71" t="s">
        <v>147</v>
      </c>
      <c r="C71" s="56">
        <f>'სამეგრელო (3)'!C62</f>
        <v>2578090</v>
      </c>
    </row>
    <row r="73" spans="2:5" ht="18.75" x14ac:dyDescent="0.3">
      <c r="B73" t="s">
        <v>147</v>
      </c>
      <c r="C73" s="56">
        <f>'სამეგრელო (4)'!E54+'სამეგრელო (4)'!C62</f>
        <v>2784112</v>
      </c>
    </row>
  </sheetData>
  <mergeCells count="75">
    <mergeCell ref="A1:K1"/>
    <mergeCell ref="G2:H2"/>
    <mergeCell ref="J2:K2"/>
    <mergeCell ref="D4:E4"/>
    <mergeCell ref="A5:A17"/>
    <mergeCell ref="B5:B7"/>
    <mergeCell ref="E5:E7"/>
    <mergeCell ref="G5:G7"/>
    <mergeCell ref="H5:H7"/>
    <mergeCell ref="J5:J7"/>
    <mergeCell ref="K5:K7"/>
    <mergeCell ref="B9:B10"/>
    <mergeCell ref="E9:E10"/>
    <mergeCell ref="G9:G10"/>
    <mergeCell ref="H9:H10"/>
    <mergeCell ref="J9:J10"/>
    <mergeCell ref="K9:K10"/>
    <mergeCell ref="K16:K17"/>
    <mergeCell ref="B12:B14"/>
    <mergeCell ref="E12:E14"/>
    <mergeCell ref="G12:G14"/>
    <mergeCell ref="H12:H14"/>
    <mergeCell ref="J12:J14"/>
    <mergeCell ref="K12:K14"/>
    <mergeCell ref="B16:B17"/>
    <mergeCell ref="E16:E17"/>
    <mergeCell ref="G16:G17"/>
    <mergeCell ref="H16:H17"/>
    <mergeCell ref="J16:J17"/>
    <mergeCell ref="A19:A27"/>
    <mergeCell ref="B19:B21"/>
    <mergeCell ref="E19:E21"/>
    <mergeCell ref="G19:G21"/>
    <mergeCell ref="H19:H21"/>
    <mergeCell ref="K19:K21"/>
    <mergeCell ref="B23:B25"/>
    <mergeCell ref="E23:E25"/>
    <mergeCell ref="G23:G25"/>
    <mergeCell ref="H23:H25"/>
    <mergeCell ref="J23:J25"/>
    <mergeCell ref="K23:K25"/>
    <mergeCell ref="J19:J21"/>
    <mergeCell ref="A29:A39"/>
    <mergeCell ref="B29:B30"/>
    <mergeCell ref="E29:E30"/>
    <mergeCell ref="G29:G30"/>
    <mergeCell ref="H29:H30"/>
    <mergeCell ref="B35:B36"/>
    <mergeCell ref="E35:E36"/>
    <mergeCell ref="G35:G36"/>
    <mergeCell ref="H35:H36"/>
    <mergeCell ref="K29:K30"/>
    <mergeCell ref="B32:B33"/>
    <mergeCell ref="E32:E33"/>
    <mergeCell ref="G32:G33"/>
    <mergeCell ref="H32:H33"/>
    <mergeCell ref="J32:J33"/>
    <mergeCell ref="K32:K33"/>
    <mergeCell ref="J29:J30"/>
    <mergeCell ref="J35:J36"/>
    <mergeCell ref="K35:K36"/>
    <mergeCell ref="B38:B39"/>
    <mergeCell ref="E38:E39"/>
    <mergeCell ref="G38:G39"/>
    <mergeCell ref="H38:H39"/>
    <mergeCell ref="J38:J39"/>
    <mergeCell ref="K38:K39"/>
    <mergeCell ref="A51:A54"/>
    <mergeCell ref="A56:A62"/>
    <mergeCell ref="G41:H41"/>
    <mergeCell ref="J41:K41"/>
    <mergeCell ref="A43:A44"/>
    <mergeCell ref="C43:D43"/>
    <mergeCell ref="C44:D44"/>
    <mergeCell ref="A46:A49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workbookViewId="0">
      <selection sqref="A1:XFD1048576"/>
    </sheetView>
  </sheetViews>
  <sheetFormatPr defaultRowHeight="15" x14ac:dyDescent="0.25"/>
  <cols>
    <col min="2" max="2" width="18.5703125" bestFit="1" customWidth="1"/>
    <col min="3" max="3" width="42.5703125" bestFit="1" customWidth="1"/>
    <col min="4" max="4" width="17.42578125" customWidth="1"/>
    <col min="5" max="5" width="18.140625" customWidth="1"/>
    <col min="6" max="6" width="4" customWidth="1"/>
    <col min="7" max="7" width="14.5703125" bestFit="1" customWidth="1"/>
    <col min="8" max="8" width="10.42578125" customWidth="1"/>
    <col min="9" max="9" width="4" customWidth="1"/>
    <col min="10" max="10" width="14.5703125" bestFit="1" customWidth="1"/>
    <col min="11" max="11" width="10" customWidth="1"/>
    <col min="12" max="12" width="17" customWidth="1"/>
    <col min="13" max="13" width="15.5703125" customWidth="1"/>
  </cols>
  <sheetData>
    <row r="1" spans="1:11" x14ac:dyDescent="0.25">
      <c r="A1" s="202" t="s">
        <v>82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x14ac:dyDescent="0.25">
      <c r="F2" s="47"/>
      <c r="G2" s="189" t="s">
        <v>73</v>
      </c>
      <c r="H2" s="189"/>
      <c r="I2" s="47"/>
      <c r="J2" s="189" t="s">
        <v>72</v>
      </c>
      <c r="K2" s="189"/>
    </row>
    <row r="3" spans="1:11" x14ac:dyDescent="0.25">
      <c r="F3" s="47"/>
      <c r="G3" s="45" t="s">
        <v>67</v>
      </c>
      <c r="H3" s="45" t="s">
        <v>47</v>
      </c>
      <c r="I3" s="47"/>
      <c r="J3" s="45" t="s">
        <v>67</v>
      </c>
      <c r="K3" s="45" t="s">
        <v>47</v>
      </c>
    </row>
    <row r="4" spans="1:11" ht="34.5" customHeight="1" x14ac:dyDescent="0.25">
      <c r="D4" s="190" t="s">
        <v>74</v>
      </c>
      <c r="E4" s="191"/>
      <c r="F4" s="47"/>
      <c r="G4" s="46">
        <v>0</v>
      </c>
      <c r="H4" s="46">
        <v>0</v>
      </c>
      <c r="I4" s="47"/>
      <c r="J4" s="46">
        <v>1</v>
      </c>
      <c r="K4" s="46">
        <v>1</v>
      </c>
    </row>
    <row r="5" spans="1:11" x14ac:dyDescent="0.25">
      <c r="A5" s="177" t="s">
        <v>51</v>
      </c>
      <c r="B5" s="178" t="s">
        <v>43</v>
      </c>
      <c r="C5" s="27" t="s">
        <v>39</v>
      </c>
      <c r="D5" s="101">
        <v>110</v>
      </c>
      <c r="E5" s="179">
        <f>D5+D6+D7</f>
        <v>488</v>
      </c>
      <c r="F5" s="47"/>
      <c r="G5" s="188">
        <f>E5*$G$4</f>
        <v>0</v>
      </c>
      <c r="H5" s="188">
        <f>E5*H4</f>
        <v>0</v>
      </c>
      <c r="I5" s="47"/>
      <c r="J5" s="188">
        <f>E5*J4</f>
        <v>488</v>
      </c>
      <c r="K5" s="188">
        <f>E5*K4</f>
        <v>488</v>
      </c>
    </row>
    <row r="6" spans="1:11" x14ac:dyDescent="0.25">
      <c r="A6" s="177"/>
      <c r="B6" s="178"/>
      <c r="C6" s="27" t="s">
        <v>40</v>
      </c>
      <c r="D6" s="101">
        <f>'მკურნალობაში ჩართვის ჯგუფები'!E6</f>
        <v>369</v>
      </c>
      <c r="E6" s="179"/>
      <c r="F6" s="47"/>
      <c r="G6" s="188"/>
      <c r="H6" s="188"/>
      <c r="I6" s="47"/>
      <c r="J6" s="188"/>
      <c r="K6" s="188"/>
    </row>
    <row r="7" spans="1:11" x14ac:dyDescent="0.25">
      <c r="A7" s="177"/>
      <c r="B7" s="178"/>
      <c r="C7" s="27" t="s">
        <v>42</v>
      </c>
      <c r="D7" s="101">
        <f>'მკურნალობაში ჩართვის ჯგუფები'!E8</f>
        <v>9</v>
      </c>
      <c r="E7" s="179"/>
      <c r="F7" s="47"/>
      <c r="G7" s="188"/>
      <c r="H7" s="188"/>
      <c r="I7" s="47"/>
      <c r="J7" s="188"/>
      <c r="K7" s="188"/>
    </row>
    <row r="8" spans="1:11" x14ac:dyDescent="0.25">
      <c r="A8" s="177"/>
      <c r="D8" s="106"/>
      <c r="E8" s="36"/>
      <c r="F8" s="47"/>
      <c r="I8" s="47"/>
    </row>
    <row r="9" spans="1:11" x14ac:dyDescent="0.25">
      <c r="A9" s="177"/>
      <c r="B9" s="178" t="s">
        <v>44</v>
      </c>
      <c r="C9" s="27" t="s">
        <v>39</v>
      </c>
      <c r="D9" s="101">
        <v>110</v>
      </c>
      <c r="E9" s="179">
        <f>D9+D10</f>
        <v>479</v>
      </c>
      <c r="F9" s="47"/>
      <c r="G9" s="188">
        <f>E9*G4</f>
        <v>0</v>
      </c>
      <c r="H9" s="188">
        <f>E9*H4</f>
        <v>0</v>
      </c>
      <c r="I9" s="47"/>
      <c r="J9" s="188">
        <f>E9*J4</f>
        <v>479</v>
      </c>
      <c r="K9" s="188">
        <f>E9*K4</f>
        <v>479</v>
      </c>
    </row>
    <row r="10" spans="1:11" x14ac:dyDescent="0.25">
      <c r="A10" s="177"/>
      <c r="B10" s="178"/>
      <c r="C10" s="27" t="s">
        <v>40</v>
      </c>
      <c r="D10" s="101">
        <f>'მკურნალობაში ჩართვის ჯგუფები'!E6</f>
        <v>369</v>
      </c>
      <c r="E10" s="179"/>
      <c r="F10" s="47"/>
      <c r="G10" s="188"/>
      <c r="H10" s="188"/>
      <c r="I10" s="47"/>
      <c r="J10" s="188"/>
      <c r="K10" s="188"/>
    </row>
    <row r="11" spans="1:11" x14ac:dyDescent="0.25">
      <c r="A11" s="177"/>
      <c r="D11" s="106"/>
      <c r="E11" s="36"/>
      <c r="F11" s="47"/>
      <c r="I11" s="47"/>
    </row>
    <row r="12" spans="1:11" x14ac:dyDescent="0.25">
      <c r="A12" s="177"/>
      <c r="B12" s="178" t="s">
        <v>45</v>
      </c>
      <c r="C12" s="27" t="s">
        <v>39</v>
      </c>
      <c r="D12" s="101">
        <v>110</v>
      </c>
      <c r="E12" s="179">
        <f>D12+D13+D14</f>
        <v>408</v>
      </c>
      <c r="F12" s="47"/>
      <c r="G12" s="188">
        <f>E12*G4</f>
        <v>0</v>
      </c>
      <c r="H12" s="188">
        <f>E12*H4</f>
        <v>0</v>
      </c>
      <c r="I12" s="47"/>
      <c r="J12" s="188">
        <f>E12*J4</f>
        <v>408</v>
      </c>
      <c r="K12" s="188">
        <f>E12*K4</f>
        <v>408</v>
      </c>
    </row>
    <row r="13" spans="1:11" x14ac:dyDescent="0.25">
      <c r="A13" s="177"/>
      <c r="B13" s="178"/>
      <c r="C13" s="27" t="s">
        <v>41</v>
      </c>
      <c r="D13" s="101">
        <f>'მკურნალობაში ჩართვის ჯგუფები'!E7</f>
        <v>289</v>
      </c>
      <c r="E13" s="179"/>
      <c r="F13" s="47"/>
      <c r="G13" s="188"/>
      <c r="H13" s="188"/>
      <c r="I13" s="47"/>
      <c r="J13" s="188"/>
      <c r="K13" s="188"/>
    </row>
    <row r="14" spans="1:11" x14ac:dyDescent="0.25">
      <c r="A14" s="177"/>
      <c r="B14" s="178"/>
      <c r="C14" s="27" t="s">
        <v>42</v>
      </c>
      <c r="D14" s="101">
        <f>'მკურნალობაში ჩართვის ჯგუფები'!E8</f>
        <v>9</v>
      </c>
      <c r="E14" s="179"/>
      <c r="F14" s="47"/>
      <c r="G14" s="188"/>
      <c r="H14" s="188"/>
      <c r="I14" s="47"/>
      <c r="J14" s="188"/>
      <c r="K14" s="188"/>
    </row>
    <row r="15" spans="1:11" x14ac:dyDescent="0.25">
      <c r="A15" s="177"/>
      <c r="D15" s="106"/>
      <c r="E15" s="36"/>
      <c r="F15" s="47"/>
      <c r="I15" s="47"/>
    </row>
    <row r="16" spans="1:11" x14ac:dyDescent="0.25">
      <c r="A16" s="177"/>
      <c r="B16" s="178" t="s">
        <v>46</v>
      </c>
      <c r="C16" s="27" t="s">
        <v>39</v>
      </c>
      <c r="D16" s="101">
        <v>110</v>
      </c>
      <c r="E16" s="179">
        <f>D16+D17</f>
        <v>399</v>
      </c>
      <c r="F16" s="47"/>
      <c r="G16" s="188">
        <f>E16*G4</f>
        <v>0</v>
      </c>
      <c r="H16" s="188">
        <f>E16*H4</f>
        <v>0</v>
      </c>
      <c r="I16" s="47"/>
      <c r="J16" s="188">
        <f>E16*J4</f>
        <v>399</v>
      </c>
      <c r="K16" s="188">
        <f>E16*K4</f>
        <v>399</v>
      </c>
    </row>
    <row r="17" spans="1:11" x14ac:dyDescent="0.25">
      <c r="A17" s="177"/>
      <c r="B17" s="178"/>
      <c r="C17" s="27" t="s">
        <v>41</v>
      </c>
      <c r="D17" s="101">
        <f>'მკურნალობაში ჩართვის ჯგუფები'!E7</f>
        <v>289</v>
      </c>
      <c r="E17" s="179"/>
      <c r="F17" s="47"/>
      <c r="G17" s="188"/>
      <c r="H17" s="188"/>
      <c r="I17" s="47"/>
      <c r="J17" s="188"/>
      <c r="K17" s="188"/>
    </row>
    <row r="18" spans="1:11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</row>
    <row r="19" spans="1:11" x14ac:dyDescent="0.25">
      <c r="A19" s="177" t="s">
        <v>54</v>
      </c>
      <c r="B19" s="178" t="s">
        <v>55</v>
      </c>
      <c r="C19" s="29" t="s">
        <v>33</v>
      </c>
      <c r="D19" s="101">
        <f>'მონიტორინგის კვლევების ჯგუფები'!E5</f>
        <v>236</v>
      </c>
      <c r="E19" s="179">
        <f>AVERAGE(D19:D21)</f>
        <v>227</v>
      </c>
      <c r="F19" s="47"/>
      <c r="G19" s="195">
        <f>E19*G4</f>
        <v>0</v>
      </c>
      <c r="H19" s="195">
        <f>E19*H4</f>
        <v>0</v>
      </c>
      <c r="I19" s="47"/>
      <c r="J19" s="195">
        <f>E19*J4</f>
        <v>227</v>
      </c>
      <c r="K19" s="195">
        <f>E19*K4</f>
        <v>227</v>
      </c>
    </row>
    <row r="20" spans="1:11" x14ac:dyDescent="0.25">
      <c r="A20" s="177"/>
      <c r="B20" s="178"/>
      <c r="C20" s="29" t="s">
        <v>31</v>
      </c>
      <c r="D20" s="101">
        <f>'მონიტორინგის კვლევების ჯგუფები'!E6</f>
        <v>227</v>
      </c>
      <c r="E20" s="179"/>
      <c r="F20" s="47"/>
      <c r="G20" s="196"/>
      <c r="H20" s="196"/>
      <c r="I20" s="47"/>
      <c r="J20" s="196"/>
      <c r="K20" s="196"/>
    </row>
    <row r="21" spans="1:11" x14ac:dyDescent="0.25">
      <c r="A21" s="177"/>
      <c r="B21" s="178"/>
      <c r="C21" s="37" t="s">
        <v>34</v>
      </c>
      <c r="D21" s="101">
        <f>'მონიტორინგის კვლევების ჯგუფები'!E7</f>
        <v>218</v>
      </c>
      <c r="E21" s="179"/>
      <c r="F21" s="47"/>
      <c r="G21" s="197"/>
      <c r="H21" s="197"/>
      <c r="I21" s="47"/>
      <c r="J21" s="197"/>
      <c r="K21" s="197"/>
    </row>
    <row r="22" spans="1:11" x14ac:dyDescent="0.25">
      <c r="A22" s="177"/>
      <c r="E22" s="36"/>
      <c r="F22" s="47"/>
      <c r="I22" s="47"/>
    </row>
    <row r="23" spans="1:11" x14ac:dyDescent="0.25">
      <c r="A23" s="177"/>
      <c r="B23" s="178" t="s">
        <v>56</v>
      </c>
      <c r="C23" s="29" t="s">
        <v>35</v>
      </c>
      <c r="D23" s="101">
        <f>'მონიტორინგის კვლევების ჯგუფები'!E8</f>
        <v>304</v>
      </c>
      <c r="E23" s="180">
        <f>AVERAGE(D23:D25)</f>
        <v>289</v>
      </c>
      <c r="F23" s="47"/>
      <c r="G23" s="188">
        <f>E23*G4</f>
        <v>0</v>
      </c>
      <c r="H23" s="195">
        <f>E23*H4</f>
        <v>0</v>
      </c>
      <c r="I23" s="47"/>
      <c r="J23" s="188">
        <f>E23*J4</f>
        <v>289</v>
      </c>
      <c r="K23" s="195">
        <f>E23*K4</f>
        <v>289</v>
      </c>
    </row>
    <row r="24" spans="1:11" x14ac:dyDescent="0.25">
      <c r="A24" s="177"/>
      <c r="B24" s="178"/>
      <c r="C24" s="29" t="s">
        <v>32</v>
      </c>
      <c r="D24" s="101">
        <f>'მონიტორინგის კვლევების ჯგუფები'!E9</f>
        <v>286</v>
      </c>
      <c r="E24" s="181"/>
      <c r="F24" s="47"/>
      <c r="G24" s="188"/>
      <c r="H24" s="196"/>
      <c r="I24" s="47"/>
      <c r="J24" s="188"/>
      <c r="K24" s="196"/>
    </row>
    <row r="25" spans="1:11" x14ac:dyDescent="0.25">
      <c r="A25" s="177"/>
      <c r="B25" s="178"/>
      <c r="C25" s="37" t="s">
        <v>36</v>
      </c>
      <c r="D25" s="101">
        <f>'მონიტორინგის კვლევების ჯგუფები'!E10</f>
        <v>277</v>
      </c>
      <c r="E25" s="182"/>
      <c r="F25" s="47"/>
      <c r="G25" s="188"/>
      <c r="H25" s="197"/>
      <c r="I25" s="47"/>
      <c r="J25" s="188"/>
      <c r="K25" s="197"/>
    </row>
    <row r="26" spans="1:11" x14ac:dyDescent="0.25">
      <c r="A26" s="177"/>
      <c r="E26" s="36"/>
      <c r="F26" s="47"/>
      <c r="I26" s="47"/>
    </row>
    <row r="27" spans="1:11" x14ac:dyDescent="0.25">
      <c r="A27" s="177"/>
      <c r="B27" s="104" t="s">
        <v>57</v>
      </c>
      <c r="C27" s="27" t="s">
        <v>53</v>
      </c>
      <c r="D27" s="38">
        <f>'მონიტორინგის კვლევების ჯგუფები'!E11</f>
        <v>130</v>
      </c>
      <c r="E27" s="102">
        <v>130</v>
      </c>
      <c r="F27" s="47"/>
      <c r="G27" s="101">
        <v>0</v>
      </c>
      <c r="H27" s="101">
        <v>0</v>
      </c>
      <c r="I27" s="47"/>
      <c r="J27" s="101">
        <f>E27</f>
        <v>130</v>
      </c>
      <c r="K27" s="101">
        <f>E27</f>
        <v>130</v>
      </c>
    </row>
    <row r="28" spans="1:11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5">
      <c r="A29" s="199" t="s">
        <v>66</v>
      </c>
      <c r="B29" s="178" t="s">
        <v>48</v>
      </c>
      <c r="C29" s="27" t="s">
        <v>58</v>
      </c>
      <c r="D29" s="101">
        <f>E5+E19+E27</f>
        <v>845</v>
      </c>
      <c r="E29" s="179">
        <f>AVERAGE(D29:D30)</f>
        <v>840.5</v>
      </c>
      <c r="F29" s="47"/>
      <c r="G29" s="188">
        <f>(E29-E27)*G4</f>
        <v>0</v>
      </c>
      <c r="H29" s="188">
        <f>(E29-E27)*H4</f>
        <v>0</v>
      </c>
      <c r="I29" s="47"/>
      <c r="J29" s="188">
        <f>(E29-E27)*J4+E27</f>
        <v>840.5</v>
      </c>
      <c r="K29" s="188">
        <f>(E29-E27)*K4+E27</f>
        <v>840.5</v>
      </c>
    </row>
    <row r="30" spans="1:11" x14ac:dyDescent="0.25">
      <c r="A30" s="200"/>
      <c r="B30" s="178"/>
      <c r="C30" s="27" t="s">
        <v>60</v>
      </c>
      <c r="D30" s="101">
        <f>E9+E19+E27</f>
        <v>836</v>
      </c>
      <c r="E30" s="179"/>
      <c r="F30" s="47"/>
      <c r="G30" s="188"/>
      <c r="H30" s="188"/>
      <c r="I30" s="47"/>
      <c r="J30" s="188"/>
      <c r="K30" s="188"/>
    </row>
    <row r="31" spans="1:11" x14ac:dyDescent="0.25">
      <c r="A31" s="200"/>
      <c r="B31" s="36"/>
      <c r="D31" s="106"/>
      <c r="E31" s="36"/>
      <c r="F31" s="47"/>
      <c r="I31" s="47"/>
    </row>
    <row r="32" spans="1:11" x14ac:dyDescent="0.25">
      <c r="A32" s="200"/>
      <c r="B32" s="178" t="s">
        <v>49</v>
      </c>
      <c r="C32" s="27" t="s">
        <v>59</v>
      </c>
      <c r="D32" s="101">
        <f>E5+E23+E27</f>
        <v>907</v>
      </c>
      <c r="E32" s="179">
        <f>AVERAGE(D32:D33)</f>
        <v>902.5</v>
      </c>
      <c r="F32" s="47"/>
      <c r="G32" s="188">
        <f>(E32-E27)*G4</f>
        <v>0</v>
      </c>
      <c r="H32" s="188">
        <f>(E32-E27)*H4</f>
        <v>0</v>
      </c>
      <c r="I32" s="47"/>
      <c r="J32" s="188">
        <f>(E32-E27)*J4+E27</f>
        <v>902.5</v>
      </c>
      <c r="K32" s="188">
        <f>(E32-E27)*K4+E27</f>
        <v>902.5</v>
      </c>
    </row>
    <row r="33" spans="1:11" x14ac:dyDescent="0.25">
      <c r="A33" s="200"/>
      <c r="B33" s="178"/>
      <c r="C33" s="27" t="s">
        <v>61</v>
      </c>
      <c r="D33" s="101">
        <f>E9+E23+E27</f>
        <v>898</v>
      </c>
      <c r="E33" s="179"/>
      <c r="F33" s="47"/>
      <c r="G33" s="188"/>
      <c r="H33" s="188"/>
      <c r="I33" s="47"/>
      <c r="J33" s="188"/>
      <c r="K33" s="188"/>
    </row>
    <row r="34" spans="1:11" x14ac:dyDescent="0.25">
      <c r="A34" s="200"/>
      <c r="B34" s="36"/>
      <c r="D34" s="106"/>
      <c r="E34" s="36"/>
      <c r="F34" s="47"/>
      <c r="I34" s="47"/>
    </row>
    <row r="35" spans="1:11" x14ac:dyDescent="0.25">
      <c r="A35" s="200"/>
      <c r="B35" s="178" t="s">
        <v>52</v>
      </c>
      <c r="C35" s="27" t="s">
        <v>62</v>
      </c>
      <c r="D35" s="101">
        <f>E12+E19+E27</f>
        <v>765</v>
      </c>
      <c r="E35" s="179">
        <f>AVERAGE(D35:D36)</f>
        <v>760.5</v>
      </c>
      <c r="F35" s="47"/>
      <c r="G35" s="188">
        <f>(E35-E27)*G4</f>
        <v>0</v>
      </c>
      <c r="H35" s="188">
        <f>(E35-E27)*H4</f>
        <v>0</v>
      </c>
      <c r="I35" s="47"/>
      <c r="J35" s="188">
        <f>(E35-E27)*J4+E27</f>
        <v>760.5</v>
      </c>
      <c r="K35" s="188">
        <f>(E35-E27)*K4+E27</f>
        <v>760.5</v>
      </c>
    </row>
    <row r="36" spans="1:11" x14ac:dyDescent="0.25">
      <c r="A36" s="200"/>
      <c r="B36" s="178"/>
      <c r="C36" s="27" t="s">
        <v>64</v>
      </c>
      <c r="D36" s="101">
        <f>E16+E19+E27</f>
        <v>756</v>
      </c>
      <c r="E36" s="179"/>
      <c r="F36" s="47"/>
      <c r="G36" s="188"/>
      <c r="H36" s="188"/>
      <c r="I36" s="47"/>
      <c r="J36" s="188"/>
      <c r="K36" s="188"/>
    </row>
    <row r="37" spans="1:11" x14ac:dyDescent="0.25">
      <c r="A37" s="200"/>
      <c r="B37" s="36"/>
      <c r="D37" s="106"/>
      <c r="E37" s="36"/>
      <c r="F37" s="47"/>
      <c r="I37" s="47"/>
    </row>
    <row r="38" spans="1:11" x14ac:dyDescent="0.25">
      <c r="A38" s="200"/>
      <c r="B38" s="183" t="s">
        <v>50</v>
      </c>
      <c r="C38" s="27" t="s">
        <v>63</v>
      </c>
      <c r="D38" s="101">
        <f>E12+E23+E27</f>
        <v>827</v>
      </c>
      <c r="E38" s="179">
        <f>AVERAGE(D38:D39)</f>
        <v>822.5</v>
      </c>
      <c r="F38" s="47"/>
      <c r="G38" s="188">
        <f>(E38-E27)*G4</f>
        <v>0</v>
      </c>
      <c r="H38" s="188">
        <f>(E38-E27)*H4</f>
        <v>0</v>
      </c>
      <c r="I38" s="47"/>
      <c r="J38" s="188">
        <f>(E38-E27)*J4+E27</f>
        <v>822.5</v>
      </c>
      <c r="K38" s="188">
        <f>(E38-E27)*K4+E27</f>
        <v>822.5</v>
      </c>
    </row>
    <row r="39" spans="1:11" x14ac:dyDescent="0.25">
      <c r="A39" s="201"/>
      <c r="B39" s="184"/>
      <c r="C39" s="27" t="s">
        <v>65</v>
      </c>
      <c r="D39" s="101">
        <f>E16+E23+E27</f>
        <v>818</v>
      </c>
      <c r="E39" s="179"/>
      <c r="F39" s="47"/>
      <c r="G39" s="188"/>
      <c r="H39" s="188"/>
      <c r="I39" s="47"/>
      <c r="J39" s="188"/>
      <c r="K39" s="188"/>
    </row>
    <row r="40" spans="1:11" x14ac:dyDescent="0.25">
      <c r="A40" s="48"/>
      <c r="B40" s="49"/>
      <c r="C40" s="50"/>
      <c r="D40" s="51"/>
      <c r="E40" s="49"/>
      <c r="F40" s="47"/>
      <c r="G40" s="51"/>
      <c r="H40" s="51"/>
      <c r="I40" s="47"/>
      <c r="J40" s="47"/>
      <c r="K40" s="47"/>
    </row>
    <row r="41" spans="1:11" x14ac:dyDescent="0.25">
      <c r="F41" s="47"/>
      <c r="G41" s="185" t="s">
        <v>75</v>
      </c>
      <c r="H41" s="185"/>
      <c r="I41" s="47"/>
      <c r="J41" s="185" t="s">
        <v>76</v>
      </c>
      <c r="K41" s="185"/>
    </row>
    <row r="42" spans="1:11" ht="13.5" customHeight="1" x14ac:dyDescent="0.25">
      <c r="F42" s="47"/>
      <c r="G42" s="103" t="s">
        <v>67</v>
      </c>
      <c r="H42" s="103" t="s">
        <v>47</v>
      </c>
      <c r="I42" s="47"/>
      <c r="J42" s="103" t="s">
        <v>67</v>
      </c>
      <c r="K42" s="103" t="s">
        <v>47</v>
      </c>
    </row>
    <row r="43" spans="1:11" ht="21" customHeight="1" x14ac:dyDescent="0.25">
      <c r="A43" s="198" t="s">
        <v>66</v>
      </c>
      <c r="B43" s="101" t="s">
        <v>48</v>
      </c>
      <c r="C43" s="186" t="s">
        <v>68</v>
      </c>
      <c r="D43" s="187"/>
      <c r="E43" s="101">
        <f>AVERAGE(E29,E35)</f>
        <v>800.5</v>
      </c>
      <c r="F43" s="47"/>
      <c r="G43" s="101">
        <v>0</v>
      </c>
      <c r="H43" s="101">
        <v>50</v>
      </c>
      <c r="I43" s="47"/>
      <c r="J43" s="101">
        <f>E43-G43</f>
        <v>800.5</v>
      </c>
      <c r="K43" s="101">
        <f>E43-H43</f>
        <v>750.5</v>
      </c>
    </row>
    <row r="44" spans="1:11" ht="29.25" customHeight="1" x14ac:dyDescent="0.25">
      <c r="A44" s="198"/>
      <c r="B44" s="101" t="s">
        <v>49</v>
      </c>
      <c r="C44" s="186" t="s">
        <v>69</v>
      </c>
      <c r="D44" s="187"/>
      <c r="E44" s="101">
        <f>AVERAGE(E32,E38)</f>
        <v>862.5</v>
      </c>
      <c r="F44" s="47"/>
      <c r="G44" s="101">
        <v>0</v>
      </c>
      <c r="H44" s="101">
        <v>100</v>
      </c>
      <c r="I44" s="47"/>
      <c r="J44" s="101">
        <f>E44-G44</f>
        <v>862.5</v>
      </c>
      <c r="K44" s="101">
        <f>E44-H44</f>
        <v>762.5</v>
      </c>
    </row>
    <row r="45" spans="1:11" x14ac:dyDescent="0.25">
      <c r="A45" s="48"/>
      <c r="B45" s="49"/>
      <c r="C45" s="50"/>
      <c r="D45" s="51"/>
      <c r="E45" s="49"/>
      <c r="F45" s="47"/>
      <c r="G45" s="51"/>
      <c r="H45" s="51"/>
      <c r="I45" s="47"/>
      <c r="J45" s="47"/>
      <c r="K45" s="47"/>
    </row>
    <row r="46" spans="1:11" x14ac:dyDescent="0.25">
      <c r="A46" s="192" t="s">
        <v>77</v>
      </c>
      <c r="B46" s="27"/>
      <c r="C46" s="42" t="s">
        <v>79</v>
      </c>
      <c r="D46" s="52" t="s">
        <v>67</v>
      </c>
      <c r="E46" s="42" t="s">
        <v>47</v>
      </c>
    </row>
    <row r="47" spans="1:11" ht="23.25" x14ac:dyDescent="0.25">
      <c r="A47" s="193"/>
      <c r="B47" s="53" t="s">
        <v>70</v>
      </c>
      <c r="C47" s="101">
        <v>25000</v>
      </c>
      <c r="D47" s="101">
        <f>C47*10%</f>
        <v>2500</v>
      </c>
      <c r="E47" s="101">
        <f>C47*90%</f>
        <v>22500</v>
      </c>
    </row>
    <row r="48" spans="1:11" ht="21" customHeight="1" x14ac:dyDescent="0.25">
      <c r="A48" s="193"/>
      <c r="B48" s="53" t="s">
        <v>68</v>
      </c>
      <c r="C48" s="101">
        <f>C47*90%</f>
        <v>22500</v>
      </c>
      <c r="D48" s="101">
        <f>D47*90%</f>
        <v>2250</v>
      </c>
      <c r="E48" s="101">
        <f>E47*90%</f>
        <v>20250</v>
      </c>
    </row>
    <row r="49" spans="1:5" ht="34.5" x14ac:dyDescent="0.25">
      <c r="A49" s="194"/>
      <c r="B49" s="53" t="s">
        <v>69</v>
      </c>
      <c r="C49" s="101">
        <f>C47*10%</f>
        <v>2500</v>
      </c>
      <c r="D49" s="101">
        <f>D47*10%</f>
        <v>250</v>
      </c>
      <c r="E49" s="101">
        <f>E47*10%</f>
        <v>2250</v>
      </c>
    </row>
    <row r="50" spans="1:5" x14ac:dyDescent="0.25">
      <c r="A50" s="47"/>
      <c r="B50" s="47"/>
      <c r="C50" s="47"/>
      <c r="D50" s="47"/>
      <c r="E50" s="47"/>
    </row>
    <row r="51" spans="1:5" x14ac:dyDescent="0.25">
      <c r="A51" s="177" t="s">
        <v>78</v>
      </c>
      <c r="C51" s="42" t="s">
        <v>109</v>
      </c>
      <c r="D51" s="52" t="s">
        <v>67</v>
      </c>
      <c r="E51" s="42" t="s">
        <v>47</v>
      </c>
    </row>
    <row r="52" spans="1:5" ht="34.5" x14ac:dyDescent="0.25">
      <c r="A52" s="177"/>
      <c r="B52" s="74" t="s">
        <v>68</v>
      </c>
      <c r="C52" s="43">
        <f>D52+E52</f>
        <v>1012500</v>
      </c>
      <c r="D52" s="44">
        <f>D48*G43</f>
        <v>0</v>
      </c>
      <c r="E52" s="44">
        <f>E48*H43</f>
        <v>1012500</v>
      </c>
    </row>
    <row r="53" spans="1:5" ht="34.5" x14ac:dyDescent="0.25">
      <c r="A53" s="177"/>
      <c r="B53" s="74" t="s">
        <v>69</v>
      </c>
      <c r="C53" s="43">
        <f>D53+E53</f>
        <v>225000</v>
      </c>
      <c r="D53" s="44">
        <f>D49*G44</f>
        <v>0</v>
      </c>
      <c r="E53" s="44">
        <f>E49*H44</f>
        <v>225000</v>
      </c>
    </row>
    <row r="54" spans="1:5" x14ac:dyDescent="0.25">
      <c r="A54" s="177"/>
      <c r="B54" s="75" t="s">
        <v>71</v>
      </c>
      <c r="C54" s="54">
        <f>C52+C53</f>
        <v>1237500</v>
      </c>
      <c r="D54" s="43">
        <f>D52+D53</f>
        <v>0</v>
      </c>
      <c r="E54" s="43">
        <f>E52+E53</f>
        <v>1237500</v>
      </c>
    </row>
    <row r="55" spans="1:5" x14ac:dyDescent="0.25">
      <c r="A55" s="47"/>
      <c r="B55" s="47"/>
      <c r="C55" s="47"/>
      <c r="D55" s="47"/>
      <c r="E55" s="47"/>
    </row>
    <row r="56" spans="1:5" x14ac:dyDescent="0.25">
      <c r="A56" s="177" t="s">
        <v>80</v>
      </c>
      <c r="C56" s="42" t="s">
        <v>109</v>
      </c>
      <c r="D56" s="52" t="s">
        <v>67</v>
      </c>
      <c r="E56" s="42" t="s">
        <v>47</v>
      </c>
    </row>
    <row r="57" spans="1:5" ht="34.5" x14ac:dyDescent="0.25">
      <c r="A57" s="177"/>
      <c r="B57" s="74" t="s">
        <v>68</v>
      </c>
      <c r="C57" s="43">
        <f>D57+E57</f>
        <v>16998750</v>
      </c>
      <c r="D57" s="44">
        <f>D48*J43</f>
        <v>1801125</v>
      </c>
      <c r="E57" s="44">
        <f>E48*K43</f>
        <v>15197625</v>
      </c>
    </row>
    <row r="58" spans="1:5" ht="34.5" x14ac:dyDescent="0.25">
      <c r="A58" s="177"/>
      <c r="B58" s="74" t="s">
        <v>69</v>
      </c>
      <c r="C58" s="43">
        <f>D58+E58</f>
        <v>1931250</v>
      </c>
      <c r="D58" s="44">
        <f>D49*J44</f>
        <v>215625</v>
      </c>
      <c r="E58" s="44">
        <f>E49*K44</f>
        <v>1715625</v>
      </c>
    </row>
    <row r="59" spans="1:5" ht="23.25" x14ac:dyDescent="0.25">
      <c r="A59" s="177"/>
      <c r="B59" s="75" t="s">
        <v>99</v>
      </c>
      <c r="C59" s="54">
        <f>C57+C58</f>
        <v>18930000</v>
      </c>
      <c r="D59" s="43">
        <f>D57+D58</f>
        <v>2016750</v>
      </c>
      <c r="E59" s="43">
        <f>E57+E58</f>
        <v>16913250</v>
      </c>
    </row>
    <row r="60" spans="1:5" x14ac:dyDescent="0.25">
      <c r="A60" s="177"/>
      <c r="B60" s="75"/>
      <c r="C60" s="54"/>
      <c r="D60" s="43"/>
      <c r="E60" s="43"/>
    </row>
    <row r="61" spans="1:5" ht="23.25" x14ac:dyDescent="0.25">
      <c r="A61" s="177"/>
      <c r="B61" s="75" t="s">
        <v>100</v>
      </c>
      <c r="C61" s="54">
        <f>C47*50</f>
        <v>1250000</v>
      </c>
      <c r="D61" s="43"/>
      <c r="E61" s="43"/>
    </row>
    <row r="62" spans="1:5" ht="15.75" x14ac:dyDescent="0.25">
      <c r="A62" s="177"/>
      <c r="B62" s="75" t="s">
        <v>71</v>
      </c>
      <c r="C62" s="86">
        <f>C59+C61+E65</f>
        <v>20565000</v>
      </c>
      <c r="D62" s="43"/>
      <c r="E62" s="43"/>
    </row>
    <row r="63" spans="1:5" x14ac:dyDescent="0.25">
      <c r="A63" s="47"/>
      <c r="B63" s="47"/>
      <c r="C63" s="47"/>
      <c r="D63" s="47"/>
      <c r="E63" s="47"/>
    </row>
    <row r="65" spans="2:5" ht="34.5" x14ac:dyDescent="0.25">
      <c r="B65" s="73" t="s">
        <v>137</v>
      </c>
      <c r="C65">
        <f>32000-25000</f>
        <v>7000</v>
      </c>
      <c r="D65">
        <v>55</v>
      </c>
      <c r="E65">
        <f>C65*D65</f>
        <v>385000</v>
      </c>
    </row>
    <row r="67" spans="2:5" ht="18.75" x14ac:dyDescent="0.3">
      <c r="B67" s="55" t="s">
        <v>81</v>
      </c>
      <c r="C67" s="56">
        <f>C54+C62</f>
        <v>21802500</v>
      </c>
    </row>
  </sheetData>
  <mergeCells count="75">
    <mergeCell ref="A51:A54"/>
    <mergeCell ref="A56:A62"/>
    <mergeCell ref="G41:H41"/>
    <mergeCell ref="J41:K41"/>
    <mergeCell ref="A43:A44"/>
    <mergeCell ref="C43:D43"/>
    <mergeCell ref="C44:D44"/>
    <mergeCell ref="A46:A49"/>
    <mergeCell ref="J35:J36"/>
    <mergeCell ref="K35:K36"/>
    <mergeCell ref="B38:B39"/>
    <mergeCell ref="E38:E39"/>
    <mergeCell ref="G38:G39"/>
    <mergeCell ref="H38:H39"/>
    <mergeCell ref="J38:J39"/>
    <mergeCell ref="K38:K39"/>
    <mergeCell ref="K29:K30"/>
    <mergeCell ref="B32:B33"/>
    <mergeCell ref="E32:E33"/>
    <mergeCell ref="G32:G33"/>
    <mergeCell ref="H32:H33"/>
    <mergeCell ref="J32:J33"/>
    <mergeCell ref="K32:K33"/>
    <mergeCell ref="J29:J30"/>
    <mergeCell ref="A29:A39"/>
    <mergeCell ref="B29:B30"/>
    <mergeCell ref="E29:E30"/>
    <mergeCell ref="G29:G30"/>
    <mergeCell ref="H29:H30"/>
    <mergeCell ref="B35:B36"/>
    <mergeCell ref="E35:E36"/>
    <mergeCell ref="G35:G36"/>
    <mergeCell ref="H35:H36"/>
    <mergeCell ref="K19:K21"/>
    <mergeCell ref="B23:B25"/>
    <mergeCell ref="E23:E25"/>
    <mergeCell ref="G23:G25"/>
    <mergeCell ref="H23:H25"/>
    <mergeCell ref="J23:J25"/>
    <mergeCell ref="K23:K25"/>
    <mergeCell ref="J19:J21"/>
    <mergeCell ref="A19:A27"/>
    <mergeCell ref="B19:B21"/>
    <mergeCell ref="E19:E21"/>
    <mergeCell ref="G19:G21"/>
    <mergeCell ref="H19:H21"/>
    <mergeCell ref="K9:K10"/>
    <mergeCell ref="K16:K17"/>
    <mergeCell ref="B12:B14"/>
    <mergeCell ref="E12:E14"/>
    <mergeCell ref="G12:G14"/>
    <mergeCell ref="H12:H14"/>
    <mergeCell ref="J12:J14"/>
    <mergeCell ref="K12:K14"/>
    <mergeCell ref="B16:B17"/>
    <mergeCell ref="E16:E17"/>
    <mergeCell ref="G16:G17"/>
    <mergeCell ref="H16:H17"/>
    <mergeCell ref="J16:J17"/>
    <mergeCell ref="A1:K1"/>
    <mergeCell ref="G2:H2"/>
    <mergeCell ref="J2:K2"/>
    <mergeCell ref="D4:E4"/>
    <mergeCell ref="A5:A17"/>
    <mergeCell ref="B5:B7"/>
    <mergeCell ref="E5:E7"/>
    <mergeCell ref="G5:G7"/>
    <mergeCell ref="H5:H7"/>
    <mergeCell ref="J5:J7"/>
    <mergeCell ref="K5:K7"/>
    <mergeCell ref="B9:B10"/>
    <mergeCell ref="E9:E10"/>
    <mergeCell ref="G9:G10"/>
    <mergeCell ref="H9:H10"/>
    <mergeCell ref="J9:J10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opLeftCell="A32" workbookViewId="0">
      <selection activeCell="H50" sqref="H50"/>
    </sheetView>
  </sheetViews>
  <sheetFormatPr defaultRowHeight="15" x14ac:dyDescent="0.25"/>
  <cols>
    <col min="2" max="2" width="18.5703125" bestFit="1" customWidth="1"/>
    <col min="3" max="3" width="42.5703125" bestFit="1" customWidth="1"/>
    <col min="4" max="4" width="17.42578125" customWidth="1"/>
    <col min="5" max="5" width="18.140625" customWidth="1"/>
    <col min="6" max="6" width="4" customWidth="1"/>
    <col min="7" max="7" width="14.5703125" bestFit="1" customWidth="1"/>
    <col min="8" max="8" width="10.42578125" customWidth="1"/>
    <col min="9" max="9" width="4" customWidth="1"/>
    <col min="10" max="10" width="14.5703125" bestFit="1" customWidth="1"/>
    <col min="11" max="11" width="10" customWidth="1"/>
    <col min="12" max="12" width="17" customWidth="1"/>
    <col min="13" max="13" width="15.5703125" customWidth="1"/>
  </cols>
  <sheetData>
    <row r="1" spans="1:11" x14ac:dyDescent="0.25">
      <c r="A1" s="202" t="s">
        <v>82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x14ac:dyDescent="0.25">
      <c r="F2" s="47"/>
      <c r="G2" s="189" t="s">
        <v>73</v>
      </c>
      <c r="H2" s="189"/>
      <c r="I2" s="47"/>
      <c r="J2" s="189" t="s">
        <v>72</v>
      </c>
      <c r="K2" s="189"/>
    </row>
    <row r="3" spans="1:11" x14ac:dyDescent="0.25">
      <c r="F3" s="47"/>
      <c r="G3" s="45" t="s">
        <v>67</v>
      </c>
      <c r="H3" s="45" t="s">
        <v>47</v>
      </c>
      <c r="I3" s="47"/>
      <c r="J3" s="45" t="s">
        <v>67</v>
      </c>
      <c r="K3" s="45" t="s">
        <v>47</v>
      </c>
    </row>
    <row r="4" spans="1:11" ht="34.5" customHeight="1" x14ac:dyDescent="0.25">
      <c r="D4" s="190" t="s">
        <v>74</v>
      </c>
      <c r="E4" s="191"/>
      <c r="F4" s="47"/>
      <c r="G4" s="46">
        <v>0</v>
      </c>
      <c r="H4" s="46">
        <v>0</v>
      </c>
      <c r="I4" s="47"/>
      <c r="J4" s="46">
        <v>1</v>
      </c>
      <c r="K4" s="46">
        <v>1</v>
      </c>
    </row>
    <row r="5" spans="1:11" x14ac:dyDescent="0.25">
      <c r="A5" s="177" t="s">
        <v>51</v>
      </c>
      <c r="B5" s="178" t="s">
        <v>43</v>
      </c>
      <c r="C5" s="27" t="s">
        <v>39</v>
      </c>
      <c r="D5" s="101">
        <v>110</v>
      </c>
      <c r="E5" s="179">
        <f>D5+D6+D7</f>
        <v>488</v>
      </c>
      <c r="F5" s="47"/>
      <c r="G5" s="188">
        <f>E5*$G$4</f>
        <v>0</v>
      </c>
      <c r="H5" s="188">
        <f>E5*H4</f>
        <v>0</v>
      </c>
      <c r="I5" s="47"/>
      <c r="J5" s="188">
        <f>E5*J4</f>
        <v>488</v>
      </c>
      <c r="K5" s="188">
        <f>E5*K4</f>
        <v>488</v>
      </c>
    </row>
    <row r="6" spans="1:11" x14ac:dyDescent="0.25">
      <c r="A6" s="177"/>
      <c r="B6" s="178"/>
      <c r="C6" s="27" t="s">
        <v>40</v>
      </c>
      <c r="D6" s="101">
        <f>'მკურნალობაში ჩართვის ჯგუფები'!E6</f>
        <v>369</v>
      </c>
      <c r="E6" s="179"/>
      <c r="F6" s="47"/>
      <c r="G6" s="188"/>
      <c r="H6" s="188"/>
      <c r="I6" s="47"/>
      <c r="J6" s="188"/>
      <c r="K6" s="188"/>
    </row>
    <row r="7" spans="1:11" x14ac:dyDescent="0.25">
      <c r="A7" s="177"/>
      <c r="B7" s="178"/>
      <c r="C7" s="27" t="s">
        <v>42</v>
      </c>
      <c r="D7" s="101">
        <f>'მკურნალობაში ჩართვის ჯგუფები'!E8</f>
        <v>9</v>
      </c>
      <c r="E7" s="179"/>
      <c r="F7" s="47"/>
      <c r="G7" s="188"/>
      <c r="H7" s="188"/>
      <c r="I7" s="47"/>
      <c r="J7" s="188"/>
      <c r="K7" s="188"/>
    </row>
    <row r="8" spans="1:11" x14ac:dyDescent="0.25">
      <c r="A8" s="177"/>
      <c r="D8" s="106"/>
      <c r="E8" s="36"/>
      <c r="F8" s="47"/>
      <c r="I8" s="47"/>
    </row>
    <row r="9" spans="1:11" x14ac:dyDescent="0.25">
      <c r="A9" s="177"/>
      <c r="B9" s="178" t="s">
        <v>44</v>
      </c>
      <c r="C9" s="27" t="s">
        <v>39</v>
      </c>
      <c r="D9" s="101">
        <v>110</v>
      </c>
      <c r="E9" s="179">
        <f>D9+D10</f>
        <v>479</v>
      </c>
      <c r="F9" s="47"/>
      <c r="G9" s="188">
        <f>E9*G4</f>
        <v>0</v>
      </c>
      <c r="H9" s="188">
        <f>E9*H4</f>
        <v>0</v>
      </c>
      <c r="I9" s="47"/>
      <c r="J9" s="188">
        <f>E9*J4</f>
        <v>479</v>
      </c>
      <c r="K9" s="188">
        <f>E9*K4</f>
        <v>479</v>
      </c>
    </row>
    <row r="10" spans="1:11" x14ac:dyDescent="0.25">
      <c r="A10" s="177"/>
      <c r="B10" s="178"/>
      <c r="C10" s="27" t="s">
        <v>40</v>
      </c>
      <c r="D10" s="101">
        <f>'მკურნალობაში ჩართვის ჯგუფები'!E6</f>
        <v>369</v>
      </c>
      <c r="E10" s="179"/>
      <c r="F10" s="47"/>
      <c r="G10" s="188"/>
      <c r="H10" s="188"/>
      <c r="I10" s="47"/>
      <c r="J10" s="188"/>
      <c r="K10" s="188"/>
    </row>
    <row r="11" spans="1:11" x14ac:dyDescent="0.25">
      <c r="A11" s="177"/>
      <c r="D11" s="106"/>
      <c r="E11" s="36"/>
      <c r="F11" s="47"/>
      <c r="I11" s="47"/>
    </row>
    <row r="12" spans="1:11" x14ac:dyDescent="0.25">
      <c r="A12" s="177"/>
      <c r="B12" s="178" t="s">
        <v>45</v>
      </c>
      <c r="C12" s="27" t="s">
        <v>39</v>
      </c>
      <c r="D12" s="101">
        <v>110</v>
      </c>
      <c r="E12" s="179">
        <f>D12+D13+D14</f>
        <v>408</v>
      </c>
      <c r="F12" s="47"/>
      <c r="G12" s="188">
        <f>E12*G4</f>
        <v>0</v>
      </c>
      <c r="H12" s="188">
        <f>E12*H4</f>
        <v>0</v>
      </c>
      <c r="I12" s="47"/>
      <c r="J12" s="188">
        <f>E12*J4</f>
        <v>408</v>
      </c>
      <c r="K12" s="188">
        <f>E12*K4</f>
        <v>408</v>
      </c>
    </row>
    <row r="13" spans="1:11" x14ac:dyDescent="0.25">
      <c r="A13" s="177"/>
      <c r="B13" s="178"/>
      <c r="C13" s="27" t="s">
        <v>41</v>
      </c>
      <c r="D13" s="101">
        <f>'მკურნალობაში ჩართვის ჯგუფები'!E7</f>
        <v>289</v>
      </c>
      <c r="E13" s="179"/>
      <c r="F13" s="47"/>
      <c r="G13" s="188"/>
      <c r="H13" s="188"/>
      <c r="I13" s="47"/>
      <c r="J13" s="188"/>
      <c r="K13" s="188"/>
    </row>
    <row r="14" spans="1:11" x14ac:dyDescent="0.25">
      <c r="A14" s="177"/>
      <c r="B14" s="178"/>
      <c r="C14" s="27" t="s">
        <v>42</v>
      </c>
      <c r="D14" s="101">
        <f>'მკურნალობაში ჩართვის ჯგუფები'!E8</f>
        <v>9</v>
      </c>
      <c r="E14" s="179"/>
      <c r="F14" s="47"/>
      <c r="G14" s="188"/>
      <c r="H14" s="188"/>
      <c r="I14" s="47"/>
      <c r="J14" s="188"/>
      <c r="K14" s="188"/>
    </row>
    <row r="15" spans="1:11" x14ac:dyDescent="0.25">
      <c r="A15" s="177"/>
      <c r="D15" s="106"/>
      <c r="E15" s="36"/>
      <c r="F15" s="47"/>
      <c r="I15" s="47"/>
    </row>
    <row r="16" spans="1:11" x14ac:dyDescent="0.25">
      <c r="A16" s="177"/>
      <c r="B16" s="178" t="s">
        <v>46</v>
      </c>
      <c r="C16" s="27" t="s">
        <v>39</v>
      </c>
      <c r="D16" s="101">
        <v>110</v>
      </c>
      <c r="E16" s="179">
        <f>D16+D17</f>
        <v>399</v>
      </c>
      <c r="F16" s="47"/>
      <c r="G16" s="188">
        <f>E16*G4</f>
        <v>0</v>
      </c>
      <c r="H16" s="188">
        <f>E16*H4</f>
        <v>0</v>
      </c>
      <c r="I16" s="47"/>
      <c r="J16" s="188">
        <f>E16*J4</f>
        <v>399</v>
      </c>
      <c r="K16" s="188">
        <f>E16*K4</f>
        <v>399</v>
      </c>
    </row>
    <row r="17" spans="1:11" x14ac:dyDescent="0.25">
      <c r="A17" s="177"/>
      <c r="B17" s="178"/>
      <c r="C17" s="27" t="s">
        <v>41</v>
      </c>
      <c r="D17" s="101">
        <f>'მკურნალობაში ჩართვის ჯგუფები'!E7</f>
        <v>289</v>
      </c>
      <c r="E17" s="179"/>
      <c r="F17" s="47"/>
      <c r="G17" s="188"/>
      <c r="H17" s="188"/>
      <c r="I17" s="47"/>
      <c r="J17" s="188"/>
      <c r="K17" s="188"/>
    </row>
    <row r="18" spans="1:11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</row>
    <row r="19" spans="1:11" x14ac:dyDescent="0.25">
      <c r="A19" s="177" t="s">
        <v>54</v>
      </c>
      <c r="B19" s="178" t="s">
        <v>55</v>
      </c>
      <c r="C19" s="29" t="s">
        <v>33</v>
      </c>
      <c r="D19" s="101">
        <f>'მონიტორინგის კვლევების ჯგუფები'!E5</f>
        <v>236</v>
      </c>
      <c r="E19" s="179">
        <f>AVERAGE(D19:D21)</f>
        <v>227</v>
      </c>
      <c r="F19" s="47"/>
      <c r="G19" s="195">
        <f>E19*G4</f>
        <v>0</v>
      </c>
      <c r="H19" s="195">
        <f>E19*H4</f>
        <v>0</v>
      </c>
      <c r="I19" s="47"/>
      <c r="J19" s="195">
        <f>E19*J4</f>
        <v>227</v>
      </c>
      <c r="K19" s="195">
        <f>E19*K4</f>
        <v>227</v>
      </c>
    </row>
    <row r="20" spans="1:11" x14ac:dyDescent="0.25">
      <c r="A20" s="177"/>
      <c r="B20" s="178"/>
      <c r="C20" s="29" t="s">
        <v>31</v>
      </c>
      <c r="D20" s="101">
        <f>'მონიტორინგის კვლევების ჯგუფები'!E6</f>
        <v>227</v>
      </c>
      <c r="E20" s="179"/>
      <c r="F20" s="47"/>
      <c r="G20" s="196"/>
      <c r="H20" s="196"/>
      <c r="I20" s="47"/>
      <c r="J20" s="196"/>
      <c r="K20" s="196"/>
    </row>
    <row r="21" spans="1:11" x14ac:dyDescent="0.25">
      <c r="A21" s="177"/>
      <c r="B21" s="178"/>
      <c r="C21" s="37" t="s">
        <v>34</v>
      </c>
      <c r="D21" s="101">
        <f>'მონიტორინგის კვლევების ჯგუფები'!E7</f>
        <v>218</v>
      </c>
      <c r="E21" s="179"/>
      <c r="F21" s="47"/>
      <c r="G21" s="197"/>
      <c r="H21" s="197"/>
      <c r="I21" s="47"/>
      <c r="J21" s="197"/>
      <c r="K21" s="197"/>
    </row>
    <row r="22" spans="1:11" x14ac:dyDescent="0.25">
      <c r="A22" s="177"/>
      <c r="E22" s="36"/>
      <c r="F22" s="47"/>
      <c r="I22" s="47"/>
    </row>
    <row r="23" spans="1:11" x14ac:dyDescent="0.25">
      <c r="A23" s="177"/>
      <c r="B23" s="178" t="s">
        <v>56</v>
      </c>
      <c r="C23" s="29" t="s">
        <v>35</v>
      </c>
      <c r="D23" s="101">
        <f>'მონიტორინგის კვლევების ჯგუფები'!E8</f>
        <v>304</v>
      </c>
      <c r="E23" s="180">
        <f>AVERAGE(D23:D25)</f>
        <v>289</v>
      </c>
      <c r="F23" s="47"/>
      <c r="G23" s="188">
        <f>E23*G4</f>
        <v>0</v>
      </c>
      <c r="H23" s="195">
        <f>E23*H4</f>
        <v>0</v>
      </c>
      <c r="I23" s="47"/>
      <c r="J23" s="188">
        <f>E23*J4</f>
        <v>289</v>
      </c>
      <c r="K23" s="195">
        <f>E23*K4</f>
        <v>289</v>
      </c>
    </row>
    <row r="24" spans="1:11" x14ac:dyDescent="0.25">
      <c r="A24" s="177"/>
      <c r="B24" s="178"/>
      <c r="C24" s="29" t="s">
        <v>32</v>
      </c>
      <c r="D24" s="101">
        <f>'მონიტორინგის კვლევების ჯგუფები'!E9</f>
        <v>286</v>
      </c>
      <c r="E24" s="181"/>
      <c r="F24" s="47"/>
      <c r="G24" s="188"/>
      <c r="H24" s="196"/>
      <c r="I24" s="47"/>
      <c r="J24" s="188"/>
      <c r="K24" s="196"/>
    </row>
    <row r="25" spans="1:11" x14ac:dyDescent="0.25">
      <c r="A25" s="177"/>
      <c r="B25" s="178"/>
      <c r="C25" s="37" t="s">
        <v>36</v>
      </c>
      <c r="D25" s="101">
        <f>'მონიტორინგის კვლევების ჯგუფები'!E10</f>
        <v>277</v>
      </c>
      <c r="E25" s="182"/>
      <c r="F25" s="47"/>
      <c r="G25" s="188"/>
      <c r="H25" s="197"/>
      <c r="I25" s="47"/>
      <c r="J25" s="188"/>
      <c r="K25" s="197"/>
    </row>
    <row r="26" spans="1:11" x14ac:dyDescent="0.25">
      <c r="A26" s="177"/>
      <c r="E26" s="36"/>
      <c r="F26" s="47"/>
      <c r="I26" s="47"/>
    </row>
    <row r="27" spans="1:11" x14ac:dyDescent="0.25">
      <c r="A27" s="177"/>
      <c r="B27" s="104" t="s">
        <v>57</v>
      </c>
      <c r="C27" s="27" t="s">
        <v>53</v>
      </c>
      <c r="D27" s="38">
        <f>'მონიტორინგის კვლევების ჯგუფები'!E11</f>
        <v>130</v>
      </c>
      <c r="E27" s="102">
        <v>130</v>
      </c>
      <c r="F27" s="47"/>
      <c r="G27" s="101">
        <v>0</v>
      </c>
      <c r="H27" s="101">
        <v>0</v>
      </c>
      <c r="I27" s="47"/>
      <c r="J27" s="101">
        <f>E27</f>
        <v>130</v>
      </c>
      <c r="K27" s="101">
        <f>E27</f>
        <v>130</v>
      </c>
    </row>
    <row r="28" spans="1:11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5">
      <c r="A29" s="199" t="s">
        <v>66</v>
      </c>
      <c r="B29" s="178" t="s">
        <v>48</v>
      </c>
      <c r="C29" s="27" t="s">
        <v>58</v>
      </c>
      <c r="D29" s="101">
        <f>E5+E19+E27</f>
        <v>845</v>
      </c>
      <c r="E29" s="179">
        <f>AVERAGE(D29:D30)</f>
        <v>840.5</v>
      </c>
      <c r="F29" s="47"/>
      <c r="G29" s="188">
        <f>(E29-E27)*G4</f>
        <v>0</v>
      </c>
      <c r="H29" s="188">
        <f>(E29-E27)*H4</f>
        <v>0</v>
      </c>
      <c r="I29" s="47"/>
      <c r="J29" s="188">
        <f>(E29-E27)*J4+E27</f>
        <v>840.5</v>
      </c>
      <c r="K29" s="188">
        <f>(E29-E27)*K4+E27</f>
        <v>840.5</v>
      </c>
    </row>
    <row r="30" spans="1:11" x14ac:dyDescent="0.25">
      <c r="A30" s="200"/>
      <c r="B30" s="178"/>
      <c r="C30" s="27" t="s">
        <v>60</v>
      </c>
      <c r="D30" s="101">
        <f>E9+E19+E27</f>
        <v>836</v>
      </c>
      <c r="E30" s="179"/>
      <c r="F30" s="47"/>
      <c r="G30" s="188"/>
      <c r="H30" s="188"/>
      <c r="I30" s="47"/>
      <c r="J30" s="188"/>
      <c r="K30" s="188"/>
    </row>
    <row r="31" spans="1:11" x14ac:dyDescent="0.25">
      <c r="A31" s="200"/>
      <c r="B31" s="36"/>
      <c r="D31" s="106"/>
      <c r="E31" s="36"/>
      <c r="F31" s="47"/>
      <c r="I31" s="47"/>
    </row>
    <row r="32" spans="1:11" x14ac:dyDescent="0.25">
      <c r="A32" s="200"/>
      <c r="B32" s="178" t="s">
        <v>49</v>
      </c>
      <c r="C32" s="27" t="s">
        <v>59</v>
      </c>
      <c r="D32" s="101">
        <f>E5+E23+E27</f>
        <v>907</v>
      </c>
      <c r="E32" s="179">
        <f>AVERAGE(D32:D33)</f>
        <v>902.5</v>
      </c>
      <c r="F32" s="47"/>
      <c r="G32" s="188">
        <f>(E32-E27)*G4</f>
        <v>0</v>
      </c>
      <c r="H32" s="188">
        <f>(E32-E27)*H4</f>
        <v>0</v>
      </c>
      <c r="I32" s="47"/>
      <c r="J32" s="188">
        <f>(E32-E27)*J4+E27</f>
        <v>902.5</v>
      </c>
      <c r="K32" s="188">
        <f>(E32-E27)*K4+E27</f>
        <v>902.5</v>
      </c>
    </row>
    <row r="33" spans="1:11" x14ac:dyDescent="0.25">
      <c r="A33" s="200"/>
      <c r="B33" s="178"/>
      <c r="C33" s="27" t="s">
        <v>61</v>
      </c>
      <c r="D33" s="101">
        <f>E9+E23+E27</f>
        <v>898</v>
      </c>
      <c r="E33" s="179"/>
      <c r="F33" s="47"/>
      <c r="G33" s="188"/>
      <c r="H33" s="188"/>
      <c r="I33" s="47"/>
      <c r="J33" s="188"/>
      <c r="K33" s="188"/>
    </row>
    <row r="34" spans="1:11" x14ac:dyDescent="0.25">
      <c r="A34" s="200"/>
      <c r="B34" s="36"/>
      <c r="D34" s="106"/>
      <c r="E34" s="36"/>
      <c r="F34" s="47"/>
      <c r="I34" s="47"/>
    </row>
    <row r="35" spans="1:11" x14ac:dyDescent="0.25">
      <c r="A35" s="200"/>
      <c r="B35" s="178" t="s">
        <v>52</v>
      </c>
      <c r="C35" s="27" t="s">
        <v>62</v>
      </c>
      <c r="D35" s="101">
        <f>E12+E19+E27</f>
        <v>765</v>
      </c>
      <c r="E35" s="179">
        <f>AVERAGE(D35:D36)</f>
        <v>760.5</v>
      </c>
      <c r="F35" s="47"/>
      <c r="G35" s="188">
        <f>(E35-E27)*G4</f>
        <v>0</v>
      </c>
      <c r="H35" s="188">
        <f>(E35-E27)*H4</f>
        <v>0</v>
      </c>
      <c r="I35" s="47"/>
      <c r="J35" s="188">
        <f>(E35-E27)*J4+E27</f>
        <v>760.5</v>
      </c>
      <c r="K35" s="188">
        <f>(E35-E27)*K4+E27</f>
        <v>760.5</v>
      </c>
    </row>
    <row r="36" spans="1:11" x14ac:dyDescent="0.25">
      <c r="A36" s="200"/>
      <c r="B36" s="178"/>
      <c r="C36" s="27" t="s">
        <v>64</v>
      </c>
      <c r="D36" s="101">
        <f>E16+E19+E27</f>
        <v>756</v>
      </c>
      <c r="E36" s="179"/>
      <c r="F36" s="47"/>
      <c r="G36" s="188"/>
      <c r="H36" s="188"/>
      <c r="I36" s="47"/>
      <c r="J36" s="188"/>
      <c r="K36" s="188"/>
    </row>
    <row r="37" spans="1:11" x14ac:dyDescent="0.25">
      <c r="A37" s="200"/>
      <c r="B37" s="36"/>
      <c r="D37" s="106"/>
      <c r="E37" s="36"/>
      <c r="F37" s="47"/>
      <c r="I37" s="47"/>
    </row>
    <row r="38" spans="1:11" x14ac:dyDescent="0.25">
      <c r="A38" s="200"/>
      <c r="B38" s="183" t="s">
        <v>50</v>
      </c>
      <c r="C38" s="27" t="s">
        <v>63</v>
      </c>
      <c r="D38" s="101">
        <f>E12+E23+E27</f>
        <v>827</v>
      </c>
      <c r="E38" s="179">
        <f>AVERAGE(D38:D39)</f>
        <v>822.5</v>
      </c>
      <c r="F38" s="47"/>
      <c r="G38" s="188">
        <f>(E38-E27)*G4</f>
        <v>0</v>
      </c>
      <c r="H38" s="188">
        <f>(E38-E27)*H4</f>
        <v>0</v>
      </c>
      <c r="I38" s="47"/>
      <c r="J38" s="188">
        <f>(E38-E27)*J4+E27</f>
        <v>822.5</v>
      </c>
      <c r="K38" s="188">
        <f>(E38-E27)*K4+E27</f>
        <v>822.5</v>
      </c>
    </row>
    <row r="39" spans="1:11" x14ac:dyDescent="0.25">
      <c r="A39" s="201"/>
      <c r="B39" s="184"/>
      <c r="C39" s="27" t="s">
        <v>65</v>
      </c>
      <c r="D39" s="101">
        <f>E16+E23+E27</f>
        <v>818</v>
      </c>
      <c r="E39" s="179"/>
      <c r="F39" s="47"/>
      <c r="G39" s="188"/>
      <c r="H39" s="188"/>
      <c r="I39" s="47"/>
      <c r="J39" s="188"/>
      <c r="K39" s="188"/>
    </row>
    <row r="40" spans="1:11" x14ac:dyDescent="0.25">
      <c r="A40" s="48"/>
      <c r="B40" s="49"/>
      <c r="C40" s="50"/>
      <c r="D40" s="51"/>
      <c r="E40" s="49"/>
      <c r="F40" s="47"/>
      <c r="G40" s="51"/>
      <c r="H40" s="51"/>
      <c r="I40" s="47"/>
      <c r="J40" s="47"/>
      <c r="K40" s="47"/>
    </row>
    <row r="41" spans="1:11" x14ac:dyDescent="0.25">
      <c r="F41" s="47"/>
      <c r="G41" s="185" t="s">
        <v>75</v>
      </c>
      <c r="H41" s="185"/>
      <c r="I41" s="47"/>
      <c r="J41" s="185" t="s">
        <v>76</v>
      </c>
      <c r="K41" s="185"/>
    </row>
    <row r="42" spans="1:11" ht="13.5" customHeight="1" x14ac:dyDescent="0.25">
      <c r="F42" s="47"/>
      <c r="G42" s="103" t="s">
        <v>67</v>
      </c>
      <c r="H42" s="103" t="s">
        <v>47</v>
      </c>
      <c r="I42" s="47"/>
      <c r="J42" s="103" t="s">
        <v>67</v>
      </c>
      <c r="K42" s="103" t="s">
        <v>47</v>
      </c>
    </row>
    <row r="43" spans="1:11" ht="21" customHeight="1" x14ac:dyDescent="0.25">
      <c r="A43" s="198" t="s">
        <v>66</v>
      </c>
      <c r="B43" s="101" t="s">
        <v>48</v>
      </c>
      <c r="C43" s="186" t="s">
        <v>68</v>
      </c>
      <c r="D43" s="187"/>
      <c r="E43" s="101">
        <f>AVERAGE(E29,E35)</f>
        <v>800.5</v>
      </c>
      <c r="F43" s="47"/>
      <c r="G43" s="101">
        <v>0</v>
      </c>
      <c r="H43" s="101">
        <v>100</v>
      </c>
      <c r="I43" s="47"/>
      <c r="J43" s="101">
        <f>E43-G43</f>
        <v>800.5</v>
      </c>
      <c r="K43" s="101">
        <f>E43-H43</f>
        <v>700.5</v>
      </c>
    </row>
    <row r="44" spans="1:11" ht="29.25" customHeight="1" x14ac:dyDescent="0.25">
      <c r="A44" s="198"/>
      <c r="B44" s="101" t="s">
        <v>49</v>
      </c>
      <c r="C44" s="186" t="s">
        <v>69</v>
      </c>
      <c r="D44" s="187"/>
      <c r="E44" s="101">
        <f>AVERAGE(E32,E38)</f>
        <v>862.5</v>
      </c>
      <c r="F44" s="47"/>
      <c r="G44" s="101">
        <v>0</v>
      </c>
      <c r="H44" s="101">
        <v>100</v>
      </c>
      <c r="I44" s="47"/>
      <c r="J44" s="101">
        <f>E44-G44</f>
        <v>862.5</v>
      </c>
      <c r="K44" s="101">
        <f>E44-H44</f>
        <v>762.5</v>
      </c>
    </row>
    <row r="45" spans="1:11" x14ac:dyDescent="0.25">
      <c r="A45" s="48"/>
      <c r="B45" s="49"/>
      <c r="C45" s="50"/>
      <c r="D45" s="51"/>
      <c r="E45" s="49"/>
      <c r="F45" s="47"/>
      <c r="G45" s="51"/>
      <c r="H45" s="51"/>
      <c r="I45" s="47"/>
      <c r="J45" s="47"/>
      <c r="K45" s="47"/>
    </row>
    <row r="46" spans="1:11" x14ac:dyDescent="0.25">
      <c r="A46" s="192" t="s">
        <v>77</v>
      </c>
      <c r="B46" s="27"/>
      <c r="C46" s="42" t="s">
        <v>79</v>
      </c>
      <c r="D46" s="52" t="s">
        <v>67</v>
      </c>
      <c r="E46" s="42" t="s">
        <v>47</v>
      </c>
    </row>
    <row r="47" spans="1:11" ht="23.25" x14ac:dyDescent="0.25">
      <c r="A47" s="193"/>
      <c r="B47" s="53" t="s">
        <v>70</v>
      </c>
      <c r="C47" s="101">
        <v>30000</v>
      </c>
      <c r="D47" s="101">
        <f>C47*10%</f>
        <v>3000</v>
      </c>
      <c r="E47" s="101">
        <f>C47*90%</f>
        <v>27000</v>
      </c>
    </row>
    <row r="48" spans="1:11" ht="21" customHeight="1" x14ac:dyDescent="0.25">
      <c r="A48" s="193"/>
      <c r="B48" s="53" t="s">
        <v>68</v>
      </c>
      <c r="C48" s="101">
        <f>C47*90%</f>
        <v>27000</v>
      </c>
      <c r="D48" s="101">
        <f>D47*90%</f>
        <v>2700</v>
      </c>
      <c r="E48" s="101">
        <f>E47*90%</f>
        <v>24300</v>
      </c>
    </row>
    <row r="49" spans="1:5" ht="34.5" x14ac:dyDescent="0.25">
      <c r="A49" s="194"/>
      <c r="B49" s="53" t="s">
        <v>69</v>
      </c>
      <c r="C49" s="101">
        <f>C47*10%</f>
        <v>3000</v>
      </c>
      <c r="D49" s="101">
        <f>D47*10%</f>
        <v>300</v>
      </c>
      <c r="E49" s="101">
        <f>E47*10%</f>
        <v>2700</v>
      </c>
    </row>
    <row r="50" spans="1:5" x14ac:dyDescent="0.25">
      <c r="A50" s="47"/>
      <c r="B50" s="47"/>
      <c r="C50" s="47"/>
      <c r="D50" s="47"/>
      <c r="E50" s="47"/>
    </row>
    <row r="51" spans="1:5" x14ac:dyDescent="0.25">
      <c r="A51" s="177" t="s">
        <v>78</v>
      </c>
      <c r="C51" s="42" t="s">
        <v>109</v>
      </c>
      <c r="D51" s="52" t="s">
        <v>67</v>
      </c>
      <c r="E51" s="42" t="s">
        <v>47</v>
      </c>
    </row>
    <row r="52" spans="1:5" ht="34.5" x14ac:dyDescent="0.25">
      <c r="A52" s="177"/>
      <c r="B52" s="74" t="s">
        <v>68</v>
      </c>
      <c r="C52" s="43">
        <f>D52+E52</f>
        <v>2430000</v>
      </c>
      <c r="D52" s="44">
        <f>D48*G43</f>
        <v>0</v>
      </c>
      <c r="E52" s="44">
        <f>E48*H43</f>
        <v>2430000</v>
      </c>
    </row>
    <row r="53" spans="1:5" ht="34.5" x14ac:dyDescent="0.25">
      <c r="A53" s="177"/>
      <c r="B53" s="74" t="s">
        <v>69</v>
      </c>
      <c r="C53" s="43">
        <f>D53+E53</f>
        <v>270000</v>
      </c>
      <c r="D53" s="44">
        <f>D49*G44</f>
        <v>0</v>
      </c>
      <c r="E53" s="44">
        <f>E49*H44</f>
        <v>270000</v>
      </c>
    </row>
    <row r="54" spans="1:5" x14ac:dyDescent="0.25">
      <c r="A54" s="177"/>
      <c r="B54" s="75" t="s">
        <v>71</v>
      </c>
      <c r="C54" s="54">
        <f>C52+C53</f>
        <v>2700000</v>
      </c>
      <c r="D54" s="43">
        <f>D52+D53</f>
        <v>0</v>
      </c>
      <c r="E54" s="43">
        <f>E52+E53</f>
        <v>2700000</v>
      </c>
    </row>
    <row r="55" spans="1:5" x14ac:dyDescent="0.25">
      <c r="A55" s="47"/>
      <c r="B55" s="47"/>
      <c r="C55" s="47"/>
      <c r="D55" s="47"/>
      <c r="E55" s="47"/>
    </row>
    <row r="56" spans="1:5" x14ac:dyDescent="0.25">
      <c r="A56" s="177" t="s">
        <v>80</v>
      </c>
      <c r="C56" s="42" t="s">
        <v>109</v>
      </c>
      <c r="D56" s="52" t="s">
        <v>67</v>
      </c>
      <c r="E56" s="42" t="s">
        <v>47</v>
      </c>
    </row>
    <row r="57" spans="1:5" ht="34.5" x14ac:dyDescent="0.25">
      <c r="A57" s="177"/>
      <c r="B57" s="74" t="s">
        <v>68</v>
      </c>
      <c r="C57" s="43">
        <f>D57+E57</f>
        <v>19183500</v>
      </c>
      <c r="D57" s="44">
        <f>D48*J43</f>
        <v>2161350</v>
      </c>
      <c r="E57" s="44">
        <f>E48*K43</f>
        <v>17022150</v>
      </c>
    </row>
    <row r="58" spans="1:5" ht="34.5" x14ac:dyDescent="0.25">
      <c r="A58" s="177"/>
      <c r="B58" s="74" t="s">
        <v>69</v>
      </c>
      <c r="C58" s="43">
        <f>D58+E58</f>
        <v>2317500</v>
      </c>
      <c r="D58" s="44">
        <f>D49*J44</f>
        <v>258750</v>
      </c>
      <c r="E58" s="44">
        <f>E49*K44</f>
        <v>2058750</v>
      </c>
    </row>
    <row r="59" spans="1:5" ht="23.25" x14ac:dyDescent="0.25">
      <c r="A59" s="177"/>
      <c r="B59" s="75" t="s">
        <v>99</v>
      </c>
      <c r="C59" s="54">
        <f>C57+C58</f>
        <v>21501000</v>
      </c>
      <c r="D59" s="43">
        <f>D57+D58</f>
        <v>2420100</v>
      </c>
      <c r="E59" s="43">
        <f>E57+E58</f>
        <v>19080900</v>
      </c>
    </row>
    <row r="60" spans="1:5" x14ac:dyDescent="0.25">
      <c r="A60" s="177"/>
      <c r="B60" s="75"/>
      <c r="C60" s="54"/>
      <c r="D60" s="43"/>
      <c r="E60" s="43"/>
    </row>
    <row r="61" spans="1:5" ht="23.25" x14ac:dyDescent="0.25">
      <c r="A61" s="177"/>
      <c r="B61" s="75" t="s">
        <v>100</v>
      </c>
      <c r="C61" s="54">
        <f>C47*50</f>
        <v>1500000</v>
      </c>
      <c r="D61" s="43"/>
      <c r="E61" s="43"/>
    </row>
    <row r="62" spans="1:5" ht="15.75" x14ac:dyDescent="0.25">
      <c r="A62" s="177"/>
      <c r="B62" s="75" t="s">
        <v>71</v>
      </c>
      <c r="C62" s="86">
        <f>C59+C61+E65</f>
        <v>23386000</v>
      </c>
      <c r="D62" s="43"/>
      <c r="E62" s="43"/>
    </row>
    <row r="63" spans="1:5" x14ac:dyDescent="0.25">
      <c r="A63" s="47"/>
      <c r="B63" s="47"/>
      <c r="C63" s="47"/>
      <c r="D63" s="47"/>
      <c r="E63" s="47"/>
    </row>
    <row r="65" spans="2:5" ht="34.5" x14ac:dyDescent="0.25">
      <c r="B65" s="73" t="s">
        <v>137</v>
      </c>
      <c r="C65">
        <f>32000-25000</f>
        <v>7000</v>
      </c>
      <c r="D65">
        <v>55</v>
      </c>
      <c r="E65">
        <f>C65*D65</f>
        <v>385000</v>
      </c>
    </row>
    <row r="67" spans="2:5" ht="18.75" x14ac:dyDescent="0.3">
      <c r="B67" s="55" t="s">
        <v>81</v>
      </c>
      <c r="C67" s="56">
        <f>C54+C62</f>
        <v>26086000</v>
      </c>
      <c r="E67" s="31"/>
    </row>
    <row r="69" spans="2:5" x14ac:dyDescent="0.25">
      <c r="C69">
        <f>C67/C47</f>
        <v>869.5333333333333</v>
      </c>
    </row>
  </sheetData>
  <mergeCells count="75">
    <mergeCell ref="A51:A54"/>
    <mergeCell ref="A56:A62"/>
    <mergeCell ref="G41:H41"/>
    <mergeCell ref="J41:K41"/>
    <mergeCell ref="A43:A44"/>
    <mergeCell ref="C43:D43"/>
    <mergeCell ref="C44:D44"/>
    <mergeCell ref="A46:A49"/>
    <mergeCell ref="J35:J36"/>
    <mergeCell ref="K35:K36"/>
    <mergeCell ref="B38:B39"/>
    <mergeCell ref="E38:E39"/>
    <mergeCell ref="G38:G39"/>
    <mergeCell ref="H38:H39"/>
    <mergeCell ref="J38:J39"/>
    <mergeCell ref="K38:K39"/>
    <mergeCell ref="K29:K30"/>
    <mergeCell ref="B32:B33"/>
    <mergeCell ref="E32:E33"/>
    <mergeCell ref="G32:G33"/>
    <mergeCell ref="H32:H33"/>
    <mergeCell ref="J32:J33"/>
    <mergeCell ref="K32:K33"/>
    <mergeCell ref="J29:J30"/>
    <mergeCell ref="A29:A39"/>
    <mergeCell ref="B29:B30"/>
    <mergeCell ref="E29:E30"/>
    <mergeCell ref="G29:G30"/>
    <mergeCell ref="H29:H30"/>
    <mergeCell ref="B35:B36"/>
    <mergeCell ref="E35:E36"/>
    <mergeCell ref="G35:G36"/>
    <mergeCell ref="H35:H36"/>
    <mergeCell ref="K19:K21"/>
    <mergeCell ref="B23:B25"/>
    <mergeCell ref="E23:E25"/>
    <mergeCell ref="G23:G25"/>
    <mergeCell ref="H23:H25"/>
    <mergeCell ref="J23:J25"/>
    <mergeCell ref="K23:K25"/>
    <mergeCell ref="J19:J21"/>
    <mergeCell ref="A19:A27"/>
    <mergeCell ref="B19:B21"/>
    <mergeCell ref="E19:E21"/>
    <mergeCell ref="G19:G21"/>
    <mergeCell ref="H19:H21"/>
    <mergeCell ref="K9:K10"/>
    <mergeCell ref="K16:K17"/>
    <mergeCell ref="B12:B14"/>
    <mergeCell ref="E12:E14"/>
    <mergeCell ref="G12:G14"/>
    <mergeCell ref="H12:H14"/>
    <mergeCell ref="J12:J14"/>
    <mergeCell ref="K12:K14"/>
    <mergeCell ref="B16:B17"/>
    <mergeCell ref="E16:E17"/>
    <mergeCell ref="G16:G17"/>
    <mergeCell ref="H16:H17"/>
    <mergeCell ref="J16:J17"/>
    <mergeCell ref="A1:K1"/>
    <mergeCell ref="G2:H2"/>
    <mergeCell ref="J2:K2"/>
    <mergeCell ref="D4:E4"/>
    <mergeCell ref="A5:A17"/>
    <mergeCell ref="B5:B7"/>
    <mergeCell ref="E5:E7"/>
    <mergeCell ref="G5:G7"/>
    <mergeCell ref="H5:H7"/>
    <mergeCell ref="J5:J7"/>
    <mergeCell ref="K5:K7"/>
    <mergeCell ref="B9:B10"/>
    <mergeCell ref="E9:E10"/>
    <mergeCell ref="G9:G10"/>
    <mergeCell ref="H9:H10"/>
    <mergeCell ref="J9:J10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opLeftCell="A55" workbookViewId="0">
      <selection activeCell="B65" sqref="B65:E65"/>
    </sheetView>
  </sheetViews>
  <sheetFormatPr defaultRowHeight="15" x14ac:dyDescent="0.25"/>
  <cols>
    <col min="2" max="2" width="18.5703125" bestFit="1" customWidth="1"/>
    <col min="3" max="3" width="42.5703125" bestFit="1" customWidth="1"/>
    <col min="4" max="4" width="17.42578125" customWidth="1"/>
    <col min="5" max="5" width="18.140625" customWidth="1"/>
    <col min="6" max="6" width="4" customWidth="1"/>
    <col min="7" max="7" width="14.5703125" bestFit="1" customWidth="1"/>
    <col min="8" max="8" width="19.5703125" customWidth="1"/>
    <col min="9" max="9" width="4" customWidth="1"/>
    <col min="10" max="10" width="15.140625" bestFit="1" customWidth="1"/>
    <col min="11" max="11" width="10" customWidth="1"/>
    <col min="12" max="12" width="17" customWidth="1"/>
    <col min="13" max="13" width="15.5703125" customWidth="1"/>
  </cols>
  <sheetData>
    <row r="1" spans="1:11" x14ac:dyDescent="0.25">
      <c r="A1" s="202" t="s">
        <v>82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x14ac:dyDescent="0.25">
      <c r="F2" s="47"/>
      <c r="G2" s="189" t="s">
        <v>73</v>
      </c>
      <c r="H2" s="189"/>
      <c r="I2" s="47"/>
      <c r="J2" s="189" t="s">
        <v>72</v>
      </c>
      <c r="K2" s="189"/>
    </row>
    <row r="3" spans="1:11" x14ac:dyDescent="0.25">
      <c r="F3" s="47"/>
      <c r="G3" s="45" t="s">
        <v>67</v>
      </c>
      <c r="H3" s="45" t="s">
        <v>47</v>
      </c>
      <c r="I3" s="47"/>
      <c r="J3" s="45" t="s">
        <v>67</v>
      </c>
      <c r="K3" s="45" t="s">
        <v>47</v>
      </c>
    </row>
    <row r="4" spans="1:11" ht="34.5" customHeight="1" x14ac:dyDescent="0.25">
      <c r="D4" s="190" t="s">
        <v>74</v>
      </c>
      <c r="E4" s="191"/>
      <c r="F4" s="47"/>
      <c r="G4" s="46">
        <v>0.3</v>
      </c>
      <c r="H4" s="46">
        <v>0.7</v>
      </c>
      <c r="I4" s="47"/>
      <c r="J4" s="46">
        <v>0.7</v>
      </c>
      <c r="K4" s="46">
        <v>0.3</v>
      </c>
    </row>
    <row r="5" spans="1:11" x14ac:dyDescent="0.25">
      <c r="A5" s="177" t="s">
        <v>51</v>
      </c>
      <c r="B5" s="178" t="s">
        <v>43</v>
      </c>
      <c r="C5" s="27" t="s">
        <v>39</v>
      </c>
      <c r="D5" s="101">
        <v>110</v>
      </c>
      <c r="E5" s="179">
        <f>D5+D6+D7</f>
        <v>488</v>
      </c>
      <c r="F5" s="47"/>
      <c r="G5" s="188">
        <f>(D6+D7)*$G$4</f>
        <v>113.39999999999999</v>
      </c>
      <c r="H5" s="188">
        <f>(D6+D7)*H4</f>
        <v>264.59999999999997</v>
      </c>
      <c r="I5" s="47"/>
      <c r="J5" s="188">
        <f>E5*J4</f>
        <v>341.59999999999997</v>
      </c>
      <c r="K5" s="188">
        <f>E5*K4</f>
        <v>146.4</v>
      </c>
    </row>
    <row r="6" spans="1:11" x14ac:dyDescent="0.25">
      <c r="A6" s="177"/>
      <c r="B6" s="178"/>
      <c r="C6" s="27" t="s">
        <v>40</v>
      </c>
      <c r="D6" s="101">
        <f>'მკურნალობაში ჩართვის ჯგუფები'!E6</f>
        <v>369</v>
      </c>
      <c r="E6" s="179"/>
      <c r="F6" s="47"/>
      <c r="G6" s="188"/>
      <c r="H6" s="188"/>
      <c r="I6" s="47"/>
      <c r="J6" s="188"/>
      <c r="K6" s="188"/>
    </row>
    <row r="7" spans="1:11" x14ac:dyDescent="0.25">
      <c r="A7" s="177"/>
      <c r="B7" s="178"/>
      <c r="C7" s="27" t="s">
        <v>42</v>
      </c>
      <c r="D7" s="101">
        <f>'მკურნალობაში ჩართვის ჯგუფები'!E8</f>
        <v>9</v>
      </c>
      <c r="E7" s="179"/>
      <c r="F7" s="47"/>
      <c r="G7" s="188"/>
      <c r="H7" s="188"/>
      <c r="I7" s="47"/>
      <c r="J7" s="188"/>
      <c r="K7" s="188"/>
    </row>
    <row r="8" spans="1:11" x14ac:dyDescent="0.25">
      <c r="A8" s="177"/>
      <c r="D8" s="106"/>
      <c r="E8" s="36"/>
      <c r="F8" s="47"/>
      <c r="I8" s="47"/>
    </row>
    <row r="9" spans="1:11" x14ac:dyDescent="0.25">
      <c r="A9" s="177"/>
      <c r="B9" s="178" t="s">
        <v>44</v>
      </c>
      <c r="C9" s="27" t="s">
        <v>39</v>
      </c>
      <c r="D9" s="101">
        <v>110</v>
      </c>
      <c r="E9" s="179">
        <f>D9+D10</f>
        <v>479</v>
      </c>
      <c r="F9" s="47"/>
      <c r="G9" s="188">
        <f>D10*G4</f>
        <v>110.7</v>
      </c>
      <c r="H9" s="188">
        <f>D10*H4</f>
        <v>258.3</v>
      </c>
      <c r="I9" s="47"/>
      <c r="J9" s="188">
        <f>E9*J4</f>
        <v>335.29999999999995</v>
      </c>
      <c r="K9" s="188">
        <f>E9*K4</f>
        <v>143.69999999999999</v>
      </c>
    </row>
    <row r="10" spans="1:11" x14ac:dyDescent="0.25">
      <c r="A10" s="177"/>
      <c r="B10" s="178"/>
      <c r="C10" s="27" t="s">
        <v>40</v>
      </c>
      <c r="D10" s="101">
        <f>'მკურნალობაში ჩართვის ჯგუფები'!E6</f>
        <v>369</v>
      </c>
      <c r="E10" s="179"/>
      <c r="F10" s="47"/>
      <c r="G10" s="188"/>
      <c r="H10" s="188"/>
      <c r="I10" s="47"/>
      <c r="J10" s="188"/>
      <c r="K10" s="188"/>
    </row>
    <row r="11" spans="1:11" x14ac:dyDescent="0.25">
      <c r="A11" s="177"/>
      <c r="D11" s="106"/>
      <c r="E11" s="36"/>
      <c r="F11" s="47"/>
      <c r="I11" s="47"/>
    </row>
    <row r="12" spans="1:11" x14ac:dyDescent="0.25">
      <c r="A12" s="177"/>
      <c r="B12" s="178" t="s">
        <v>45</v>
      </c>
      <c r="C12" s="27" t="s">
        <v>39</v>
      </c>
      <c r="D12" s="101">
        <v>110</v>
      </c>
      <c r="E12" s="179">
        <f>D12+D13+D14</f>
        <v>408</v>
      </c>
      <c r="F12" s="47"/>
      <c r="G12" s="188">
        <f>(D13+D14)*G4</f>
        <v>89.399999999999991</v>
      </c>
      <c r="H12" s="188">
        <f>(D13+D14)*H4</f>
        <v>208.6</v>
      </c>
      <c r="I12" s="47"/>
      <c r="J12" s="188">
        <f>E12*J4</f>
        <v>285.59999999999997</v>
      </c>
      <c r="K12" s="188">
        <f>E12*K4</f>
        <v>122.39999999999999</v>
      </c>
    </row>
    <row r="13" spans="1:11" x14ac:dyDescent="0.25">
      <c r="A13" s="177"/>
      <c r="B13" s="178"/>
      <c r="C13" s="27" t="s">
        <v>41</v>
      </c>
      <c r="D13" s="101">
        <f>'მკურნალობაში ჩართვის ჯგუფები'!E7</f>
        <v>289</v>
      </c>
      <c r="E13" s="179"/>
      <c r="F13" s="47"/>
      <c r="G13" s="188"/>
      <c r="H13" s="188"/>
      <c r="I13" s="47"/>
      <c r="J13" s="188"/>
      <c r="K13" s="188"/>
    </row>
    <row r="14" spans="1:11" x14ac:dyDescent="0.25">
      <c r="A14" s="177"/>
      <c r="B14" s="178"/>
      <c r="C14" s="27" t="s">
        <v>42</v>
      </c>
      <c r="D14" s="101">
        <f>'მკურნალობაში ჩართვის ჯგუფები'!E8</f>
        <v>9</v>
      </c>
      <c r="E14" s="179"/>
      <c r="F14" s="47"/>
      <c r="G14" s="188"/>
      <c r="H14" s="188"/>
      <c r="I14" s="47"/>
      <c r="J14" s="188"/>
      <c r="K14" s="188"/>
    </row>
    <row r="15" spans="1:11" x14ac:dyDescent="0.25">
      <c r="A15" s="177"/>
      <c r="D15" s="106"/>
      <c r="E15" s="36"/>
      <c r="F15" s="47"/>
      <c r="I15" s="47"/>
    </row>
    <row r="16" spans="1:11" x14ac:dyDescent="0.25">
      <c r="A16" s="177"/>
      <c r="B16" s="178" t="s">
        <v>46</v>
      </c>
      <c r="C16" s="27" t="s">
        <v>39</v>
      </c>
      <c r="D16" s="101">
        <v>110</v>
      </c>
      <c r="E16" s="179">
        <f>D16+D17</f>
        <v>399</v>
      </c>
      <c r="F16" s="47"/>
      <c r="G16" s="188">
        <f>D17*G4</f>
        <v>86.7</v>
      </c>
      <c r="H16" s="188">
        <f>D17*H4</f>
        <v>202.29999999999998</v>
      </c>
      <c r="I16" s="47"/>
      <c r="J16" s="188">
        <f>E16*J4</f>
        <v>279.29999999999995</v>
      </c>
      <c r="K16" s="188">
        <f>E16*K4</f>
        <v>119.69999999999999</v>
      </c>
    </row>
    <row r="17" spans="1:11" x14ac:dyDescent="0.25">
      <c r="A17" s="177"/>
      <c r="B17" s="178"/>
      <c r="C17" s="27" t="s">
        <v>41</v>
      </c>
      <c r="D17" s="101">
        <f>'მკურნალობაში ჩართვის ჯგუფები'!E7</f>
        <v>289</v>
      </c>
      <c r="E17" s="179"/>
      <c r="F17" s="47"/>
      <c r="G17" s="188"/>
      <c r="H17" s="188"/>
      <c r="I17" s="47"/>
      <c r="J17" s="188"/>
      <c r="K17" s="188"/>
    </row>
    <row r="18" spans="1:11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</row>
    <row r="19" spans="1:11" x14ac:dyDescent="0.25">
      <c r="A19" s="177" t="s">
        <v>54</v>
      </c>
      <c r="B19" s="178" t="s">
        <v>55</v>
      </c>
      <c r="C19" s="29" t="s">
        <v>33</v>
      </c>
      <c r="D19" s="101">
        <f>'მონიტორინგის კვლევების ჯგუფები'!E5</f>
        <v>236</v>
      </c>
      <c r="E19" s="179">
        <f>AVERAGE(D19:D21)</f>
        <v>227</v>
      </c>
      <c r="F19" s="47"/>
      <c r="G19" s="195">
        <f>E19*G4</f>
        <v>68.099999999999994</v>
      </c>
      <c r="H19" s="195">
        <f>E19*H4</f>
        <v>158.89999999999998</v>
      </c>
      <c r="I19" s="47"/>
      <c r="J19" s="195">
        <f>E19*J4</f>
        <v>158.89999999999998</v>
      </c>
      <c r="K19" s="195">
        <f>E19*K4</f>
        <v>68.099999999999994</v>
      </c>
    </row>
    <row r="20" spans="1:11" x14ac:dyDescent="0.25">
      <c r="A20" s="177"/>
      <c r="B20" s="178"/>
      <c r="C20" s="29" t="s">
        <v>31</v>
      </c>
      <c r="D20" s="101">
        <f>'მონიტორინგის კვლევების ჯგუფები'!E6</f>
        <v>227</v>
      </c>
      <c r="E20" s="179"/>
      <c r="F20" s="47"/>
      <c r="G20" s="196"/>
      <c r="H20" s="196"/>
      <c r="I20" s="47"/>
      <c r="J20" s="196"/>
      <c r="K20" s="196"/>
    </row>
    <row r="21" spans="1:11" x14ac:dyDescent="0.25">
      <c r="A21" s="177"/>
      <c r="B21" s="178"/>
      <c r="C21" s="37" t="s">
        <v>34</v>
      </c>
      <c r="D21" s="101">
        <f>'მონიტორინგის კვლევების ჯგუფები'!E7</f>
        <v>218</v>
      </c>
      <c r="E21" s="179"/>
      <c r="F21" s="47"/>
      <c r="G21" s="197"/>
      <c r="H21" s="197"/>
      <c r="I21" s="47"/>
      <c r="J21" s="197"/>
      <c r="K21" s="197"/>
    </row>
    <row r="22" spans="1:11" x14ac:dyDescent="0.25">
      <c r="A22" s="177"/>
      <c r="E22" s="36"/>
      <c r="F22" s="47"/>
      <c r="I22" s="47"/>
    </row>
    <row r="23" spans="1:11" x14ac:dyDescent="0.25">
      <c r="A23" s="177"/>
      <c r="B23" s="178" t="s">
        <v>56</v>
      </c>
      <c r="C23" s="29" t="s">
        <v>35</v>
      </c>
      <c r="D23" s="101">
        <f>'მონიტორინგის კვლევების ჯგუფები'!E8</f>
        <v>304</v>
      </c>
      <c r="E23" s="180">
        <f>AVERAGE(D23:D25)</f>
        <v>289</v>
      </c>
      <c r="F23" s="47"/>
      <c r="G23" s="188">
        <f>E23*G4</f>
        <v>86.7</v>
      </c>
      <c r="H23" s="195">
        <f>E23*H4</f>
        <v>202.29999999999998</v>
      </c>
      <c r="I23" s="47"/>
      <c r="J23" s="188">
        <f>E23*J4</f>
        <v>202.29999999999998</v>
      </c>
      <c r="K23" s="195">
        <f>E23*K4</f>
        <v>86.7</v>
      </c>
    </row>
    <row r="24" spans="1:11" x14ac:dyDescent="0.25">
      <c r="A24" s="177"/>
      <c r="B24" s="178"/>
      <c r="C24" s="29" t="s">
        <v>32</v>
      </c>
      <c r="D24" s="101">
        <f>'მონიტორინგის კვლევების ჯგუფები'!E9</f>
        <v>286</v>
      </c>
      <c r="E24" s="181"/>
      <c r="F24" s="47"/>
      <c r="G24" s="188"/>
      <c r="H24" s="196"/>
      <c r="I24" s="47"/>
      <c r="J24" s="188"/>
      <c r="K24" s="196"/>
    </row>
    <row r="25" spans="1:11" x14ac:dyDescent="0.25">
      <c r="A25" s="177"/>
      <c r="B25" s="178"/>
      <c r="C25" s="37" t="s">
        <v>36</v>
      </c>
      <c r="D25" s="101">
        <f>'მონიტორინგის კვლევების ჯგუფები'!E10</f>
        <v>277</v>
      </c>
      <c r="E25" s="182"/>
      <c r="F25" s="47"/>
      <c r="G25" s="188"/>
      <c r="H25" s="197"/>
      <c r="I25" s="47"/>
      <c r="J25" s="188"/>
      <c r="K25" s="197"/>
    </row>
    <row r="26" spans="1:11" x14ac:dyDescent="0.25">
      <c r="A26" s="177"/>
      <c r="E26" s="36"/>
      <c r="F26" s="47"/>
      <c r="I26" s="47"/>
    </row>
    <row r="27" spans="1:11" x14ac:dyDescent="0.25">
      <c r="A27" s="177"/>
      <c r="B27" s="104" t="s">
        <v>57</v>
      </c>
      <c r="C27" s="27" t="s">
        <v>53</v>
      </c>
      <c r="D27" s="38">
        <f>'მონიტორინგის კვლევების ჯგუფები'!E11</f>
        <v>130</v>
      </c>
      <c r="E27" s="102">
        <v>130</v>
      </c>
      <c r="F27" s="47"/>
      <c r="G27" s="101">
        <v>0</v>
      </c>
      <c r="H27" s="101">
        <v>0</v>
      </c>
      <c r="I27" s="47"/>
      <c r="J27" s="101">
        <f>E27</f>
        <v>130</v>
      </c>
      <c r="K27" s="101">
        <f>E27</f>
        <v>130</v>
      </c>
    </row>
    <row r="28" spans="1:11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5">
      <c r="A29" s="199" t="s">
        <v>66</v>
      </c>
      <c r="B29" s="178" t="s">
        <v>48</v>
      </c>
      <c r="C29" s="27" t="s">
        <v>58</v>
      </c>
      <c r="D29" s="101">
        <f>E5+E19+E27</f>
        <v>845</v>
      </c>
      <c r="E29" s="179">
        <f>AVERAGE(D29:D30)</f>
        <v>840.5</v>
      </c>
      <c r="F29" s="47"/>
      <c r="G29" s="188">
        <f>(E29-D5-E27)*G4</f>
        <v>180.15</v>
      </c>
      <c r="H29" s="188">
        <f>(E29-D5-E27)*H4</f>
        <v>420.34999999999997</v>
      </c>
      <c r="I29" s="47"/>
      <c r="J29" s="188">
        <f>(E29-E27)*J4+E27</f>
        <v>627.34999999999991</v>
      </c>
      <c r="K29" s="188">
        <f>(E29-E27)*K4+E27</f>
        <v>343.15</v>
      </c>
    </row>
    <row r="30" spans="1:11" x14ac:dyDescent="0.25">
      <c r="A30" s="200"/>
      <c r="B30" s="178"/>
      <c r="C30" s="27" t="s">
        <v>60</v>
      </c>
      <c r="D30" s="101">
        <f>E9+E19+E27</f>
        <v>836</v>
      </c>
      <c r="E30" s="179"/>
      <c r="F30" s="47"/>
      <c r="G30" s="188"/>
      <c r="H30" s="188"/>
      <c r="I30" s="47"/>
      <c r="J30" s="188"/>
      <c r="K30" s="188"/>
    </row>
    <row r="31" spans="1:11" x14ac:dyDescent="0.25">
      <c r="A31" s="200"/>
      <c r="B31" s="36"/>
      <c r="D31" s="106"/>
      <c r="E31" s="36"/>
      <c r="F31" s="47"/>
      <c r="I31" s="47"/>
    </row>
    <row r="32" spans="1:11" x14ac:dyDescent="0.25">
      <c r="A32" s="200"/>
      <c r="B32" s="178" t="s">
        <v>49</v>
      </c>
      <c r="C32" s="27" t="s">
        <v>59</v>
      </c>
      <c r="D32" s="101">
        <f>E5+E23+E27</f>
        <v>907</v>
      </c>
      <c r="E32" s="179">
        <f>AVERAGE(D32:D33)</f>
        <v>902.5</v>
      </c>
      <c r="F32" s="47"/>
      <c r="G32" s="188">
        <f>(E32-D9-E27)*G4</f>
        <v>198.75</v>
      </c>
      <c r="H32" s="188">
        <f>(E32-D9-E27)*H4</f>
        <v>463.74999999999994</v>
      </c>
      <c r="I32" s="47"/>
      <c r="J32" s="188">
        <f>(E32-E27)*J4+E27</f>
        <v>670.75</v>
      </c>
      <c r="K32" s="188">
        <f>(E32-E27)*K4+E27</f>
        <v>361.75</v>
      </c>
    </row>
    <row r="33" spans="1:12" x14ac:dyDescent="0.25">
      <c r="A33" s="200"/>
      <c r="B33" s="178"/>
      <c r="C33" s="27" t="s">
        <v>61</v>
      </c>
      <c r="D33" s="101">
        <f>E9+E23+E27</f>
        <v>898</v>
      </c>
      <c r="E33" s="179"/>
      <c r="F33" s="47"/>
      <c r="G33" s="188"/>
      <c r="H33" s="188"/>
      <c r="I33" s="47"/>
      <c r="J33" s="188"/>
      <c r="K33" s="188"/>
    </row>
    <row r="34" spans="1:12" x14ac:dyDescent="0.25">
      <c r="A34" s="200"/>
      <c r="B34" s="36"/>
      <c r="D34" s="106"/>
      <c r="E34" s="36"/>
      <c r="F34" s="47"/>
      <c r="I34" s="47"/>
    </row>
    <row r="35" spans="1:12" x14ac:dyDescent="0.25">
      <c r="A35" s="200"/>
      <c r="B35" s="178" t="s">
        <v>52</v>
      </c>
      <c r="C35" s="27" t="s">
        <v>62</v>
      </c>
      <c r="D35" s="101">
        <f>E12+E19+E27</f>
        <v>765</v>
      </c>
      <c r="E35" s="179">
        <f>AVERAGE(D35:D36)</f>
        <v>760.5</v>
      </c>
      <c r="F35" s="47"/>
      <c r="G35" s="188">
        <f>(E35-D9-E27)*G4</f>
        <v>156.15</v>
      </c>
      <c r="H35" s="188">
        <f>(E35-D9-E27)*H4</f>
        <v>364.34999999999997</v>
      </c>
      <c r="I35" s="47"/>
      <c r="J35" s="188">
        <f>(E35-E27)*J4+E27</f>
        <v>571.34999999999991</v>
      </c>
      <c r="K35" s="188">
        <f>(E35-E27)*K4+E27</f>
        <v>319.14999999999998</v>
      </c>
    </row>
    <row r="36" spans="1:12" x14ac:dyDescent="0.25">
      <c r="A36" s="200"/>
      <c r="B36" s="178"/>
      <c r="C36" s="27" t="s">
        <v>64</v>
      </c>
      <c r="D36" s="101">
        <f>E16+E19+E27</f>
        <v>756</v>
      </c>
      <c r="E36" s="179"/>
      <c r="F36" s="47"/>
      <c r="G36" s="188"/>
      <c r="H36" s="188"/>
      <c r="I36" s="47"/>
      <c r="J36" s="188"/>
      <c r="K36" s="188"/>
    </row>
    <row r="37" spans="1:12" x14ac:dyDescent="0.25">
      <c r="A37" s="200"/>
      <c r="B37" s="36"/>
      <c r="D37" s="106"/>
      <c r="E37" s="36"/>
      <c r="F37" s="47"/>
      <c r="I37" s="47"/>
    </row>
    <row r="38" spans="1:12" x14ac:dyDescent="0.25">
      <c r="A38" s="200"/>
      <c r="B38" s="183" t="s">
        <v>50</v>
      </c>
      <c r="C38" s="27" t="s">
        <v>63</v>
      </c>
      <c r="D38" s="101">
        <f>E12+E23+E27</f>
        <v>827</v>
      </c>
      <c r="E38" s="179">
        <f>AVERAGE(D38:D39)</f>
        <v>822.5</v>
      </c>
      <c r="F38" s="47"/>
      <c r="G38" s="188">
        <f>(E38-D16-E27)*G4</f>
        <v>174.75</v>
      </c>
      <c r="H38" s="188">
        <f>(E38-D16-E27)*H4</f>
        <v>407.75</v>
      </c>
      <c r="I38" s="47"/>
      <c r="J38" s="188">
        <f>(E38-E27)*J4+E27</f>
        <v>614.75</v>
      </c>
      <c r="K38" s="188">
        <f>(E38-E27)*K4+E27</f>
        <v>337.75</v>
      </c>
    </row>
    <row r="39" spans="1:12" x14ac:dyDescent="0.25">
      <c r="A39" s="201"/>
      <c r="B39" s="184"/>
      <c r="C39" s="27" t="s">
        <v>65</v>
      </c>
      <c r="D39" s="101">
        <f>E16+E23+E27</f>
        <v>818</v>
      </c>
      <c r="E39" s="179"/>
      <c r="F39" s="47"/>
      <c r="G39" s="188"/>
      <c r="H39" s="188"/>
      <c r="I39" s="47"/>
      <c r="J39" s="188"/>
      <c r="K39" s="188"/>
    </row>
    <row r="40" spans="1:12" x14ac:dyDescent="0.25">
      <c r="A40" s="48"/>
      <c r="B40" s="49"/>
      <c r="C40" s="50"/>
      <c r="D40" s="51"/>
      <c r="E40" s="49"/>
      <c r="F40" s="47"/>
      <c r="G40" s="51"/>
      <c r="H40" s="51"/>
      <c r="I40" s="47"/>
      <c r="J40" s="47"/>
      <c r="K40" s="47"/>
    </row>
    <row r="41" spans="1:12" x14ac:dyDescent="0.25">
      <c r="F41" s="47"/>
      <c r="G41" s="185" t="s">
        <v>75</v>
      </c>
      <c r="H41" s="185"/>
      <c r="I41" s="47"/>
      <c r="J41" s="185" t="s">
        <v>76</v>
      </c>
      <c r="K41" s="185"/>
    </row>
    <row r="42" spans="1:12" ht="13.5" customHeight="1" x14ac:dyDescent="0.25">
      <c r="F42" s="47"/>
      <c r="G42" s="103" t="s">
        <v>67</v>
      </c>
      <c r="H42" s="103" t="s">
        <v>47</v>
      </c>
      <c r="I42" s="47"/>
      <c r="J42" s="103" t="s">
        <v>67</v>
      </c>
      <c r="K42" s="103" t="s">
        <v>47</v>
      </c>
    </row>
    <row r="43" spans="1:12" ht="21" customHeight="1" x14ac:dyDescent="0.25">
      <c r="A43" s="198" t="s">
        <v>66</v>
      </c>
      <c r="B43" s="101" t="s">
        <v>48</v>
      </c>
      <c r="C43" s="186" t="s">
        <v>68</v>
      </c>
      <c r="D43" s="187"/>
      <c r="E43" s="101">
        <f>AVERAGE(E29,E35)</f>
        <v>800.5</v>
      </c>
      <c r="F43" s="47"/>
      <c r="G43" s="101">
        <f>(E43-D9-E27)*G4</f>
        <v>168.15</v>
      </c>
      <c r="H43" s="101">
        <f>(E43-D16-E27)*H4</f>
        <v>392.34999999999997</v>
      </c>
      <c r="I43" s="47"/>
      <c r="J43" s="101">
        <f>E43-G43</f>
        <v>632.35</v>
      </c>
      <c r="K43" s="101">
        <f>E43-H43</f>
        <v>408.15000000000003</v>
      </c>
    </row>
    <row r="44" spans="1:12" ht="29.25" customHeight="1" x14ac:dyDescent="0.25">
      <c r="A44" s="198"/>
      <c r="B44" s="101" t="s">
        <v>49</v>
      </c>
      <c r="C44" s="186" t="s">
        <v>69</v>
      </c>
      <c r="D44" s="187"/>
      <c r="E44" s="101">
        <f>AVERAGE(E32,E38)</f>
        <v>862.5</v>
      </c>
      <c r="F44" s="47"/>
      <c r="G44" s="101">
        <f>(E44-D16-E27)*G4</f>
        <v>186.75</v>
      </c>
      <c r="H44" s="101">
        <f>(E44-D16-E27)*H4</f>
        <v>435.75</v>
      </c>
      <c r="I44" s="47"/>
      <c r="J44" s="101">
        <f>E44-G44</f>
        <v>675.75</v>
      </c>
      <c r="K44" s="101">
        <f>E44-H44</f>
        <v>426.75</v>
      </c>
    </row>
    <row r="45" spans="1:12" x14ac:dyDescent="0.25">
      <c r="A45" s="48"/>
      <c r="B45" s="49"/>
      <c r="C45" s="50"/>
      <c r="D45" s="51"/>
      <c r="E45" s="49"/>
      <c r="F45" s="47"/>
      <c r="G45" s="51"/>
      <c r="H45" s="51"/>
      <c r="I45" s="47"/>
      <c r="J45" s="47"/>
      <c r="K45" s="47"/>
    </row>
    <row r="46" spans="1:12" x14ac:dyDescent="0.25">
      <c r="A46" s="192" t="s">
        <v>77</v>
      </c>
      <c r="B46" s="27"/>
      <c r="C46" s="42" t="s">
        <v>79</v>
      </c>
      <c r="D46" s="52" t="s">
        <v>67</v>
      </c>
      <c r="E46" s="42" t="s">
        <v>47</v>
      </c>
    </row>
    <row r="47" spans="1:12" ht="23.25" x14ac:dyDescent="0.25">
      <c r="A47" s="193"/>
      <c r="B47" s="53" t="s">
        <v>70</v>
      </c>
      <c r="C47" s="101">
        <v>25000</v>
      </c>
      <c r="D47" s="101">
        <f>C47*10%</f>
        <v>2500</v>
      </c>
      <c r="E47" s="101">
        <f>C47*90%</f>
        <v>22500</v>
      </c>
    </row>
    <row r="48" spans="1:12" ht="21" customHeight="1" x14ac:dyDescent="0.25">
      <c r="A48" s="193"/>
      <c r="B48" s="53" t="s">
        <v>68</v>
      </c>
      <c r="C48" s="101">
        <f>C47*90%</f>
        <v>22500</v>
      </c>
      <c r="D48" s="101">
        <f>D47*90%</f>
        <v>2250</v>
      </c>
      <c r="E48" s="101">
        <f>E47*90%</f>
        <v>20250</v>
      </c>
      <c r="L48" s="31"/>
    </row>
    <row r="49" spans="1:12" ht="34.5" x14ac:dyDescent="0.25">
      <c r="A49" s="194"/>
      <c r="B49" s="53" t="s">
        <v>69</v>
      </c>
      <c r="C49" s="101">
        <f>C47*10%</f>
        <v>2500</v>
      </c>
      <c r="D49" s="101">
        <f>D47*10%</f>
        <v>250</v>
      </c>
      <c r="E49" s="101">
        <f>E47*10%</f>
        <v>2250</v>
      </c>
      <c r="H49">
        <f>32000-C47</f>
        <v>7000</v>
      </c>
      <c r="L49" s="31"/>
    </row>
    <row r="50" spans="1:12" x14ac:dyDescent="0.25">
      <c r="A50" s="47"/>
      <c r="B50" s="47"/>
      <c r="C50" s="47"/>
      <c r="D50" s="47"/>
      <c r="E50" s="47"/>
      <c r="H50">
        <f>H49*110</f>
        <v>770000</v>
      </c>
    </row>
    <row r="51" spans="1:12" x14ac:dyDescent="0.25">
      <c r="A51" s="177" t="s">
        <v>78</v>
      </c>
      <c r="C51" s="42" t="s">
        <v>109</v>
      </c>
      <c r="D51" s="52" t="s">
        <v>67</v>
      </c>
      <c r="E51" s="42" t="s">
        <v>47</v>
      </c>
      <c r="J51" s="31"/>
      <c r="L51" s="32"/>
    </row>
    <row r="52" spans="1:12" ht="34.5" x14ac:dyDescent="0.25">
      <c r="A52" s="177"/>
      <c r="B52" s="74" t="s">
        <v>68</v>
      </c>
      <c r="C52" s="43">
        <f>D52+E52</f>
        <v>8323424.9999999991</v>
      </c>
      <c r="D52" s="44">
        <f>D48*G43</f>
        <v>378337.5</v>
      </c>
      <c r="E52" s="44">
        <f>E48*H43</f>
        <v>7945087.4999999991</v>
      </c>
    </row>
    <row r="53" spans="1:12" ht="34.5" x14ac:dyDescent="0.25">
      <c r="A53" s="177"/>
      <c r="B53" s="74" t="s">
        <v>69</v>
      </c>
      <c r="C53" s="43">
        <f>D53+E53</f>
        <v>1027125</v>
      </c>
      <c r="D53" s="44">
        <f>D49*G44</f>
        <v>46687.5</v>
      </c>
      <c r="E53" s="44">
        <f>E49*H44</f>
        <v>980437.5</v>
      </c>
    </row>
    <row r="54" spans="1:12" x14ac:dyDescent="0.25">
      <c r="A54" s="177"/>
      <c r="B54" s="75" t="s">
        <v>71</v>
      </c>
      <c r="C54" s="54">
        <f>C52+C53</f>
        <v>9350550</v>
      </c>
      <c r="D54" s="43">
        <f>D52+D53</f>
        <v>425025</v>
      </c>
      <c r="E54" s="43">
        <f>E52+E53</f>
        <v>8925525</v>
      </c>
      <c r="L54" s="31"/>
    </row>
    <row r="55" spans="1:12" x14ac:dyDescent="0.25">
      <c r="A55" s="47"/>
      <c r="B55" s="47"/>
      <c r="C55" s="47"/>
      <c r="D55" s="47"/>
      <c r="E55" s="47"/>
    </row>
    <row r="56" spans="1:12" x14ac:dyDescent="0.25">
      <c r="A56" s="177" t="s">
        <v>80</v>
      </c>
      <c r="C56" s="42" t="s">
        <v>109</v>
      </c>
      <c r="D56" s="52" t="s">
        <v>67</v>
      </c>
      <c r="E56" s="42" t="s">
        <v>47</v>
      </c>
    </row>
    <row r="57" spans="1:12" ht="34.5" x14ac:dyDescent="0.25">
      <c r="A57" s="177"/>
      <c r="B57" s="74" t="s">
        <v>68</v>
      </c>
      <c r="C57" s="43">
        <f>D57+E57</f>
        <v>9687825</v>
      </c>
      <c r="D57" s="44">
        <f>D48*J43</f>
        <v>1422787.5</v>
      </c>
      <c r="E57" s="44">
        <f>E48*K43</f>
        <v>8265037.5000000009</v>
      </c>
    </row>
    <row r="58" spans="1:12" ht="34.5" x14ac:dyDescent="0.25">
      <c r="A58" s="177"/>
      <c r="B58" s="74" t="s">
        <v>69</v>
      </c>
      <c r="C58" s="43">
        <f>D58+E58</f>
        <v>1129125</v>
      </c>
      <c r="D58" s="44">
        <f>D49*J44</f>
        <v>168937.5</v>
      </c>
      <c r="E58" s="44">
        <f>E49*K44</f>
        <v>960187.5</v>
      </c>
    </row>
    <row r="59" spans="1:12" ht="23.25" x14ac:dyDescent="0.25">
      <c r="A59" s="177"/>
      <c r="B59" s="75" t="s">
        <v>99</v>
      </c>
      <c r="C59" s="54">
        <f>C57+C58</f>
        <v>10816950</v>
      </c>
      <c r="D59" s="43">
        <f>D57+D58</f>
        <v>1591725</v>
      </c>
      <c r="E59" s="43">
        <f>E57+E58</f>
        <v>9225225</v>
      </c>
    </row>
    <row r="60" spans="1:12" x14ac:dyDescent="0.25">
      <c r="A60" s="177"/>
      <c r="B60" s="75"/>
      <c r="C60" s="54"/>
      <c r="D60" s="43"/>
      <c r="E60" s="43"/>
    </row>
    <row r="61" spans="1:12" ht="23.25" x14ac:dyDescent="0.25">
      <c r="A61" s="177"/>
      <c r="B61" s="75" t="s">
        <v>100</v>
      </c>
      <c r="C61" s="54">
        <f>C47*50</f>
        <v>1250000</v>
      </c>
      <c r="D61" s="43"/>
      <c r="E61" s="43"/>
      <c r="H61" s="33"/>
    </row>
    <row r="62" spans="1:12" ht="15.75" x14ac:dyDescent="0.25">
      <c r="A62" s="177"/>
      <c r="B62" s="75" t="s">
        <v>71</v>
      </c>
      <c r="C62" s="86">
        <f>C59+C61+E65</f>
        <v>12451950</v>
      </c>
      <c r="D62" s="43"/>
      <c r="E62" s="43"/>
      <c r="G62" s="33"/>
      <c r="H62" s="95"/>
      <c r="J62" s="95"/>
    </row>
    <row r="63" spans="1:12" x14ac:dyDescent="0.25">
      <c r="A63" s="47"/>
      <c r="B63" s="47"/>
      <c r="C63" s="47"/>
      <c r="D63" s="47"/>
      <c r="E63" s="47"/>
      <c r="G63" s="33"/>
    </row>
    <row r="65" spans="2:10" ht="34.5" x14ac:dyDescent="0.25">
      <c r="B65" s="73" t="s">
        <v>137</v>
      </c>
      <c r="C65">
        <f>32000-25000</f>
        <v>7000</v>
      </c>
      <c r="D65">
        <v>55</v>
      </c>
      <c r="E65">
        <f>C65*D65</f>
        <v>385000</v>
      </c>
      <c r="G65" s="33"/>
      <c r="H65" s="33"/>
      <c r="J65" s="33"/>
    </row>
    <row r="66" spans="2:10" x14ac:dyDescent="0.25">
      <c r="G66" s="33"/>
    </row>
    <row r="67" spans="2:10" ht="18.75" x14ac:dyDescent="0.3">
      <c r="B67" s="55" t="s">
        <v>81</v>
      </c>
      <c r="C67" s="56">
        <f>C54+C62</f>
        <v>21802500</v>
      </c>
      <c r="G67" s="33"/>
    </row>
  </sheetData>
  <mergeCells count="75">
    <mergeCell ref="A51:A54"/>
    <mergeCell ref="A56:A62"/>
    <mergeCell ref="G41:H41"/>
    <mergeCell ref="J41:K41"/>
    <mergeCell ref="A43:A44"/>
    <mergeCell ref="C43:D43"/>
    <mergeCell ref="C44:D44"/>
    <mergeCell ref="A46:A49"/>
    <mergeCell ref="J35:J36"/>
    <mergeCell ref="K35:K36"/>
    <mergeCell ref="B38:B39"/>
    <mergeCell ref="E38:E39"/>
    <mergeCell ref="G38:G39"/>
    <mergeCell ref="H38:H39"/>
    <mergeCell ref="J38:J39"/>
    <mergeCell ref="K38:K39"/>
    <mergeCell ref="K29:K30"/>
    <mergeCell ref="B32:B33"/>
    <mergeCell ref="E32:E33"/>
    <mergeCell ref="G32:G33"/>
    <mergeCell ref="H32:H33"/>
    <mergeCell ref="J32:J33"/>
    <mergeCell ref="K32:K33"/>
    <mergeCell ref="J29:J30"/>
    <mergeCell ref="A29:A39"/>
    <mergeCell ref="B29:B30"/>
    <mergeCell ref="E29:E30"/>
    <mergeCell ref="G29:G30"/>
    <mergeCell ref="H29:H30"/>
    <mergeCell ref="B35:B36"/>
    <mergeCell ref="E35:E36"/>
    <mergeCell ref="G35:G36"/>
    <mergeCell ref="H35:H36"/>
    <mergeCell ref="K19:K21"/>
    <mergeCell ref="B23:B25"/>
    <mergeCell ref="E23:E25"/>
    <mergeCell ref="G23:G25"/>
    <mergeCell ref="H23:H25"/>
    <mergeCell ref="J23:J25"/>
    <mergeCell ref="K23:K25"/>
    <mergeCell ref="J19:J21"/>
    <mergeCell ref="A19:A27"/>
    <mergeCell ref="B19:B21"/>
    <mergeCell ref="E19:E21"/>
    <mergeCell ref="G19:G21"/>
    <mergeCell ref="H19:H21"/>
    <mergeCell ref="K9:K10"/>
    <mergeCell ref="K16:K17"/>
    <mergeCell ref="B12:B14"/>
    <mergeCell ref="E12:E14"/>
    <mergeCell ref="G12:G14"/>
    <mergeCell ref="H12:H14"/>
    <mergeCell ref="J12:J14"/>
    <mergeCell ref="K12:K14"/>
    <mergeCell ref="B16:B17"/>
    <mergeCell ref="E16:E17"/>
    <mergeCell ref="G16:G17"/>
    <mergeCell ref="H16:H17"/>
    <mergeCell ref="J16:J17"/>
    <mergeCell ref="A1:K1"/>
    <mergeCell ref="G2:H2"/>
    <mergeCell ref="J2:K2"/>
    <mergeCell ref="D4:E4"/>
    <mergeCell ref="A5:A17"/>
    <mergeCell ref="B5:B7"/>
    <mergeCell ref="E5:E7"/>
    <mergeCell ref="G5:G7"/>
    <mergeCell ref="H5:H7"/>
    <mergeCell ref="J5:J7"/>
    <mergeCell ref="K5:K7"/>
    <mergeCell ref="B9:B10"/>
    <mergeCell ref="E9:E10"/>
    <mergeCell ref="G9:G10"/>
    <mergeCell ref="H9:H10"/>
    <mergeCell ref="J9:J10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opLeftCell="A52" workbookViewId="0">
      <selection activeCell="C63" sqref="C63"/>
    </sheetView>
  </sheetViews>
  <sheetFormatPr defaultRowHeight="15" x14ac:dyDescent="0.25"/>
  <cols>
    <col min="2" max="2" width="18.5703125" bestFit="1" customWidth="1"/>
    <col min="3" max="3" width="42.5703125" bestFit="1" customWidth="1"/>
    <col min="4" max="4" width="17.42578125" customWidth="1"/>
    <col min="5" max="5" width="18.140625" customWidth="1"/>
    <col min="6" max="6" width="4" customWidth="1"/>
    <col min="7" max="7" width="14.5703125" bestFit="1" customWidth="1"/>
    <col min="8" max="8" width="19.5703125" customWidth="1"/>
    <col min="9" max="9" width="4" customWidth="1"/>
    <col min="10" max="10" width="15.140625" bestFit="1" customWidth="1"/>
    <col min="11" max="11" width="10" customWidth="1"/>
    <col min="12" max="12" width="17" customWidth="1"/>
    <col min="13" max="13" width="15.5703125" customWidth="1"/>
  </cols>
  <sheetData>
    <row r="1" spans="1:11" x14ac:dyDescent="0.25">
      <c r="A1" s="202" t="s">
        <v>82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x14ac:dyDescent="0.25">
      <c r="F2" s="47"/>
      <c r="G2" s="189" t="s">
        <v>73</v>
      </c>
      <c r="H2" s="189"/>
      <c r="I2" s="47"/>
      <c r="J2" s="189" t="s">
        <v>72</v>
      </c>
      <c r="K2" s="189"/>
    </row>
    <row r="3" spans="1:11" x14ac:dyDescent="0.25">
      <c r="F3" s="47"/>
      <c r="G3" s="45" t="s">
        <v>67</v>
      </c>
      <c r="H3" s="45" t="s">
        <v>47</v>
      </c>
      <c r="I3" s="47"/>
      <c r="J3" s="45" t="s">
        <v>67</v>
      </c>
      <c r="K3" s="45" t="s">
        <v>47</v>
      </c>
    </row>
    <row r="4" spans="1:11" ht="34.5" customHeight="1" x14ac:dyDescent="0.25">
      <c r="D4" s="190" t="s">
        <v>74</v>
      </c>
      <c r="E4" s="191"/>
      <c r="F4" s="47"/>
      <c r="G4" s="46">
        <v>0.05</v>
      </c>
      <c r="H4" s="46">
        <v>0.2</v>
      </c>
      <c r="I4" s="47"/>
      <c r="J4" s="46">
        <v>0.95</v>
      </c>
      <c r="K4" s="46">
        <v>0.8</v>
      </c>
    </row>
    <row r="5" spans="1:11" x14ac:dyDescent="0.25">
      <c r="A5" s="177" t="s">
        <v>51</v>
      </c>
      <c r="B5" s="178" t="s">
        <v>43</v>
      </c>
      <c r="C5" s="27" t="s">
        <v>39</v>
      </c>
      <c r="D5" s="101">
        <v>110</v>
      </c>
      <c r="E5" s="179">
        <f>D5+D6+D7</f>
        <v>488</v>
      </c>
      <c r="F5" s="47"/>
      <c r="G5" s="188">
        <f>(D6+D7)*$G$4</f>
        <v>18.900000000000002</v>
      </c>
      <c r="H5" s="188">
        <f>(D6+D7)*H4</f>
        <v>75.600000000000009</v>
      </c>
      <c r="I5" s="47"/>
      <c r="J5" s="188">
        <f>E5*J4</f>
        <v>463.59999999999997</v>
      </c>
      <c r="K5" s="188">
        <f>E5*K4</f>
        <v>390.40000000000003</v>
      </c>
    </row>
    <row r="6" spans="1:11" x14ac:dyDescent="0.25">
      <c r="A6" s="177"/>
      <c r="B6" s="178"/>
      <c r="C6" s="27" t="s">
        <v>40</v>
      </c>
      <c r="D6" s="101">
        <f>'მკურნალობაში ჩართვის ჯგუფები'!E6</f>
        <v>369</v>
      </c>
      <c r="E6" s="179"/>
      <c r="F6" s="47"/>
      <c r="G6" s="188"/>
      <c r="H6" s="188"/>
      <c r="I6" s="47"/>
      <c r="J6" s="188"/>
      <c r="K6" s="188"/>
    </row>
    <row r="7" spans="1:11" x14ac:dyDescent="0.25">
      <c r="A7" s="177"/>
      <c r="B7" s="178"/>
      <c r="C7" s="27" t="s">
        <v>42</v>
      </c>
      <c r="D7" s="101">
        <f>'მკურნალობაში ჩართვის ჯგუფები'!E8</f>
        <v>9</v>
      </c>
      <c r="E7" s="179"/>
      <c r="F7" s="47"/>
      <c r="G7" s="188"/>
      <c r="H7" s="188"/>
      <c r="I7" s="47"/>
      <c r="J7" s="188"/>
      <c r="K7" s="188"/>
    </row>
    <row r="8" spans="1:11" x14ac:dyDescent="0.25">
      <c r="A8" s="177"/>
      <c r="D8" s="106"/>
      <c r="E8" s="36"/>
      <c r="F8" s="47"/>
      <c r="I8" s="47"/>
    </row>
    <row r="9" spans="1:11" x14ac:dyDescent="0.25">
      <c r="A9" s="177"/>
      <c r="B9" s="178" t="s">
        <v>44</v>
      </c>
      <c r="C9" s="27" t="s">
        <v>39</v>
      </c>
      <c r="D9" s="101">
        <v>110</v>
      </c>
      <c r="E9" s="179">
        <f>D9+D10</f>
        <v>479</v>
      </c>
      <c r="F9" s="47"/>
      <c r="G9" s="188">
        <f>D10*G4</f>
        <v>18.45</v>
      </c>
      <c r="H9" s="188">
        <f>D10*H4</f>
        <v>73.8</v>
      </c>
      <c r="I9" s="47"/>
      <c r="J9" s="188">
        <f>E9*J4</f>
        <v>455.04999999999995</v>
      </c>
      <c r="K9" s="188">
        <f>E9*K4</f>
        <v>383.20000000000005</v>
      </c>
    </row>
    <row r="10" spans="1:11" x14ac:dyDescent="0.25">
      <c r="A10" s="177"/>
      <c r="B10" s="178"/>
      <c r="C10" s="27" t="s">
        <v>40</v>
      </c>
      <c r="D10" s="101">
        <f>'მკურნალობაში ჩართვის ჯგუფები'!E6</f>
        <v>369</v>
      </c>
      <c r="E10" s="179"/>
      <c r="F10" s="47"/>
      <c r="G10" s="188"/>
      <c r="H10" s="188"/>
      <c r="I10" s="47"/>
      <c r="J10" s="188"/>
      <c r="K10" s="188"/>
    </row>
    <row r="11" spans="1:11" x14ac:dyDescent="0.25">
      <c r="A11" s="177"/>
      <c r="D11" s="106"/>
      <c r="E11" s="36"/>
      <c r="F11" s="47"/>
      <c r="I11" s="47"/>
    </row>
    <row r="12" spans="1:11" x14ac:dyDescent="0.25">
      <c r="A12" s="177"/>
      <c r="B12" s="178" t="s">
        <v>45</v>
      </c>
      <c r="C12" s="27" t="s">
        <v>39</v>
      </c>
      <c r="D12" s="101">
        <v>110</v>
      </c>
      <c r="E12" s="179">
        <f>D12+D13+D14</f>
        <v>408</v>
      </c>
      <c r="F12" s="47"/>
      <c r="G12" s="188">
        <f>(D13+D14)*G4</f>
        <v>14.9</v>
      </c>
      <c r="H12" s="188">
        <f>(D13+D14)*H4</f>
        <v>59.6</v>
      </c>
      <c r="I12" s="47"/>
      <c r="J12" s="188">
        <f>E12*J4</f>
        <v>387.59999999999997</v>
      </c>
      <c r="K12" s="188">
        <f>E12*K4</f>
        <v>326.40000000000003</v>
      </c>
    </row>
    <row r="13" spans="1:11" x14ac:dyDescent="0.25">
      <c r="A13" s="177"/>
      <c r="B13" s="178"/>
      <c r="C13" s="27" t="s">
        <v>41</v>
      </c>
      <c r="D13" s="101">
        <f>'მკურნალობაში ჩართვის ჯგუფები'!E7</f>
        <v>289</v>
      </c>
      <c r="E13" s="179"/>
      <c r="F13" s="47"/>
      <c r="G13" s="188"/>
      <c r="H13" s="188"/>
      <c r="I13" s="47"/>
      <c r="J13" s="188"/>
      <c r="K13" s="188"/>
    </row>
    <row r="14" spans="1:11" x14ac:dyDescent="0.25">
      <c r="A14" s="177"/>
      <c r="B14" s="178"/>
      <c r="C14" s="27" t="s">
        <v>42</v>
      </c>
      <c r="D14" s="101">
        <f>'მკურნალობაში ჩართვის ჯგუფები'!E8</f>
        <v>9</v>
      </c>
      <c r="E14" s="179"/>
      <c r="F14" s="47"/>
      <c r="G14" s="188"/>
      <c r="H14" s="188"/>
      <c r="I14" s="47"/>
      <c r="J14" s="188"/>
      <c r="K14" s="188"/>
    </row>
    <row r="15" spans="1:11" x14ac:dyDescent="0.25">
      <c r="A15" s="177"/>
      <c r="D15" s="106"/>
      <c r="E15" s="36"/>
      <c r="F15" s="47"/>
      <c r="I15" s="47"/>
    </row>
    <row r="16" spans="1:11" x14ac:dyDescent="0.25">
      <c r="A16" s="177"/>
      <c r="B16" s="178" t="s">
        <v>46</v>
      </c>
      <c r="C16" s="27" t="s">
        <v>39</v>
      </c>
      <c r="D16" s="101">
        <v>110</v>
      </c>
      <c r="E16" s="179">
        <f>D16+D17</f>
        <v>399</v>
      </c>
      <c r="F16" s="47"/>
      <c r="G16" s="188">
        <f>D17*G4</f>
        <v>14.450000000000001</v>
      </c>
      <c r="H16" s="188">
        <f>D17*H4</f>
        <v>57.800000000000004</v>
      </c>
      <c r="I16" s="47"/>
      <c r="J16" s="188">
        <f>E16*J4</f>
        <v>379.04999999999995</v>
      </c>
      <c r="K16" s="188">
        <f>E16*K4</f>
        <v>319.20000000000005</v>
      </c>
    </row>
    <row r="17" spans="1:11" x14ac:dyDescent="0.25">
      <c r="A17" s="177"/>
      <c r="B17" s="178"/>
      <c r="C17" s="27" t="s">
        <v>41</v>
      </c>
      <c r="D17" s="101">
        <f>'მკურნალობაში ჩართვის ჯგუფები'!E7</f>
        <v>289</v>
      </c>
      <c r="E17" s="179"/>
      <c r="F17" s="47"/>
      <c r="G17" s="188"/>
      <c r="H17" s="188"/>
      <c r="I17" s="47"/>
      <c r="J17" s="188"/>
      <c r="K17" s="188"/>
    </row>
    <row r="18" spans="1:11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</row>
    <row r="19" spans="1:11" x14ac:dyDescent="0.25">
      <c r="A19" s="177" t="s">
        <v>54</v>
      </c>
      <c r="B19" s="178" t="s">
        <v>55</v>
      </c>
      <c r="C19" s="29" t="s">
        <v>33</v>
      </c>
      <c r="D19" s="101">
        <f>'მონიტორინგის კვლევების ჯგუფები'!E5</f>
        <v>236</v>
      </c>
      <c r="E19" s="179">
        <f>AVERAGE(D19:D21)</f>
        <v>227</v>
      </c>
      <c r="F19" s="47"/>
      <c r="G19" s="195">
        <f>E19*G4</f>
        <v>11.350000000000001</v>
      </c>
      <c r="H19" s="195">
        <f>E19*H4</f>
        <v>45.400000000000006</v>
      </c>
      <c r="I19" s="47"/>
      <c r="J19" s="195">
        <f>E19*J4</f>
        <v>215.64999999999998</v>
      </c>
      <c r="K19" s="195">
        <f>E19*K4</f>
        <v>181.60000000000002</v>
      </c>
    </row>
    <row r="20" spans="1:11" x14ac:dyDescent="0.25">
      <c r="A20" s="177"/>
      <c r="B20" s="178"/>
      <c r="C20" s="29" t="s">
        <v>31</v>
      </c>
      <c r="D20" s="101">
        <f>'მონიტორინგის კვლევების ჯგუფები'!E6</f>
        <v>227</v>
      </c>
      <c r="E20" s="179"/>
      <c r="F20" s="47"/>
      <c r="G20" s="196"/>
      <c r="H20" s="196"/>
      <c r="I20" s="47"/>
      <c r="J20" s="196"/>
      <c r="K20" s="196"/>
    </row>
    <row r="21" spans="1:11" x14ac:dyDescent="0.25">
      <c r="A21" s="177"/>
      <c r="B21" s="178"/>
      <c r="C21" s="37" t="s">
        <v>34</v>
      </c>
      <c r="D21" s="101">
        <f>'მონიტორინგის კვლევების ჯგუფები'!E7</f>
        <v>218</v>
      </c>
      <c r="E21" s="179"/>
      <c r="F21" s="47"/>
      <c r="G21" s="197"/>
      <c r="H21" s="197"/>
      <c r="I21" s="47"/>
      <c r="J21" s="197"/>
      <c r="K21" s="197"/>
    </row>
    <row r="22" spans="1:11" x14ac:dyDescent="0.25">
      <c r="A22" s="177"/>
      <c r="E22" s="36"/>
      <c r="F22" s="47"/>
      <c r="I22" s="47"/>
    </row>
    <row r="23" spans="1:11" x14ac:dyDescent="0.25">
      <c r="A23" s="177"/>
      <c r="B23" s="178" t="s">
        <v>56</v>
      </c>
      <c r="C23" s="29" t="s">
        <v>35</v>
      </c>
      <c r="D23" s="101">
        <f>'მონიტორინგის კვლევების ჯგუფები'!E8</f>
        <v>304</v>
      </c>
      <c r="E23" s="180">
        <f>AVERAGE(D23:D25)</f>
        <v>289</v>
      </c>
      <c r="F23" s="47"/>
      <c r="G23" s="188">
        <f>E23*G4</f>
        <v>14.450000000000001</v>
      </c>
      <c r="H23" s="195">
        <f>E23*H4</f>
        <v>57.800000000000004</v>
      </c>
      <c r="I23" s="47"/>
      <c r="J23" s="188">
        <f>E23*J4</f>
        <v>274.55</v>
      </c>
      <c r="K23" s="195">
        <f>E23*K4</f>
        <v>231.20000000000002</v>
      </c>
    </row>
    <row r="24" spans="1:11" x14ac:dyDescent="0.25">
      <c r="A24" s="177"/>
      <c r="B24" s="178"/>
      <c r="C24" s="29" t="s">
        <v>32</v>
      </c>
      <c r="D24" s="101">
        <f>'მონიტორინგის კვლევების ჯგუფები'!E9</f>
        <v>286</v>
      </c>
      <c r="E24" s="181"/>
      <c r="F24" s="47"/>
      <c r="G24" s="188"/>
      <c r="H24" s="196"/>
      <c r="I24" s="47"/>
      <c r="J24" s="188"/>
      <c r="K24" s="196"/>
    </row>
    <row r="25" spans="1:11" x14ac:dyDescent="0.25">
      <c r="A25" s="177"/>
      <c r="B25" s="178"/>
      <c r="C25" s="37" t="s">
        <v>36</v>
      </c>
      <c r="D25" s="101">
        <f>'მონიტორინგის კვლევების ჯგუფები'!E10</f>
        <v>277</v>
      </c>
      <c r="E25" s="182"/>
      <c r="F25" s="47"/>
      <c r="G25" s="188"/>
      <c r="H25" s="197"/>
      <c r="I25" s="47"/>
      <c r="J25" s="188"/>
      <c r="K25" s="197"/>
    </row>
    <row r="26" spans="1:11" x14ac:dyDescent="0.25">
      <c r="A26" s="177"/>
      <c r="E26" s="36"/>
      <c r="F26" s="47"/>
      <c r="I26" s="47"/>
    </row>
    <row r="27" spans="1:11" x14ac:dyDescent="0.25">
      <c r="A27" s="177"/>
      <c r="B27" s="104" t="s">
        <v>57</v>
      </c>
      <c r="C27" s="27" t="s">
        <v>53</v>
      </c>
      <c r="D27" s="38">
        <f>'მონიტორინგის კვლევების ჯგუფები'!E11</f>
        <v>130</v>
      </c>
      <c r="E27" s="102">
        <v>130</v>
      </c>
      <c r="F27" s="47"/>
      <c r="G27" s="101">
        <v>0</v>
      </c>
      <c r="H27" s="101">
        <v>0</v>
      </c>
      <c r="I27" s="47"/>
      <c r="J27" s="101">
        <f>E27</f>
        <v>130</v>
      </c>
      <c r="K27" s="101">
        <f>E27</f>
        <v>130</v>
      </c>
    </row>
    <row r="28" spans="1:11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5">
      <c r="A29" s="199" t="s">
        <v>66</v>
      </c>
      <c r="B29" s="178" t="s">
        <v>48</v>
      </c>
      <c r="C29" s="27" t="s">
        <v>58</v>
      </c>
      <c r="D29" s="101">
        <f>E5+E19+E27</f>
        <v>845</v>
      </c>
      <c r="E29" s="179">
        <f>AVERAGE(D29:D30)</f>
        <v>840.5</v>
      </c>
      <c r="F29" s="47"/>
      <c r="G29" s="188">
        <f>(E29-D5-E27)*G4</f>
        <v>30.025000000000002</v>
      </c>
      <c r="H29" s="188">
        <f>(E29-D5-E27)*H4</f>
        <v>120.10000000000001</v>
      </c>
      <c r="I29" s="47"/>
      <c r="J29" s="188">
        <f>(E29-E27)*J4+E27</f>
        <v>804.97500000000002</v>
      </c>
      <c r="K29" s="188">
        <f>(E29-E27)*K4+E27</f>
        <v>698.4</v>
      </c>
    </row>
    <row r="30" spans="1:11" x14ac:dyDescent="0.25">
      <c r="A30" s="200"/>
      <c r="B30" s="178"/>
      <c r="C30" s="27" t="s">
        <v>60</v>
      </c>
      <c r="D30" s="101">
        <f>E9+E19+E27</f>
        <v>836</v>
      </c>
      <c r="E30" s="179"/>
      <c r="F30" s="47"/>
      <c r="G30" s="188"/>
      <c r="H30" s="188"/>
      <c r="I30" s="47"/>
      <c r="J30" s="188"/>
      <c r="K30" s="188"/>
    </row>
    <row r="31" spans="1:11" x14ac:dyDescent="0.25">
      <c r="A31" s="200"/>
      <c r="B31" s="36"/>
      <c r="D31" s="106"/>
      <c r="E31" s="36"/>
      <c r="F31" s="47"/>
      <c r="I31" s="47"/>
    </row>
    <row r="32" spans="1:11" x14ac:dyDescent="0.25">
      <c r="A32" s="200"/>
      <c r="B32" s="178" t="s">
        <v>49</v>
      </c>
      <c r="C32" s="27" t="s">
        <v>59</v>
      </c>
      <c r="D32" s="101">
        <f>E5+E23+E27</f>
        <v>907</v>
      </c>
      <c r="E32" s="179">
        <f>AVERAGE(D32:D33)</f>
        <v>902.5</v>
      </c>
      <c r="F32" s="47"/>
      <c r="G32" s="188">
        <f>(E32-D9-E27)*G4</f>
        <v>33.125</v>
      </c>
      <c r="H32" s="188">
        <f>(E32-D9-E27)*H4</f>
        <v>132.5</v>
      </c>
      <c r="I32" s="47"/>
      <c r="J32" s="188">
        <f>(E32-E27)*J4+E27</f>
        <v>863.875</v>
      </c>
      <c r="K32" s="188">
        <f>(E32-E27)*K4+E27</f>
        <v>748</v>
      </c>
    </row>
    <row r="33" spans="1:12" x14ac:dyDescent="0.25">
      <c r="A33" s="200"/>
      <c r="B33" s="178"/>
      <c r="C33" s="27" t="s">
        <v>61</v>
      </c>
      <c r="D33" s="101">
        <f>E9+E23+E27</f>
        <v>898</v>
      </c>
      <c r="E33" s="179"/>
      <c r="F33" s="47"/>
      <c r="G33" s="188"/>
      <c r="H33" s="188"/>
      <c r="I33" s="47"/>
      <c r="J33" s="188"/>
      <c r="K33" s="188"/>
    </row>
    <row r="34" spans="1:12" x14ac:dyDescent="0.25">
      <c r="A34" s="200"/>
      <c r="B34" s="36"/>
      <c r="D34" s="106"/>
      <c r="E34" s="36"/>
      <c r="F34" s="47"/>
      <c r="I34" s="47"/>
    </row>
    <row r="35" spans="1:12" x14ac:dyDescent="0.25">
      <c r="A35" s="200"/>
      <c r="B35" s="178" t="s">
        <v>52</v>
      </c>
      <c r="C35" s="27" t="s">
        <v>62</v>
      </c>
      <c r="D35" s="101">
        <f>E12+E19+E27</f>
        <v>765</v>
      </c>
      <c r="E35" s="179">
        <f>AVERAGE(D35:D36)</f>
        <v>760.5</v>
      </c>
      <c r="F35" s="47"/>
      <c r="G35" s="188">
        <f>(E35-D9-E27)*G4</f>
        <v>26.025000000000002</v>
      </c>
      <c r="H35" s="188">
        <f>(E35-D9-E27)*H4</f>
        <v>104.10000000000001</v>
      </c>
      <c r="I35" s="47"/>
      <c r="J35" s="188">
        <f>(E35-E27)*J4+E27</f>
        <v>728.97500000000002</v>
      </c>
      <c r="K35" s="188">
        <f>(E35-E27)*K4+E27</f>
        <v>634.40000000000009</v>
      </c>
    </row>
    <row r="36" spans="1:12" x14ac:dyDescent="0.25">
      <c r="A36" s="200"/>
      <c r="B36" s="178"/>
      <c r="C36" s="27" t="s">
        <v>64</v>
      </c>
      <c r="D36" s="101">
        <f>E16+E19+E27</f>
        <v>756</v>
      </c>
      <c r="E36" s="179"/>
      <c r="F36" s="47"/>
      <c r="G36" s="188"/>
      <c r="H36" s="188"/>
      <c r="I36" s="47"/>
      <c r="J36" s="188"/>
      <c r="K36" s="188"/>
    </row>
    <row r="37" spans="1:12" x14ac:dyDescent="0.25">
      <c r="A37" s="200"/>
      <c r="B37" s="36"/>
      <c r="D37" s="106"/>
      <c r="E37" s="36"/>
      <c r="F37" s="47"/>
      <c r="I37" s="47"/>
    </row>
    <row r="38" spans="1:12" x14ac:dyDescent="0.25">
      <c r="A38" s="200"/>
      <c r="B38" s="183" t="s">
        <v>50</v>
      </c>
      <c r="C38" s="27" t="s">
        <v>63</v>
      </c>
      <c r="D38" s="101">
        <f>E12+E23+E27</f>
        <v>827</v>
      </c>
      <c r="E38" s="179">
        <f>AVERAGE(D38:D39)</f>
        <v>822.5</v>
      </c>
      <c r="F38" s="47"/>
      <c r="G38" s="188">
        <f>(E38-D16-E27)*G4</f>
        <v>29.125</v>
      </c>
      <c r="H38" s="188">
        <f>(E38-D16-E27)*H4</f>
        <v>116.5</v>
      </c>
      <c r="I38" s="47"/>
      <c r="J38" s="188">
        <f>(E38-E27)*J4+E27</f>
        <v>787.875</v>
      </c>
      <c r="K38" s="188">
        <f>(E38-E27)*K4+E27</f>
        <v>684</v>
      </c>
    </row>
    <row r="39" spans="1:12" x14ac:dyDescent="0.25">
      <c r="A39" s="201"/>
      <c r="B39" s="184"/>
      <c r="C39" s="27" t="s">
        <v>65</v>
      </c>
      <c r="D39" s="101">
        <f>E16+E23+E27</f>
        <v>818</v>
      </c>
      <c r="E39" s="179"/>
      <c r="F39" s="47"/>
      <c r="G39" s="188"/>
      <c r="H39" s="188"/>
      <c r="I39" s="47"/>
      <c r="J39" s="188"/>
      <c r="K39" s="188"/>
    </row>
    <row r="40" spans="1:12" x14ac:dyDescent="0.25">
      <c r="A40" s="48"/>
      <c r="B40" s="49"/>
      <c r="C40" s="50"/>
      <c r="D40" s="51"/>
      <c r="E40" s="49"/>
      <c r="F40" s="47"/>
      <c r="G40" s="51"/>
      <c r="H40" s="51"/>
      <c r="I40" s="47"/>
      <c r="J40" s="47"/>
      <c r="K40" s="47"/>
    </row>
    <row r="41" spans="1:12" x14ac:dyDescent="0.25">
      <c r="F41" s="47"/>
      <c r="G41" s="185" t="s">
        <v>75</v>
      </c>
      <c r="H41" s="185"/>
      <c r="I41" s="47"/>
      <c r="J41" s="185" t="s">
        <v>76</v>
      </c>
      <c r="K41" s="185"/>
    </row>
    <row r="42" spans="1:12" ht="13.5" customHeight="1" x14ac:dyDescent="0.25">
      <c r="F42" s="47"/>
      <c r="G42" s="103" t="s">
        <v>67</v>
      </c>
      <c r="H42" s="103" t="s">
        <v>47</v>
      </c>
      <c r="I42" s="47"/>
      <c r="J42" s="103" t="s">
        <v>67</v>
      </c>
      <c r="K42" s="103" t="s">
        <v>47</v>
      </c>
    </row>
    <row r="43" spans="1:12" ht="21" customHeight="1" x14ac:dyDescent="0.25">
      <c r="A43" s="198" t="s">
        <v>66</v>
      </c>
      <c r="B43" s="101" t="s">
        <v>48</v>
      </c>
      <c r="C43" s="186" t="s">
        <v>68</v>
      </c>
      <c r="D43" s="187"/>
      <c r="E43" s="101">
        <f>AVERAGE(E29,E35)</f>
        <v>800.5</v>
      </c>
      <c r="F43" s="47"/>
      <c r="G43" s="101">
        <f>(E43-D9-E27)*G4</f>
        <v>28.025000000000002</v>
      </c>
      <c r="H43" s="101">
        <f>(E43-D16-E27)*H4</f>
        <v>112.10000000000001</v>
      </c>
      <c r="I43" s="47"/>
      <c r="J43" s="101">
        <f>E43-G43</f>
        <v>772.47500000000002</v>
      </c>
      <c r="K43" s="101">
        <f>E43-H43</f>
        <v>688.4</v>
      </c>
    </row>
    <row r="44" spans="1:12" ht="29.25" customHeight="1" x14ac:dyDescent="0.25">
      <c r="A44" s="198"/>
      <c r="B44" s="101" t="s">
        <v>49</v>
      </c>
      <c r="C44" s="186" t="s">
        <v>69</v>
      </c>
      <c r="D44" s="187"/>
      <c r="E44" s="101">
        <f>AVERAGE(E32,E38)</f>
        <v>862.5</v>
      </c>
      <c r="F44" s="47"/>
      <c r="G44" s="101">
        <f>(E44-D16-E27)*G4</f>
        <v>31.125</v>
      </c>
      <c r="H44" s="101">
        <f>(E44-D16-E27)*H4</f>
        <v>124.5</v>
      </c>
      <c r="I44" s="47"/>
      <c r="J44" s="101">
        <f>E44-G44</f>
        <v>831.375</v>
      </c>
      <c r="K44" s="101">
        <f>E44-H44</f>
        <v>738</v>
      </c>
    </row>
    <row r="45" spans="1:12" x14ac:dyDescent="0.25">
      <c r="A45" s="48"/>
      <c r="B45" s="49"/>
      <c r="C45" s="50"/>
      <c r="D45" s="51"/>
      <c r="E45" s="49"/>
      <c r="F45" s="47"/>
      <c r="G45" s="51"/>
      <c r="H45" s="51"/>
      <c r="I45" s="47"/>
      <c r="J45" s="47"/>
      <c r="K45" s="47"/>
    </row>
    <row r="46" spans="1:12" x14ac:dyDescent="0.25">
      <c r="A46" s="192" t="s">
        <v>77</v>
      </c>
      <c r="B46" s="27"/>
      <c r="C46" s="42" t="s">
        <v>79</v>
      </c>
      <c r="D46" s="52" t="s">
        <v>67</v>
      </c>
      <c r="E46" s="42" t="s">
        <v>47</v>
      </c>
    </row>
    <row r="47" spans="1:12" ht="23.25" x14ac:dyDescent="0.25">
      <c r="A47" s="193"/>
      <c r="B47" s="53" t="s">
        <v>70</v>
      </c>
      <c r="C47" s="101">
        <v>25000</v>
      </c>
      <c r="D47" s="101">
        <f>C47*10%</f>
        <v>2500</v>
      </c>
      <c r="E47" s="101">
        <f>C47*90%</f>
        <v>22500</v>
      </c>
    </row>
    <row r="48" spans="1:12" ht="21" customHeight="1" x14ac:dyDescent="0.25">
      <c r="A48" s="193"/>
      <c r="B48" s="53" t="s">
        <v>68</v>
      </c>
      <c r="C48" s="101">
        <f>C47*90%</f>
        <v>22500</v>
      </c>
      <c r="D48" s="101">
        <f>D47*90%</f>
        <v>2250</v>
      </c>
      <c r="E48" s="101">
        <f>E47*90%</f>
        <v>20250</v>
      </c>
      <c r="L48" s="31"/>
    </row>
    <row r="49" spans="1:12" ht="34.5" x14ac:dyDescent="0.25">
      <c r="A49" s="194"/>
      <c r="B49" s="53" t="s">
        <v>69</v>
      </c>
      <c r="C49" s="101">
        <f>C47*10%</f>
        <v>2500</v>
      </c>
      <c r="D49" s="101">
        <f>D47*10%</f>
        <v>250</v>
      </c>
      <c r="E49" s="101">
        <f>E47*10%</f>
        <v>2250</v>
      </c>
      <c r="L49" s="31"/>
    </row>
    <row r="50" spans="1:12" x14ac:dyDescent="0.25">
      <c r="A50" s="47"/>
      <c r="B50" s="47"/>
      <c r="C50" s="47"/>
      <c r="D50" s="47"/>
      <c r="E50" s="47"/>
    </row>
    <row r="51" spans="1:12" x14ac:dyDescent="0.25">
      <c r="A51" s="177" t="s">
        <v>78</v>
      </c>
      <c r="C51" s="42" t="s">
        <v>109</v>
      </c>
      <c r="D51" s="52" t="s">
        <v>67</v>
      </c>
      <c r="E51" s="42" t="s">
        <v>47</v>
      </c>
      <c r="J51" s="31"/>
      <c r="L51" s="32"/>
    </row>
    <row r="52" spans="1:12" ht="34.5" x14ac:dyDescent="0.25">
      <c r="A52" s="177"/>
      <c r="B52" s="74" t="s">
        <v>68</v>
      </c>
      <c r="C52" s="43">
        <f>D52+E52</f>
        <v>2333081.25</v>
      </c>
      <c r="D52" s="44">
        <f>D48*G43</f>
        <v>63056.250000000007</v>
      </c>
      <c r="E52" s="44">
        <f>E48*H43</f>
        <v>2270025</v>
      </c>
    </row>
    <row r="53" spans="1:12" ht="34.5" x14ac:dyDescent="0.25">
      <c r="A53" s="177"/>
      <c r="B53" s="74" t="s">
        <v>69</v>
      </c>
      <c r="C53" s="43">
        <f>D53+E53</f>
        <v>287906.25</v>
      </c>
      <c r="D53" s="44">
        <f>D49*G44</f>
        <v>7781.25</v>
      </c>
      <c r="E53" s="44">
        <f>E49*H44</f>
        <v>280125</v>
      </c>
    </row>
    <row r="54" spans="1:12" x14ac:dyDescent="0.25">
      <c r="A54" s="177"/>
      <c r="B54" s="75" t="s">
        <v>71</v>
      </c>
      <c r="C54" s="54">
        <f>C52+C53</f>
        <v>2620987.5</v>
      </c>
      <c r="D54" s="43">
        <f>D52+D53</f>
        <v>70837.5</v>
      </c>
      <c r="E54" s="43">
        <f>E52+E53</f>
        <v>2550150</v>
      </c>
      <c r="L54" s="31"/>
    </row>
    <row r="55" spans="1:12" x14ac:dyDescent="0.25">
      <c r="A55" s="47"/>
      <c r="B55" s="47"/>
      <c r="C55" s="47"/>
      <c r="D55" s="47"/>
      <c r="E55" s="47"/>
    </row>
    <row r="56" spans="1:12" x14ac:dyDescent="0.25">
      <c r="A56" s="177" t="s">
        <v>80</v>
      </c>
      <c r="C56" s="42" t="s">
        <v>109</v>
      </c>
      <c r="D56" s="52" t="s">
        <v>67</v>
      </c>
      <c r="E56" s="42" t="s">
        <v>47</v>
      </c>
    </row>
    <row r="57" spans="1:12" ht="34.5" x14ac:dyDescent="0.25">
      <c r="A57" s="177"/>
      <c r="B57" s="74" t="s">
        <v>68</v>
      </c>
      <c r="C57" s="43">
        <f>D57+E57</f>
        <v>15678168.75</v>
      </c>
      <c r="D57" s="44">
        <f>D48*J43</f>
        <v>1738068.75</v>
      </c>
      <c r="E57" s="44">
        <f>E48*K43</f>
        <v>13940100</v>
      </c>
    </row>
    <row r="58" spans="1:12" ht="34.5" x14ac:dyDescent="0.25">
      <c r="A58" s="177"/>
      <c r="B58" s="74" t="s">
        <v>69</v>
      </c>
      <c r="C58" s="43">
        <f>D58+E58</f>
        <v>1868343.75</v>
      </c>
      <c r="D58" s="44">
        <f>D49*J44</f>
        <v>207843.75</v>
      </c>
      <c r="E58" s="44">
        <f>E49*K44</f>
        <v>1660500</v>
      </c>
    </row>
    <row r="59" spans="1:12" ht="23.25" x14ac:dyDescent="0.25">
      <c r="A59" s="177"/>
      <c r="B59" s="75" t="s">
        <v>99</v>
      </c>
      <c r="C59" s="54">
        <f>C57+C58</f>
        <v>17546512.5</v>
      </c>
      <c r="D59" s="43">
        <f>D57+D58</f>
        <v>1945912.5</v>
      </c>
      <c r="E59" s="43">
        <f>E57+E58</f>
        <v>15600600</v>
      </c>
    </row>
    <row r="60" spans="1:12" x14ac:dyDescent="0.25">
      <c r="A60" s="177"/>
      <c r="B60" s="75"/>
      <c r="C60" s="54"/>
      <c r="D60" s="43"/>
      <c r="E60" s="43"/>
    </row>
    <row r="61" spans="1:12" ht="23.25" x14ac:dyDescent="0.25">
      <c r="A61" s="177"/>
      <c r="B61" s="75" t="s">
        <v>100</v>
      </c>
      <c r="C61" s="54">
        <f>C47*50</f>
        <v>1250000</v>
      </c>
      <c r="D61" s="43"/>
      <c r="E61" s="43"/>
      <c r="H61" s="33"/>
    </row>
    <row r="62" spans="1:12" ht="15.75" x14ac:dyDescent="0.25">
      <c r="A62" s="177"/>
      <c r="B62" s="75" t="s">
        <v>71</v>
      </c>
      <c r="C62" s="86">
        <f>C59+C61+E65</f>
        <v>19181512.5</v>
      </c>
      <c r="D62" s="43"/>
      <c r="E62" s="43"/>
      <c r="G62" s="33"/>
      <c r="H62" s="95"/>
      <c r="J62" s="95"/>
    </row>
    <row r="63" spans="1:12" x14ac:dyDescent="0.25">
      <c r="A63" s="47"/>
      <c r="B63" s="47"/>
      <c r="C63" s="47"/>
      <c r="D63" s="47"/>
      <c r="E63" s="47"/>
      <c r="G63" s="33"/>
    </row>
    <row r="65" spans="2:10" ht="34.5" x14ac:dyDescent="0.25">
      <c r="B65" s="73" t="s">
        <v>137</v>
      </c>
      <c r="C65">
        <f>32000-25000</f>
        <v>7000</v>
      </c>
      <c r="D65">
        <v>55</v>
      </c>
      <c r="E65">
        <f>C65*D65</f>
        <v>385000</v>
      </c>
      <c r="G65" s="33"/>
      <c r="H65" s="33"/>
      <c r="J65" s="33"/>
    </row>
    <row r="66" spans="2:10" x14ac:dyDescent="0.25">
      <c r="G66" s="33"/>
    </row>
    <row r="67" spans="2:10" ht="18.75" x14ac:dyDescent="0.3">
      <c r="B67" s="55" t="s">
        <v>81</v>
      </c>
      <c r="C67" s="56">
        <f>C54+C62</f>
        <v>21802500</v>
      </c>
      <c r="G67" s="33"/>
    </row>
  </sheetData>
  <mergeCells count="75">
    <mergeCell ref="A51:A54"/>
    <mergeCell ref="A56:A62"/>
    <mergeCell ref="G41:H41"/>
    <mergeCell ref="J41:K41"/>
    <mergeCell ref="A43:A44"/>
    <mergeCell ref="C43:D43"/>
    <mergeCell ref="C44:D44"/>
    <mergeCell ref="A46:A49"/>
    <mergeCell ref="J35:J36"/>
    <mergeCell ref="K35:K36"/>
    <mergeCell ref="B38:B39"/>
    <mergeCell ref="E38:E39"/>
    <mergeCell ref="G38:G39"/>
    <mergeCell ref="H38:H39"/>
    <mergeCell ref="J38:J39"/>
    <mergeCell ref="K38:K39"/>
    <mergeCell ref="K29:K30"/>
    <mergeCell ref="B32:B33"/>
    <mergeCell ref="E32:E33"/>
    <mergeCell ref="G32:G33"/>
    <mergeCell ref="H32:H33"/>
    <mergeCell ref="J32:J33"/>
    <mergeCell ref="K32:K33"/>
    <mergeCell ref="J29:J30"/>
    <mergeCell ref="A29:A39"/>
    <mergeCell ref="B29:B30"/>
    <mergeCell ref="E29:E30"/>
    <mergeCell ref="G29:G30"/>
    <mergeCell ref="H29:H30"/>
    <mergeCell ref="B35:B36"/>
    <mergeCell ref="E35:E36"/>
    <mergeCell ref="G35:G36"/>
    <mergeCell ref="H35:H36"/>
    <mergeCell ref="K19:K21"/>
    <mergeCell ref="B23:B25"/>
    <mergeCell ref="E23:E25"/>
    <mergeCell ref="G23:G25"/>
    <mergeCell ref="H23:H25"/>
    <mergeCell ref="J23:J25"/>
    <mergeCell ref="K23:K25"/>
    <mergeCell ref="J19:J21"/>
    <mergeCell ref="A19:A27"/>
    <mergeCell ref="B19:B21"/>
    <mergeCell ref="E19:E21"/>
    <mergeCell ref="G19:G21"/>
    <mergeCell ref="H19:H21"/>
    <mergeCell ref="K9:K10"/>
    <mergeCell ref="K16:K17"/>
    <mergeCell ref="B12:B14"/>
    <mergeCell ref="E12:E14"/>
    <mergeCell ref="G12:G14"/>
    <mergeCell ref="H12:H14"/>
    <mergeCell ref="J12:J14"/>
    <mergeCell ref="K12:K14"/>
    <mergeCell ref="B16:B17"/>
    <mergeCell ref="E16:E17"/>
    <mergeCell ref="G16:G17"/>
    <mergeCell ref="H16:H17"/>
    <mergeCell ref="J16:J17"/>
    <mergeCell ref="A1:K1"/>
    <mergeCell ref="G2:H2"/>
    <mergeCell ref="J2:K2"/>
    <mergeCell ref="D4:E4"/>
    <mergeCell ref="A5:A17"/>
    <mergeCell ref="B5:B7"/>
    <mergeCell ref="E5:E7"/>
    <mergeCell ref="G5:G7"/>
    <mergeCell ref="H5:H7"/>
    <mergeCell ref="J5:J7"/>
    <mergeCell ref="K5:K7"/>
    <mergeCell ref="B9:B10"/>
    <mergeCell ref="E9:E10"/>
    <mergeCell ref="G9:G10"/>
    <mergeCell ref="H9:H10"/>
    <mergeCell ref="J9:J10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opLeftCell="A49" workbookViewId="0">
      <selection activeCell="C62" sqref="C62"/>
    </sheetView>
  </sheetViews>
  <sheetFormatPr defaultRowHeight="15" x14ac:dyDescent="0.25"/>
  <cols>
    <col min="2" max="2" width="18.5703125" bestFit="1" customWidth="1"/>
    <col min="3" max="3" width="42.5703125" bestFit="1" customWidth="1"/>
    <col min="4" max="4" width="17.42578125" customWidth="1"/>
    <col min="5" max="5" width="18.140625" customWidth="1"/>
    <col min="6" max="6" width="4" customWidth="1"/>
    <col min="7" max="7" width="14.5703125" bestFit="1" customWidth="1"/>
    <col min="8" max="8" width="10.42578125" customWidth="1"/>
    <col min="9" max="9" width="4" customWidth="1"/>
    <col min="10" max="10" width="14.5703125" bestFit="1" customWidth="1"/>
    <col min="11" max="11" width="10" customWidth="1"/>
    <col min="12" max="12" width="17" customWidth="1"/>
    <col min="13" max="13" width="15.5703125" customWidth="1"/>
  </cols>
  <sheetData>
    <row r="1" spans="1:11" x14ac:dyDescent="0.25">
      <c r="A1" s="202" t="s">
        <v>82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x14ac:dyDescent="0.25">
      <c r="F2" s="47"/>
      <c r="G2" s="189" t="s">
        <v>73</v>
      </c>
      <c r="H2" s="189"/>
      <c r="I2" s="47"/>
      <c r="J2" s="189" t="s">
        <v>72</v>
      </c>
      <c r="K2" s="189"/>
    </row>
    <row r="3" spans="1:11" x14ac:dyDescent="0.25">
      <c r="F3" s="47"/>
      <c r="G3" s="45" t="s">
        <v>67</v>
      </c>
      <c r="H3" s="45" t="s">
        <v>47</v>
      </c>
      <c r="I3" s="47"/>
      <c r="J3" s="45" t="s">
        <v>67</v>
      </c>
      <c r="K3" s="45" t="s">
        <v>47</v>
      </c>
    </row>
    <row r="4" spans="1:11" ht="34.5" customHeight="1" x14ac:dyDescent="0.25">
      <c r="D4" s="190" t="s">
        <v>74</v>
      </c>
      <c r="E4" s="191"/>
      <c r="F4" s="47"/>
      <c r="G4" s="46">
        <v>0</v>
      </c>
      <c r="H4" s="46">
        <v>0</v>
      </c>
      <c r="I4" s="47"/>
      <c r="J4" s="46">
        <v>1</v>
      </c>
      <c r="K4" s="46">
        <v>1</v>
      </c>
    </row>
    <row r="5" spans="1:11" x14ac:dyDescent="0.25">
      <c r="A5" s="177" t="s">
        <v>51</v>
      </c>
      <c r="B5" s="178" t="s">
        <v>43</v>
      </c>
      <c r="C5" s="27" t="s">
        <v>39</v>
      </c>
      <c r="D5" s="89">
        <v>60</v>
      </c>
      <c r="E5" s="179">
        <f>D5+D6+D7</f>
        <v>438</v>
      </c>
      <c r="F5" s="47"/>
      <c r="G5" s="188">
        <f>E5*$G$4</f>
        <v>0</v>
      </c>
      <c r="H5" s="188">
        <f>E5*H4</f>
        <v>0</v>
      </c>
      <c r="I5" s="47"/>
      <c r="J5" s="188">
        <f>E5*J4</f>
        <v>438</v>
      </c>
      <c r="K5" s="188">
        <f>E5*K4</f>
        <v>438</v>
      </c>
    </row>
    <row r="6" spans="1:11" x14ac:dyDescent="0.25">
      <c r="A6" s="177"/>
      <c r="B6" s="178"/>
      <c r="C6" s="27" t="s">
        <v>40</v>
      </c>
      <c r="D6" s="89">
        <f>'მკურნალობაში ჩართვის ჯგუფები'!E6</f>
        <v>369</v>
      </c>
      <c r="E6" s="179"/>
      <c r="F6" s="47"/>
      <c r="G6" s="188"/>
      <c r="H6" s="188"/>
      <c r="I6" s="47"/>
      <c r="J6" s="188"/>
      <c r="K6" s="188"/>
    </row>
    <row r="7" spans="1:11" x14ac:dyDescent="0.25">
      <c r="A7" s="177"/>
      <c r="B7" s="178"/>
      <c r="C7" s="27" t="s">
        <v>42</v>
      </c>
      <c r="D7" s="89">
        <f>'მკურნალობაში ჩართვის ჯგუფები'!E8</f>
        <v>9</v>
      </c>
      <c r="E7" s="179"/>
      <c r="F7" s="47"/>
      <c r="G7" s="188"/>
      <c r="H7" s="188"/>
      <c r="I7" s="47"/>
      <c r="J7" s="188"/>
      <c r="K7" s="188"/>
    </row>
    <row r="8" spans="1:11" x14ac:dyDescent="0.25">
      <c r="A8" s="177"/>
      <c r="D8" s="35"/>
      <c r="E8" s="36"/>
      <c r="F8" s="47"/>
      <c r="I8" s="47"/>
    </row>
    <row r="9" spans="1:11" x14ac:dyDescent="0.25">
      <c r="A9" s="177"/>
      <c r="B9" s="178" t="s">
        <v>44</v>
      </c>
      <c r="C9" s="27" t="s">
        <v>39</v>
      </c>
      <c r="D9" s="89">
        <v>60</v>
      </c>
      <c r="E9" s="179">
        <f>D9+D10</f>
        <v>429</v>
      </c>
      <c r="F9" s="47"/>
      <c r="G9" s="188">
        <f>E9*G4</f>
        <v>0</v>
      </c>
      <c r="H9" s="188">
        <f>E9*H4</f>
        <v>0</v>
      </c>
      <c r="I9" s="47"/>
      <c r="J9" s="188">
        <f>E9*J4</f>
        <v>429</v>
      </c>
      <c r="K9" s="188">
        <f>E9*K4</f>
        <v>429</v>
      </c>
    </row>
    <row r="10" spans="1:11" x14ac:dyDescent="0.25">
      <c r="A10" s="177"/>
      <c r="B10" s="178"/>
      <c r="C10" s="27" t="s">
        <v>40</v>
      </c>
      <c r="D10" s="89">
        <f>'მკურნალობაში ჩართვის ჯგუფები'!E6</f>
        <v>369</v>
      </c>
      <c r="E10" s="179"/>
      <c r="F10" s="47"/>
      <c r="G10" s="188"/>
      <c r="H10" s="188"/>
      <c r="I10" s="47"/>
      <c r="J10" s="188"/>
      <c r="K10" s="188"/>
    </row>
    <row r="11" spans="1:11" x14ac:dyDescent="0.25">
      <c r="A11" s="177"/>
      <c r="D11" s="35"/>
      <c r="E11" s="36"/>
      <c r="F11" s="47"/>
      <c r="I11" s="47"/>
    </row>
    <row r="12" spans="1:11" x14ac:dyDescent="0.25">
      <c r="A12" s="177"/>
      <c r="B12" s="178" t="s">
        <v>45</v>
      </c>
      <c r="C12" s="27" t="s">
        <v>39</v>
      </c>
      <c r="D12" s="89">
        <v>60</v>
      </c>
      <c r="E12" s="179">
        <f>D12+D13+D14</f>
        <v>358</v>
      </c>
      <c r="F12" s="47"/>
      <c r="G12" s="188">
        <f>E12*G4</f>
        <v>0</v>
      </c>
      <c r="H12" s="188">
        <f>E12*H4</f>
        <v>0</v>
      </c>
      <c r="I12" s="47"/>
      <c r="J12" s="188">
        <f>E12*J4</f>
        <v>358</v>
      </c>
      <c r="K12" s="188">
        <f>E12*K4</f>
        <v>358</v>
      </c>
    </row>
    <row r="13" spans="1:11" x14ac:dyDescent="0.25">
      <c r="A13" s="177"/>
      <c r="B13" s="178"/>
      <c r="C13" s="27" t="s">
        <v>41</v>
      </c>
      <c r="D13" s="89">
        <f>'მკურნალობაში ჩართვის ჯგუფები'!E7</f>
        <v>289</v>
      </c>
      <c r="E13" s="179"/>
      <c r="F13" s="47"/>
      <c r="G13" s="188"/>
      <c r="H13" s="188"/>
      <c r="I13" s="47"/>
      <c r="J13" s="188"/>
      <c r="K13" s="188"/>
    </row>
    <row r="14" spans="1:11" x14ac:dyDescent="0.25">
      <c r="A14" s="177"/>
      <c r="B14" s="178"/>
      <c r="C14" s="27" t="s">
        <v>42</v>
      </c>
      <c r="D14" s="89">
        <f>'მკურნალობაში ჩართვის ჯგუფები'!E8</f>
        <v>9</v>
      </c>
      <c r="E14" s="179"/>
      <c r="F14" s="47"/>
      <c r="G14" s="188"/>
      <c r="H14" s="188"/>
      <c r="I14" s="47"/>
      <c r="J14" s="188"/>
      <c r="K14" s="188"/>
    </row>
    <row r="15" spans="1:11" x14ac:dyDescent="0.25">
      <c r="A15" s="177"/>
      <c r="D15" s="35"/>
      <c r="E15" s="36"/>
      <c r="F15" s="47"/>
      <c r="I15" s="47"/>
    </row>
    <row r="16" spans="1:11" x14ac:dyDescent="0.25">
      <c r="A16" s="177"/>
      <c r="B16" s="178" t="s">
        <v>46</v>
      </c>
      <c r="C16" s="27" t="s">
        <v>39</v>
      </c>
      <c r="D16" s="89">
        <v>60</v>
      </c>
      <c r="E16" s="179">
        <f>D16+D17</f>
        <v>349</v>
      </c>
      <c r="F16" s="47"/>
      <c r="G16" s="188">
        <f>E16*G4</f>
        <v>0</v>
      </c>
      <c r="H16" s="188">
        <f>E16*H4</f>
        <v>0</v>
      </c>
      <c r="I16" s="47"/>
      <c r="J16" s="188">
        <f>E16*J4</f>
        <v>349</v>
      </c>
      <c r="K16" s="188">
        <f>E16*K4</f>
        <v>349</v>
      </c>
    </row>
    <row r="17" spans="1:11" x14ac:dyDescent="0.25">
      <c r="A17" s="177"/>
      <c r="B17" s="178"/>
      <c r="C17" s="27" t="s">
        <v>41</v>
      </c>
      <c r="D17" s="89">
        <f>'მკურნალობაში ჩართვის ჯგუფები'!E7</f>
        <v>289</v>
      </c>
      <c r="E17" s="179"/>
      <c r="F17" s="47"/>
      <c r="G17" s="188"/>
      <c r="H17" s="188"/>
      <c r="I17" s="47"/>
      <c r="J17" s="188"/>
      <c r="K17" s="188"/>
    </row>
    <row r="18" spans="1:11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</row>
    <row r="19" spans="1:11" x14ac:dyDescent="0.25">
      <c r="A19" s="177" t="s">
        <v>54</v>
      </c>
      <c r="B19" s="178" t="s">
        <v>55</v>
      </c>
      <c r="C19" s="29" t="s">
        <v>33</v>
      </c>
      <c r="D19" s="89">
        <f>'მონიტორინგის კვლევების ჯგუფები'!E5</f>
        <v>236</v>
      </c>
      <c r="E19" s="179">
        <f>AVERAGE(D19:D21)</f>
        <v>227</v>
      </c>
      <c r="F19" s="47"/>
      <c r="G19" s="195">
        <f>E19*G4</f>
        <v>0</v>
      </c>
      <c r="H19" s="195">
        <f>E19*H4</f>
        <v>0</v>
      </c>
      <c r="I19" s="47"/>
      <c r="J19" s="195">
        <f>E19*J4</f>
        <v>227</v>
      </c>
      <c r="K19" s="195">
        <f>E19*K4</f>
        <v>227</v>
      </c>
    </row>
    <row r="20" spans="1:11" x14ac:dyDescent="0.25">
      <c r="A20" s="177"/>
      <c r="B20" s="178"/>
      <c r="C20" s="29" t="s">
        <v>31</v>
      </c>
      <c r="D20" s="89">
        <f>'მონიტორინგის კვლევების ჯგუფები'!E6</f>
        <v>227</v>
      </c>
      <c r="E20" s="179"/>
      <c r="F20" s="47"/>
      <c r="G20" s="196"/>
      <c r="H20" s="196"/>
      <c r="I20" s="47"/>
      <c r="J20" s="196"/>
      <c r="K20" s="196"/>
    </row>
    <row r="21" spans="1:11" x14ac:dyDescent="0.25">
      <c r="A21" s="177"/>
      <c r="B21" s="178"/>
      <c r="C21" s="37" t="s">
        <v>34</v>
      </c>
      <c r="D21" s="89">
        <f>'მონიტორინგის კვლევების ჯგუფები'!E7</f>
        <v>218</v>
      </c>
      <c r="E21" s="179"/>
      <c r="F21" s="47"/>
      <c r="G21" s="197"/>
      <c r="H21" s="197"/>
      <c r="I21" s="47"/>
      <c r="J21" s="197"/>
      <c r="K21" s="197"/>
    </row>
    <row r="22" spans="1:11" x14ac:dyDescent="0.25">
      <c r="A22" s="177"/>
      <c r="E22" s="36"/>
      <c r="F22" s="47"/>
      <c r="I22" s="47"/>
    </row>
    <row r="23" spans="1:11" x14ac:dyDescent="0.25">
      <c r="A23" s="177"/>
      <c r="B23" s="178" t="s">
        <v>56</v>
      </c>
      <c r="C23" s="29" t="s">
        <v>35</v>
      </c>
      <c r="D23" s="89">
        <f>'მონიტორინგის კვლევების ჯგუფები'!E8</f>
        <v>304</v>
      </c>
      <c r="E23" s="180">
        <f>AVERAGE(D23:D25)</f>
        <v>289</v>
      </c>
      <c r="F23" s="47"/>
      <c r="G23" s="188">
        <f>E23*G4</f>
        <v>0</v>
      </c>
      <c r="H23" s="195">
        <f>E23*H4</f>
        <v>0</v>
      </c>
      <c r="I23" s="47"/>
      <c r="J23" s="188">
        <f>E23*J4</f>
        <v>289</v>
      </c>
      <c r="K23" s="195">
        <f>E23*K4</f>
        <v>289</v>
      </c>
    </row>
    <row r="24" spans="1:11" x14ac:dyDescent="0.25">
      <c r="A24" s="177"/>
      <c r="B24" s="178"/>
      <c r="C24" s="29" t="s">
        <v>32</v>
      </c>
      <c r="D24" s="89">
        <f>'მონიტორინგის კვლევების ჯგუფები'!E9</f>
        <v>286</v>
      </c>
      <c r="E24" s="181"/>
      <c r="F24" s="47"/>
      <c r="G24" s="188"/>
      <c r="H24" s="196"/>
      <c r="I24" s="47"/>
      <c r="J24" s="188"/>
      <c r="K24" s="196"/>
    </row>
    <row r="25" spans="1:11" x14ac:dyDescent="0.25">
      <c r="A25" s="177"/>
      <c r="B25" s="178"/>
      <c r="C25" s="37" t="s">
        <v>36</v>
      </c>
      <c r="D25" s="89">
        <f>'მონიტორინგის კვლევების ჯგუფები'!E10</f>
        <v>277</v>
      </c>
      <c r="E25" s="182"/>
      <c r="F25" s="47"/>
      <c r="G25" s="188"/>
      <c r="H25" s="197"/>
      <c r="I25" s="47"/>
      <c r="J25" s="188"/>
      <c r="K25" s="197"/>
    </row>
    <row r="26" spans="1:11" x14ac:dyDescent="0.25">
      <c r="A26" s="177"/>
      <c r="E26" s="36"/>
      <c r="F26" s="47"/>
      <c r="I26" s="47"/>
    </row>
    <row r="27" spans="1:11" x14ac:dyDescent="0.25">
      <c r="A27" s="177"/>
      <c r="B27" s="87" t="s">
        <v>57</v>
      </c>
      <c r="C27" s="27" t="s">
        <v>53</v>
      </c>
      <c r="D27" s="38">
        <f>'მონიტორინგის კვლევების ჯგუფები'!E11</f>
        <v>130</v>
      </c>
      <c r="E27" s="90">
        <v>130</v>
      </c>
      <c r="F27" s="47"/>
      <c r="G27" s="89">
        <v>0</v>
      </c>
      <c r="H27" s="89">
        <v>0</v>
      </c>
      <c r="I27" s="47"/>
      <c r="J27" s="89">
        <f>E27</f>
        <v>130</v>
      </c>
      <c r="K27" s="89">
        <f>E27</f>
        <v>130</v>
      </c>
    </row>
    <row r="28" spans="1:11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5">
      <c r="A29" s="199" t="s">
        <v>66</v>
      </c>
      <c r="B29" s="178" t="s">
        <v>48</v>
      </c>
      <c r="C29" s="27" t="s">
        <v>58</v>
      </c>
      <c r="D29" s="89">
        <f>E5+E19+E27</f>
        <v>795</v>
      </c>
      <c r="E29" s="179">
        <f>AVERAGE(D29:D30)</f>
        <v>790.5</v>
      </c>
      <c r="F29" s="47"/>
      <c r="G29" s="188">
        <f>(E29-E27)*G4</f>
        <v>0</v>
      </c>
      <c r="H29" s="188">
        <f>(E29-E27)*H4</f>
        <v>0</v>
      </c>
      <c r="I29" s="47"/>
      <c r="J29" s="188">
        <f>(E29-E27)*J4+E27</f>
        <v>790.5</v>
      </c>
      <c r="K29" s="188">
        <f>(E29-E27)*K4+E27</f>
        <v>790.5</v>
      </c>
    </row>
    <row r="30" spans="1:11" x14ac:dyDescent="0.25">
      <c r="A30" s="200"/>
      <c r="B30" s="178"/>
      <c r="C30" s="27" t="s">
        <v>60</v>
      </c>
      <c r="D30" s="89">
        <f>E9+E19+E27</f>
        <v>786</v>
      </c>
      <c r="E30" s="179"/>
      <c r="F30" s="47"/>
      <c r="G30" s="188"/>
      <c r="H30" s="188"/>
      <c r="I30" s="47"/>
      <c r="J30" s="188"/>
      <c r="K30" s="188"/>
    </row>
    <row r="31" spans="1:11" x14ac:dyDescent="0.25">
      <c r="A31" s="200"/>
      <c r="B31" s="36"/>
      <c r="D31" s="35"/>
      <c r="E31" s="36"/>
      <c r="F31" s="47"/>
      <c r="I31" s="47"/>
    </row>
    <row r="32" spans="1:11" x14ac:dyDescent="0.25">
      <c r="A32" s="200"/>
      <c r="B32" s="178" t="s">
        <v>49</v>
      </c>
      <c r="C32" s="27" t="s">
        <v>59</v>
      </c>
      <c r="D32" s="89">
        <f>E5+E23+E27</f>
        <v>857</v>
      </c>
      <c r="E32" s="179">
        <f>AVERAGE(D32:D33)</f>
        <v>852.5</v>
      </c>
      <c r="F32" s="47"/>
      <c r="G32" s="188">
        <f>(E32-E27)*G4</f>
        <v>0</v>
      </c>
      <c r="H32" s="188">
        <f>(E32-E27)*H4</f>
        <v>0</v>
      </c>
      <c r="I32" s="47"/>
      <c r="J32" s="188">
        <f>(E32-E27)*J4+E27</f>
        <v>852.5</v>
      </c>
      <c r="K32" s="188">
        <f>(E32-E27)*K4+E27</f>
        <v>852.5</v>
      </c>
    </row>
    <row r="33" spans="1:11" x14ac:dyDescent="0.25">
      <c r="A33" s="200"/>
      <c r="B33" s="178"/>
      <c r="C33" s="27" t="s">
        <v>61</v>
      </c>
      <c r="D33" s="89">
        <f>E9+E23+E27</f>
        <v>848</v>
      </c>
      <c r="E33" s="179"/>
      <c r="F33" s="47"/>
      <c r="G33" s="188"/>
      <c r="H33" s="188"/>
      <c r="I33" s="47"/>
      <c r="J33" s="188"/>
      <c r="K33" s="188"/>
    </row>
    <row r="34" spans="1:11" x14ac:dyDescent="0.25">
      <c r="A34" s="200"/>
      <c r="B34" s="36"/>
      <c r="D34" s="35"/>
      <c r="E34" s="36"/>
      <c r="F34" s="47"/>
      <c r="I34" s="47"/>
    </row>
    <row r="35" spans="1:11" x14ac:dyDescent="0.25">
      <c r="A35" s="200"/>
      <c r="B35" s="178" t="s">
        <v>52</v>
      </c>
      <c r="C35" s="27" t="s">
        <v>62</v>
      </c>
      <c r="D35" s="89">
        <f>E12+E19+E27</f>
        <v>715</v>
      </c>
      <c r="E35" s="179">
        <f>AVERAGE(D35:D36)</f>
        <v>710.5</v>
      </c>
      <c r="F35" s="47"/>
      <c r="G35" s="188">
        <f>(E35-E27)*G4</f>
        <v>0</v>
      </c>
      <c r="H35" s="188">
        <f>(E35-E27)*H4</f>
        <v>0</v>
      </c>
      <c r="I35" s="47"/>
      <c r="J35" s="188">
        <f>(E35-E27)*J4+E27</f>
        <v>710.5</v>
      </c>
      <c r="K35" s="188">
        <f>(E35-E27)*K4+E27</f>
        <v>710.5</v>
      </c>
    </row>
    <row r="36" spans="1:11" x14ac:dyDescent="0.25">
      <c r="A36" s="200"/>
      <c r="B36" s="178"/>
      <c r="C36" s="27" t="s">
        <v>64</v>
      </c>
      <c r="D36" s="89">
        <f>E16+E19+E27</f>
        <v>706</v>
      </c>
      <c r="E36" s="179"/>
      <c r="F36" s="47"/>
      <c r="G36" s="188"/>
      <c r="H36" s="188"/>
      <c r="I36" s="47"/>
      <c r="J36" s="188"/>
      <c r="K36" s="188"/>
    </row>
    <row r="37" spans="1:11" x14ac:dyDescent="0.25">
      <c r="A37" s="200"/>
      <c r="B37" s="36"/>
      <c r="D37" s="35"/>
      <c r="E37" s="36"/>
      <c r="F37" s="47"/>
      <c r="I37" s="47"/>
    </row>
    <row r="38" spans="1:11" x14ac:dyDescent="0.25">
      <c r="A38" s="200"/>
      <c r="B38" s="183" t="s">
        <v>50</v>
      </c>
      <c r="C38" s="27" t="s">
        <v>63</v>
      </c>
      <c r="D38" s="89">
        <f>E12+E23+E27</f>
        <v>777</v>
      </c>
      <c r="E38" s="179">
        <f>AVERAGE(D38:D39)</f>
        <v>772.5</v>
      </c>
      <c r="F38" s="47"/>
      <c r="G38" s="188">
        <f>(E38-E27)*G4</f>
        <v>0</v>
      </c>
      <c r="H38" s="188">
        <f>(E38-E27)*H4</f>
        <v>0</v>
      </c>
      <c r="I38" s="47"/>
      <c r="J38" s="188">
        <f>(E38-E27)*J4+E27</f>
        <v>772.5</v>
      </c>
      <c r="K38" s="188">
        <f>(E38-E27)*K4+E27</f>
        <v>772.5</v>
      </c>
    </row>
    <row r="39" spans="1:11" x14ac:dyDescent="0.25">
      <c r="A39" s="201"/>
      <c r="B39" s="184"/>
      <c r="C39" s="27" t="s">
        <v>65</v>
      </c>
      <c r="D39" s="89">
        <f>E16+E23+E27</f>
        <v>768</v>
      </c>
      <c r="E39" s="179"/>
      <c r="F39" s="47"/>
      <c r="G39" s="188"/>
      <c r="H39" s="188"/>
      <c r="I39" s="47"/>
      <c r="J39" s="188"/>
      <c r="K39" s="188"/>
    </row>
    <row r="40" spans="1:11" x14ac:dyDescent="0.25">
      <c r="A40" s="48"/>
      <c r="B40" s="49"/>
      <c r="C40" s="50"/>
      <c r="D40" s="51"/>
      <c r="E40" s="49"/>
      <c r="F40" s="47"/>
      <c r="G40" s="51"/>
      <c r="H40" s="51"/>
      <c r="I40" s="47"/>
      <c r="J40" s="47"/>
      <c r="K40" s="47"/>
    </row>
    <row r="41" spans="1:11" x14ac:dyDescent="0.25">
      <c r="F41" s="47"/>
      <c r="G41" s="185" t="s">
        <v>75</v>
      </c>
      <c r="H41" s="185"/>
      <c r="I41" s="47"/>
      <c r="J41" s="185" t="s">
        <v>76</v>
      </c>
      <c r="K41" s="185"/>
    </row>
    <row r="42" spans="1:11" ht="13.5" customHeight="1" x14ac:dyDescent="0.25">
      <c r="F42" s="47"/>
      <c r="G42" s="88" t="s">
        <v>67</v>
      </c>
      <c r="H42" s="88" t="s">
        <v>47</v>
      </c>
      <c r="I42" s="47"/>
      <c r="J42" s="88" t="s">
        <v>67</v>
      </c>
      <c r="K42" s="88" t="s">
        <v>47</v>
      </c>
    </row>
    <row r="43" spans="1:11" ht="21" customHeight="1" x14ac:dyDescent="0.25">
      <c r="A43" s="198" t="s">
        <v>66</v>
      </c>
      <c r="B43" s="89" t="s">
        <v>48</v>
      </c>
      <c r="C43" s="186" t="s">
        <v>68</v>
      </c>
      <c r="D43" s="187"/>
      <c r="E43" s="89">
        <f>AVERAGE(E29,E35)</f>
        <v>750.5</v>
      </c>
      <c r="F43" s="47"/>
      <c r="G43" s="89">
        <v>50</v>
      </c>
      <c r="H43" s="89">
        <v>100</v>
      </c>
      <c r="I43" s="47"/>
      <c r="J43" s="89">
        <f>E43-G43</f>
        <v>700.5</v>
      </c>
      <c r="K43" s="89">
        <f>E43-H43</f>
        <v>650.5</v>
      </c>
    </row>
    <row r="44" spans="1:11" ht="29.25" customHeight="1" x14ac:dyDescent="0.25">
      <c r="A44" s="198"/>
      <c r="B44" s="89" t="s">
        <v>49</v>
      </c>
      <c r="C44" s="186" t="s">
        <v>69</v>
      </c>
      <c r="D44" s="187"/>
      <c r="E44" s="89">
        <f>AVERAGE(E32,E38)</f>
        <v>812.5</v>
      </c>
      <c r="F44" s="47"/>
      <c r="G44" s="89">
        <v>100</v>
      </c>
      <c r="H44" s="89">
        <v>200</v>
      </c>
      <c r="I44" s="47"/>
      <c r="J44" s="89">
        <f>E44-G44</f>
        <v>712.5</v>
      </c>
      <c r="K44" s="89">
        <f>E44-H44</f>
        <v>612.5</v>
      </c>
    </row>
    <row r="45" spans="1:11" x14ac:dyDescent="0.25">
      <c r="A45" s="48"/>
      <c r="B45" s="49"/>
      <c r="C45" s="50"/>
      <c r="D45" s="51"/>
      <c r="E45" s="49"/>
      <c r="F45" s="47"/>
      <c r="G45" s="51"/>
      <c r="H45" s="51"/>
      <c r="I45" s="47"/>
      <c r="J45" s="47"/>
      <c r="K45" s="47"/>
    </row>
    <row r="46" spans="1:11" x14ac:dyDescent="0.25">
      <c r="A46" s="192" t="s">
        <v>77</v>
      </c>
      <c r="B46" s="27"/>
      <c r="C46" s="42" t="s">
        <v>79</v>
      </c>
      <c r="D46" s="52" t="s">
        <v>67</v>
      </c>
      <c r="E46" s="42" t="s">
        <v>47</v>
      </c>
    </row>
    <row r="47" spans="1:11" ht="23.25" x14ac:dyDescent="0.25">
      <c r="A47" s="193"/>
      <c r="B47" s="53" t="s">
        <v>70</v>
      </c>
      <c r="C47" s="89">
        <v>25000</v>
      </c>
      <c r="D47" s="89">
        <f>C47*10%</f>
        <v>2500</v>
      </c>
      <c r="E47" s="89">
        <f>C47*90%</f>
        <v>22500</v>
      </c>
    </row>
    <row r="48" spans="1:11" ht="21" customHeight="1" x14ac:dyDescent="0.25">
      <c r="A48" s="193"/>
      <c r="B48" s="53" t="s">
        <v>68</v>
      </c>
      <c r="C48" s="89">
        <f>C47*90%</f>
        <v>22500</v>
      </c>
      <c r="D48" s="89">
        <f>D47*90%</f>
        <v>2250</v>
      </c>
      <c r="E48" s="89">
        <f>E47*90%</f>
        <v>20250</v>
      </c>
    </row>
    <row r="49" spans="1:5" ht="34.5" x14ac:dyDescent="0.25">
      <c r="A49" s="194"/>
      <c r="B49" s="53" t="s">
        <v>69</v>
      </c>
      <c r="C49" s="89">
        <f>C47*10%</f>
        <v>2500</v>
      </c>
      <c r="D49" s="89">
        <f>D47*10%</f>
        <v>250</v>
      </c>
      <c r="E49" s="89">
        <f>E47*10%</f>
        <v>2250</v>
      </c>
    </row>
    <row r="50" spans="1:5" x14ac:dyDescent="0.25">
      <c r="A50" s="47"/>
      <c r="B50" s="47"/>
      <c r="C50" s="47"/>
      <c r="D50" s="47"/>
      <c r="E50" s="47"/>
    </row>
    <row r="51" spans="1:5" x14ac:dyDescent="0.25">
      <c r="A51" s="177" t="s">
        <v>78</v>
      </c>
      <c r="C51" s="42" t="s">
        <v>109</v>
      </c>
      <c r="D51" s="52" t="s">
        <v>67</v>
      </c>
      <c r="E51" s="42" t="s">
        <v>47</v>
      </c>
    </row>
    <row r="52" spans="1:5" ht="34.5" x14ac:dyDescent="0.25">
      <c r="A52" s="177"/>
      <c r="B52" s="74" t="s">
        <v>68</v>
      </c>
      <c r="C52" s="43">
        <f>D52+E52</f>
        <v>2137500</v>
      </c>
      <c r="D52" s="44">
        <f>D48*G43</f>
        <v>112500</v>
      </c>
      <c r="E52" s="44">
        <f>E48*H43</f>
        <v>2025000</v>
      </c>
    </row>
    <row r="53" spans="1:5" ht="34.5" x14ac:dyDescent="0.25">
      <c r="A53" s="177"/>
      <c r="B53" s="74" t="s">
        <v>69</v>
      </c>
      <c r="C53" s="43">
        <f>D53+E53</f>
        <v>475000</v>
      </c>
      <c r="D53" s="44">
        <f>D49*G44</f>
        <v>25000</v>
      </c>
      <c r="E53" s="44">
        <f>E49*H44</f>
        <v>450000</v>
      </c>
    </row>
    <row r="54" spans="1:5" x14ac:dyDescent="0.25">
      <c r="A54" s="177"/>
      <c r="B54" s="75" t="s">
        <v>71</v>
      </c>
      <c r="C54" s="54">
        <f>C52+C53</f>
        <v>2612500</v>
      </c>
      <c r="D54" s="43">
        <f>D52+D53</f>
        <v>137500</v>
      </c>
      <c r="E54" s="43">
        <f>E52+E53</f>
        <v>2475000</v>
      </c>
    </row>
    <row r="55" spans="1:5" x14ac:dyDescent="0.25">
      <c r="A55" s="47"/>
      <c r="B55" s="47"/>
      <c r="C55" s="47"/>
      <c r="D55" s="47"/>
      <c r="E55" s="47"/>
    </row>
    <row r="56" spans="1:5" x14ac:dyDescent="0.25">
      <c r="A56" s="177" t="s">
        <v>80</v>
      </c>
      <c r="C56" s="42" t="s">
        <v>109</v>
      </c>
      <c r="D56" s="52" t="s">
        <v>67</v>
      </c>
      <c r="E56" s="42" t="s">
        <v>47</v>
      </c>
    </row>
    <row r="57" spans="1:5" ht="34.5" x14ac:dyDescent="0.25">
      <c r="A57" s="177"/>
      <c r="B57" s="74" t="s">
        <v>68</v>
      </c>
      <c r="C57" s="43">
        <f>D57+E57</f>
        <v>14748750</v>
      </c>
      <c r="D57" s="44">
        <f>D48*J43</f>
        <v>1576125</v>
      </c>
      <c r="E57" s="44">
        <f>E48*K43</f>
        <v>13172625</v>
      </c>
    </row>
    <row r="58" spans="1:5" ht="34.5" x14ac:dyDescent="0.25">
      <c r="A58" s="177"/>
      <c r="B58" s="74" t="s">
        <v>69</v>
      </c>
      <c r="C58" s="43">
        <f>D58+E58</f>
        <v>1556250</v>
      </c>
      <c r="D58" s="44">
        <f>D49*J44</f>
        <v>178125</v>
      </c>
      <c r="E58" s="44">
        <f>E49*K44</f>
        <v>1378125</v>
      </c>
    </row>
    <row r="59" spans="1:5" ht="23.25" x14ac:dyDescent="0.25">
      <c r="A59" s="177"/>
      <c r="B59" s="75" t="s">
        <v>99</v>
      </c>
      <c r="C59" s="54">
        <f>C57+C58</f>
        <v>16305000</v>
      </c>
      <c r="D59" s="43">
        <f>D57+D58</f>
        <v>1754250</v>
      </c>
      <c r="E59" s="43">
        <f>E57+E58</f>
        <v>14550750</v>
      </c>
    </row>
    <row r="60" spans="1:5" x14ac:dyDescent="0.25">
      <c r="A60" s="177"/>
      <c r="B60" s="75"/>
      <c r="C60" s="54"/>
      <c r="D60" s="43"/>
      <c r="E60" s="43"/>
    </row>
    <row r="61" spans="1:5" ht="23.25" x14ac:dyDescent="0.25">
      <c r="A61" s="177"/>
      <c r="B61" s="75" t="s">
        <v>100</v>
      </c>
      <c r="C61" s="54">
        <f>C47*50</f>
        <v>1250000</v>
      </c>
      <c r="D61" s="43"/>
      <c r="E61" s="43"/>
    </row>
    <row r="62" spans="1:5" ht="15.75" x14ac:dyDescent="0.25">
      <c r="A62" s="177"/>
      <c r="B62" s="75" t="s">
        <v>71</v>
      </c>
      <c r="C62" s="86">
        <f>C59+C61+E65</f>
        <v>17975000</v>
      </c>
      <c r="D62" s="43"/>
      <c r="E62" s="43"/>
    </row>
    <row r="63" spans="1:5" x14ac:dyDescent="0.25">
      <c r="A63" s="47"/>
      <c r="B63" s="47"/>
      <c r="C63" s="47"/>
      <c r="D63" s="47"/>
      <c r="E63" s="47"/>
    </row>
    <row r="65" spans="2:5" ht="34.5" x14ac:dyDescent="0.25">
      <c r="B65" s="73" t="s">
        <v>137</v>
      </c>
      <c r="C65">
        <f>32000-25000</f>
        <v>7000</v>
      </c>
      <c r="D65">
        <v>60</v>
      </c>
      <c r="E65">
        <f>C65*D65</f>
        <v>420000</v>
      </c>
    </row>
    <row r="67" spans="2:5" ht="18.75" x14ac:dyDescent="0.3">
      <c r="B67" s="55" t="s">
        <v>81</v>
      </c>
      <c r="C67" s="56">
        <f>C54+C62</f>
        <v>20587500</v>
      </c>
    </row>
  </sheetData>
  <mergeCells count="75">
    <mergeCell ref="A1:K1"/>
    <mergeCell ref="G2:H2"/>
    <mergeCell ref="J2:K2"/>
    <mergeCell ref="D4:E4"/>
    <mergeCell ref="A5:A17"/>
    <mergeCell ref="B5:B7"/>
    <mergeCell ref="E5:E7"/>
    <mergeCell ref="G5:G7"/>
    <mergeCell ref="H5:H7"/>
    <mergeCell ref="J5:J7"/>
    <mergeCell ref="K5:K7"/>
    <mergeCell ref="B9:B10"/>
    <mergeCell ref="E9:E10"/>
    <mergeCell ref="G9:G10"/>
    <mergeCell ref="H9:H10"/>
    <mergeCell ref="J9:J10"/>
    <mergeCell ref="K9:K10"/>
    <mergeCell ref="K16:K17"/>
    <mergeCell ref="B12:B14"/>
    <mergeCell ref="E12:E14"/>
    <mergeCell ref="G12:G14"/>
    <mergeCell ref="H12:H14"/>
    <mergeCell ref="J12:J14"/>
    <mergeCell ref="K12:K14"/>
    <mergeCell ref="B16:B17"/>
    <mergeCell ref="E16:E17"/>
    <mergeCell ref="G16:G17"/>
    <mergeCell ref="H16:H17"/>
    <mergeCell ref="J16:J17"/>
    <mergeCell ref="A19:A27"/>
    <mergeCell ref="B19:B21"/>
    <mergeCell ref="E19:E21"/>
    <mergeCell ref="G19:G21"/>
    <mergeCell ref="H19:H21"/>
    <mergeCell ref="K19:K21"/>
    <mergeCell ref="B23:B25"/>
    <mergeCell ref="E23:E25"/>
    <mergeCell ref="G23:G25"/>
    <mergeCell ref="H23:H25"/>
    <mergeCell ref="J23:J25"/>
    <mergeCell ref="K23:K25"/>
    <mergeCell ref="J19:J21"/>
    <mergeCell ref="A29:A39"/>
    <mergeCell ref="B29:B30"/>
    <mergeCell ref="E29:E30"/>
    <mergeCell ref="G29:G30"/>
    <mergeCell ref="H29:H30"/>
    <mergeCell ref="B35:B36"/>
    <mergeCell ref="E35:E36"/>
    <mergeCell ref="G35:G36"/>
    <mergeCell ref="H35:H36"/>
    <mergeCell ref="K29:K30"/>
    <mergeCell ref="B32:B33"/>
    <mergeCell ref="E32:E33"/>
    <mergeCell ref="G32:G33"/>
    <mergeCell ref="H32:H33"/>
    <mergeCell ref="J32:J33"/>
    <mergeCell ref="K32:K33"/>
    <mergeCell ref="J29:J30"/>
    <mergeCell ref="J35:J36"/>
    <mergeCell ref="K35:K36"/>
    <mergeCell ref="B38:B39"/>
    <mergeCell ref="E38:E39"/>
    <mergeCell ref="G38:G39"/>
    <mergeCell ref="H38:H39"/>
    <mergeCell ref="J38:J39"/>
    <mergeCell ref="K38:K39"/>
    <mergeCell ref="A51:A54"/>
    <mergeCell ref="A56:A62"/>
    <mergeCell ref="G41:H41"/>
    <mergeCell ref="J41:K41"/>
    <mergeCell ref="A43:A44"/>
    <mergeCell ref="C43:D43"/>
    <mergeCell ref="C44:D44"/>
    <mergeCell ref="A46:A49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opLeftCell="A55" workbookViewId="0">
      <selection activeCell="B65" sqref="B65:E65"/>
    </sheetView>
  </sheetViews>
  <sheetFormatPr defaultRowHeight="15" x14ac:dyDescent="0.25"/>
  <cols>
    <col min="2" max="2" width="18.5703125" bestFit="1" customWidth="1"/>
    <col min="3" max="3" width="42.5703125" bestFit="1" customWidth="1"/>
    <col min="4" max="4" width="17.42578125" customWidth="1"/>
    <col min="5" max="5" width="18.140625" customWidth="1"/>
    <col min="6" max="6" width="4" customWidth="1"/>
    <col min="7" max="7" width="14.5703125" bestFit="1" customWidth="1"/>
    <col min="8" max="8" width="10.42578125" customWidth="1"/>
    <col min="9" max="9" width="4" customWidth="1"/>
    <col min="10" max="10" width="14.5703125" bestFit="1" customWidth="1"/>
    <col min="11" max="11" width="10" customWidth="1"/>
    <col min="12" max="12" width="17" customWidth="1"/>
    <col min="13" max="13" width="15.5703125" customWidth="1"/>
  </cols>
  <sheetData>
    <row r="1" spans="1:11" x14ac:dyDescent="0.25">
      <c r="A1" s="202" t="s">
        <v>82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x14ac:dyDescent="0.25">
      <c r="F2" s="47"/>
      <c r="G2" s="189" t="s">
        <v>73</v>
      </c>
      <c r="H2" s="189"/>
      <c r="I2" s="47"/>
      <c r="J2" s="189" t="s">
        <v>72</v>
      </c>
      <c r="K2" s="189"/>
    </row>
    <row r="3" spans="1:11" x14ac:dyDescent="0.25">
      <c r="F3" s="47"/>
      <c r="G3" s="45" t="s">
        <v>67</v>
      </c>
      <c r="H3" s="45" t="s">
        <v>47</v>
      </c>
      <c r="I3" s="47"/>
      <c r="J3" s="45" t="s">
        <v>67</v>
      </c>
      <c r="K3" s="45" t="s">
        <v>47</v>
      </c>
    </row>
    <row r="4" spans="1:11" ht="34.5" customHeight="1" x14ac:dyDescent="0.25">
      <c r="D4" s="190" t="s">
        <v>74</v>
      </c>
      <c r="E4" s="191"/>
      <c r="F4" s="47"/>
      <c r="G4" s="46">
        <v>0</v>
      </c>
      <c r="H4" s="46">
        <v>0</v>
      </c>
      <c r="I4" s="47"/>
      <c r="J4" s="46">
        <v>1</v>
      </c>
      <c r="K4" s="46">
        <v>1</v>
      </c>
    </row>
    <row r="5" spans="1:11" x14ac:dyDescent="0.25">
      <c r="A5" s="177" t="s">
        <v>51</v>
      </c>
      <c r="B5" s="178" t="s">
        <v>43</v>
      </c>
      <c r="C5" s="27" t="s">
        <v>39</v>
      </c>
      <c r="D5" s="89">
        <v>60</v>
      </c>
      <c r="E5" s="179">
        <f>D5+D6+D7</f>
        <v>438</v>
      </c>
      <c r="F5" s="47"/>
      <c r="G5" s="188">
        <f>E5*$G$4</f>
        <v>0</v>
      </c>
      <c r="H5" s="188">
        <f>E5*H4</f>
        <v>0</v>
      </c>
      <c r="I5" s="47"/>
      <c r="J5" s="188">
        <f>E5*J4</f>
        <v>438</v>
      </c>
      <c r="K5" s="188">
        <f>E5*K4</f>
        <v>438</v>
      </c>
    </row>
    <row r="6" spans="1:11" x14ac:dyDescent="0.25">
      <c r="A6" s="177"/>
      <c r="B6" s="178"/>
      <c r="C6" s="27" t="s">
        <v>40</v>
      </c>
      <c r="D6" s="89">
        <f>'მკურნალობაში ჩართვის ჯგუფები'!E6</f>
        <v>369</v>
      </c>
      <c r="E6" s="179"/>
      <c r="F6" s="47"/>
      <c r="G6" s="188"/>
      <c r="H6" s="188"/>
      <c r="I6" s="47"/>
      <c r="J6" s="188"/>
      <c r="K6" s="188"/>
    </row>
    <row r="7" spans="1:11" x14ac:dyDescent="0.25">
      <c r="A7" s="177"/>
      <c r="B7" s="178"/>
      <c r="C7" s="27" t="s">
        <v>42</v>
      </c>
      <c r="D7" s="89">
        <f>'მკურნალობაში ჩართვის ჯგუფები'!E8</f>
        <v>9</v>
      </c>
      <c r="E7" s="179"/>
      <c r="F7" s="47"/>
      <c r="G7" s="188"/>
      <c r="H7" s="188"/>
      <c r="I7" s="47"/>
      <c r="J7" s="188"/>
      <c r="K7" s="188"/>
    </row>
    <row r="8" spans="1:11" x14ac:dyDescent="0.25">
      <c r="A8" s="177"/>
      <c r="D8" s="35"/>
      <c r="E8" s="36"/>
      <c r="F8" s="47"/>
      <c r="I8" s="47"/>
    </row>
    <row r="9" spans="1:11" x14ac:dyDescent="0.25">
      <c r="A9" s="177"/>
      <c r="B9" s="178" t="s">
        <v>44</v>
      </c>
      <c r="C9" s="27" t="s">
        <v>39</v>
      </c>
      <c r="D9" s="89">
        <v>60</v>
      </c>
      <c r="E9" s="179">
        <f>D9+D10</f>
        <v>429</v>
      </c>
      <c r="F9" s="47"/>
      <c r="G9" s="188">
        <f>E9*G4</f>
        <v>0</v>
      </c>
      <c r="H9" s="188">
        <f>E9*H4</f>
        <v>0</v>
      </c>
      <c r="I9" s="47"/>
      <c r="J9" s="188">
        <f>E9*J4</f>
        <v>429</v>
      </c>
      <c r="K9" s="188">
        <f>E9*K4</f>
        <v>429</v>
      </c>
    </row>
    <row r="10" spans="1:11" x14ac:dyDescent="0.25">
      <c r="A10" s="177"/>
      <c r="B10" s="178"/>
      <c r="C10" s="27" t="s">
        <v>40</v>
      </c>
      <c r="D10" s="89">
        <f>'მკურნალობაში ჩართვის ჯგუფები'!E6</f>
        <v>369</v>
      </c>
      <c r="E10" s="179"/>
      <c r="F10" s="47"/>
      <c r="G10" s="188"/>
      <c r="H10" s="188"/>
      <c r="I10" s="47"/>
      <c r="J10" s="188"/>
      <c r="K10" s="188"/>
    </row>
    <row r="11" spans="1:11" x14ac:dyDescent="0.25">
      <c r="A11" s="177"/>
      <c r="D11" s="35"/>
      <c r="E11" s="36"/>
      <c r="F11" s="47"/>
      <c r="I11" s="47"/>
    </row>
    <row r="12" spans="1:11" x14ac:dyDescent="0.25">
      <c r="A12" s="177"/>
      <c r="B12" s="178" t="s">
        <v>45</v>
      </c>
      <c r="C12" s="27" t="s">
        <v>39</v>
      </c>
      <c r="D12" s="89">
        <v>60</v>
      </c>
      <c r="E12" s="179">
        <f>D12+D13+D14</f>
        <v>358</v>
      </c>
      <c r="F12" s="47"/>
      <c r="G12" s="188">
        <f>E12*G4</f>
        <v>0</v>
      </c>
      <c r="H12" s="188">
        <f>E12*H4</f>
        <v>0</v>
      </c>
      <c r="I12" s="47"/>
      <c r="J12" s="188">
        <f>E12*J4</f>
        <v>358</v>
      </c>
      <c r="K12" s="188">
        <f>E12*K4</f>
        <v>358</v>
      </c>
    </row>
    <row r="13" spans="1:11" x14ac:dyDescent="0.25">
      <c r="A13" s="177"/>
      <c r="B13" s="178"/>
      <c r="C13" s="27" t="s">
        <v>41</v>
      </c>
      <c r="D13" s="89">
        <f>'მკურნალობაში ჩართვის ჯგუფები'!E7</f>
        <v>289</v>
      </c>
      <c r="E13" s="179"/>
      <c r="F13" s="47"/>
      <c r="G13" s="188"/>
      <c r="H13" s="188"/>
      <c r="I13" s="47"/>
      <c r="J13" s="188"/>
      <c r="K13" s="188"/>
    </row>
    <row r="14" spans="1:11" x14ac:dyDescent="0.25">
      <c r="A14" s="177"/>
      <c r="B14" s="178"/>
      <c r="C14" s="27" t="s">
        <v>42</v>
      </c>
      <c r="D14" s="89">
        <f>'მკურნალობაში ჩართვის ჯგუფები'!E8</f>
        <v>9</v>
      </c>
      <c r="E14" s="179"/>
      <c r="F14" s="47"/>
      <c r="G14" s="188"/>
      <c r="H14" s="188"/>
      <c r="I14" s="47"/>
      <c r="J14" s="188"/>
      <c r="K14" s="188"/>
    </row>
    <row r="15" spans="1:11" x14ac:dyDescent="0.25">
      <c r="A15" s="177"/>
      <c r="D15" s="35"/>
      <c r="E15" s="36"/>
      <c r="F15" s="47"/>
      <c r="I15" s="47"/>
    </row>
    <row r="16" spans="1:11" x14ac:dyDescent="0.25">
      <c r="A16" s="177"/>
      <c r="B16" s="178" t="s">
        <v>46</v>
      </c>
      <c r="C16" s="27" t="s">
        <v>39</v>
      </c>
      <c r="D16" s="89">
        <v>60</v>
      </c>
      <c r="E16" s="179">
        <f>D16+D17</f>
        <v>349</v>
      </c>
      <c r="F16" s="47"/>
      <c r="G16" s="188">
        <f>E16*G4</f>
        <v>0</v>
      </c>
      <c r="H16" s="188">
        <f>E16*H4</f>
        <v>0</v>
      </c>
      <c r="I16" s="47"/>
      <c r="J16" s="188">
        <f>E16*J4</f>
        <v>349</v>
      </c>
      <c r="K16" s="188">
        <f>E16*K4</f>
        <v>349</v>
      </c>
    </row>
    <row r="17" spans="1:11" x14ac:dyDescent="0.25">
      <c r="A17" s="177"/>
      <c r="B17" s="178"/>
      <c r="C17" s="27" t="s">
        <v>41</v>
      </c>
      <c r="D17" s="89">
        <f>'მკურნალობაში ჩართვის ჯგუფები'!E7</f>
        <v>289</v>
      </c>
      <c r="E17" s="179"/>
      <c r="F17" s="47"/>
      <c r="G17" s="188"/>
      <c r="H17" s="188"/>
      <c r="I17" s="47"/>
      <c r="J17" s="188"/>
      <c r="K17" s="188"/>
    </row>
    <row r="18" spans="1:11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</row>
    <row r="19" spans="1:11" x14ac:dyDescent="0.25">
      <c r="A19" s="177" t="s">
        <v>54</v>
      </c>
      <c r="B19" s="178" t="s">
        <v>55</v>
      </c>
      <c r="C19" s="29" t="s">
        <v>33</v>
      </c>
      <c r="D19" s="89">
        <f>'მონიტორინგის კვლევების ჯგუფები'!E5</f>
        <v>236</v>
      </c>
      <c r="E19" s="179">
        <f>AVERAGE(D19:D21)</f>
        <v>227</v>
      </c>
      <c r="F19" s="47"/>
      <c r="G19" s="195">
        <f>E19*G4</f>
        <v>0</v>
      </c>
      <c r="H19" s="195">
        <f>E19*H4</f>
        <v>0</v>
      </c>
      <c r="I19" s="47"/>
      <c r="J19" s="195">
        <f>E19*J4</f>
        <v>227</v>
      </c>
      <c r="K19" s="195">
        <f>E19*K4</f>
        <v>227</v>
      </c>
    </row>
    <row r="20" spans="1:11" x14ac:dyDescent="0.25">
      <c r="A20" s="177"/>
      <c r="B20" s="178"/>
      <c r="C20" s="29" t="s">
        <v>31</v>
      </c>
      <c r="D20" s="89">
        <f>'მონიტორინგის კვლევების ჯგუფები'!E6</f>
        <v>227</v>
      </c>
      <c r="E20" s="179"/>
      <c r="F20" s="47"/>
      <c r="G20" s="196"/>
      <c r="H20" s="196"/>
      <c r="I20" s="47"/>
      <c r="J20" s="196"/>
      <c r="K20" s="196"/>
    </row>
    <row r="21" spans="1:11" x14ac:dyDescent="0.25">
      <c r="A21" s="177"/>
      <c r="B21" s="178"/>
      <c r="C21" s="37" t="s">
        <v>34</v>
      </c>
      <c r="D21" s="89">
        <f>'მონიტორინგის კვლევების ჯგუფები'!E7</f>
        <v>218</v>
      </c>
      <c r="E21" s="179"/>
      <c r="F21" s="47"/>
      <c r="G21" s="197"/>
      <c r="H21" s="197"/>
      <c r="I21" s="47"/>
      <c r="J21" s="197"/>
      <c r="K21" s="197"/>
    </row>
    <row r="22" spans="1:11" x14ac:dyDescent="0.25">
      <c r="A22" s="177"/>
      <c r="E22" s="36"/>
      <c r="F22" s="47"/>
      <c r="I22" s="47"/>
    </row>
    <row r="23" spans="1:11" x14ac:dyDescent="0.25">
      <c r="A23" s="177"/>
      <c r="B23" s="178" t="s">
        <v>56</v>
      </c>
      <c r="C23" s="29" t="s">
        <v>35</v>
      </c>
      <c r="D23" s="89">
        <f>'მონიტორინგის კვლევების ჯგუფები'!E8</f>
        <v>304</v>
      </c>
      <c r="E23" s="180">
        <f>AVERAGE(D23:D25)</f>
        <v>289</v>
      </c>
      <c r="F23" s="47"/>
      <c r="G23" s="188">
        <f>E23*G4</f>
        <v>0</v>
      </c>
      <c r="H23" s="195">
        <f>E23*H4</f>
        <v>0</v>
      </c>
      <c r="I23" s="47"/>
      <c r="J23" s="188">
        <f>E23*J4</f>
        <v>289</v>
      </c>
      <c r="K23" s="195">
        <f>E23*K4</f>
        <v>289</v>
      </c>
    </row>
    <row r="24" spans="1:11" x14ac:dyDescent="0.25">
      <c r="A24" s="177"/>
      <c r="B24" s="178"/>
      <c r="C24" s="29" t="s">
        <v>32</v>
      </c>
      <c r="D24" s="89">
        <f>'მონიტორინგის კვლევების ჯგუფები'!E9</f>
        <v>286</v>
      </c>
      <c r="E24" s="181"/>
      <c r="F24" s="47"/>
      <c r="G24" s="188"/>
      <c r="H24" s="196"/>
      <c r="I24" s="47"/>
      <c r="J24" s="188"/>
      <c r="K24" s="196"/>
    </row>
    <row r="25" spans="1:11" x14ac:dyDescent="0.25">
      <c r="A25" s="177"/>
      <c r="B25" s="178"/>
      <c r="C25" s="37" t="s">
        <v>36</v>
      </c>
      <c r="D25" s="89">
        <f>'მონიტორინგის კვლევების ჯგუფები'!E10</f>
        <v>277</v>
      </c>
      <c r="E25" s="182"/>
      <c r="F25" s="47"/>
      <c r="G25" s="188"/>
      <c r="H25" s="197"/>
      <c r="I25" s="47"/>
      <c r="J25" s="188"/>
      <c r="K25" s="197"/>
    </row>
    <row r="26" spans="1:11" x14ac:dyDescent="0.25">
      <c r="A26" s="177"/>
      <c r="E26" s="36"/>
      <c r="F26" s="47"/>
      <c r="I26" s="47"/>
    </row>
    <row r="27" spans="1:11" x14ac:dyDescent="0.25">
      <c r="A27" s="177"/>
      <c r="B27" s="87" t="s">
        <v>57</v>
      </c>
      <c r="C27" s="27" t="s">
        <v>53</v>
      </c>
      <c r="D27" s="38">
        <f>'მონიტორინგის კვლევების ჯგუფები'!E11</f>
        <v>130</v>
      </c>
      <c r="E27" s="90">
        <v>130</v>
      </c>
      <c r="F27" s="47"/>
      <c r="G27" s="89">
        <v>0</v>
      </c>
      <c r="H27" s="89">
        <v>0</v>
      </c>
      <c r="I27" s="47"/>
      <c r="J27" s="89">
        <f>E27</f>
        <v>130</v>
      </c>
      <c r="K27" s="89">
        <f>E27</f>
        <v>130</v>
      </c>
    </row>
    <row r="28" spans="1:11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5">
      <c r="A29" s="199" t="s">
        <v>66</v>
      </c>
      <c r="B29" s="178" t="s">
        <v>48</v>
      </c>
      <c r="C29" s="27" t="s">
        <v>58</v>
      </c>
      <c r="D29" s="89">
        <f>E5+E19+E27</f>
        <v>795</v>
      </c>
      <c r="E29" s="179">
        <f>AVERAGE(D29:D30)</f>
        <v>790.5</v>
      </c>
      <c r="F29" s="47"/>
      <c r="G29" s="188">
        <f>(E29-E27)*G4</f>
        <v>0</v>
      </c>
      <c r="H29" s="188">
        <f>(E29-E27)*H4</f>
        <v>0</v>
      </c>
      <c r="I29" s="47"/>
      <c r="J29" s="188">
        <f>(E29-E27)*J4+E27</f>
        <v>790.5</v>
      </c>
      <c r="K29" s="188">
        <f>(E29-E27)*K4+E27</f>
        <v>790.5</v>
      </c>
    </row>
    <row r="30" spans="1:11" x14ac:dyDescent="0.25">
      <c r="A30" s="200"/>
      <c r="B30" s="178"/>
      <c r="C30" s="27" t="s">
        <v>60</v>
      </c>
      <c r="D30" s="89">
        <f>E9+E19+E27</f>
        <v>786</v>
      </c>
      <c r="E30" s="179"/>
      <c r="F30" s="47"/>
      <c r="G30" s="188"/>
      <c r="H30" s="188"/>
      <c r="I30" s="47"/>
      <c r="J30" s="188"/>
      <c r="K30" s="188"/>
    </row>
    <row r="31" spans="1:11" x14ac:dyDescent="0.25">
      <c r="A31" s="200"/>
      <c r="B31" s="36"/>
      <c r="D31" s="35"/>
      <c r="E31" s="36"/>
      <c r="F31" s="47"/>
      <c r="I31" s="47"/>
    </row>
    <row r="32" spans="1:11" x14ac:dyDescent="0.25">
      <c r="A32" s="200"/>
      <c r="B32" s="178" t="s">
        <v>49</v>
      </c>
      <c r="C32" s="27" t="s">
        <v>59</v>
      </c>
      <c r="D32" s="89">
        <f>E5+E23+E27</f>
        <v>857</v>
      </c>
      <c r="E32" s="179">
        <f>AVERAGE(D32:D33)</f>
        <v>852.5</v>
      </c>
      <c r="F32" s="47"/>
      <c r="G32" s="188">
        <f>(E32-E27)*G4</f>
        <v>0</v>
      </c>
      <c r="H32" s="188">
        <f>(E32-E27)*H4</f>
        <v>0</v>
      </c>
      <c r="I32" s="47"/>
      <c r="J32" s="188">
        <f>(E32-E27)*J4+E27</f>
        <v>852.5</v>
      </c>
      <c r="K32" s="188">
        <f>(E32-E27)*K4+E27</f>
        <v>852.5</v>
      </c>
    </row>
    <row r="33" spans="1:11" x14ac:dyDescent="0.25">
      <c r="A33" s="200"/>
      <c r="B33" s="178"/>
      <c r="C33" s="27" t="s">
        <v>61</v>
      </c>
      <c r="D33" s="89">
        <f>E9+E23+E27</f>
        <v>848</v>
      </c>
      <c r="E33" s="179"/>
      <c r="F33" s="47"/>
      <c r="G33" s="188"/>
      <c r="H33" s="188"/>
      <c r="I33" s="47"/>
      <c r="J33" s="188"/>
      <c r="K33" s="188"/>
    </row>
    <row r="34" spans="1:11" x14ac:dyDescent="0.25">
      <c r="A34" s="200"/>
      <c r="B34" s="36"/>
      <c r="D34" s="35"/>
      <c r="E34" s="36"/>
      <c r="F34" s="47"/>
      <c r="I34" s="47"/>
    </row>
    <row r="35" spans="1:11" x14ac:dyDescent="0.25">
      <c r="A35" s="200"/>
      <c r="B35" s="178" t="s">
        <v>52</v>
      </c>
      <c r="C35" s="27" t="s">
        <v>62</v>
      </c>
      <c r="D35" s="89">
        <f>E12+E19+E27</f>
        <v>715</v>
      </c>
      <c r="E35" s="179">
        <f>AVERAGE(D35:D36)</f>
        <v>710.5</v>
      </c>
      <c r="F35" s="47"/>
      <c r="G35" s="188">
        <f>(E35-E27)*G4</f>
        <v>0</v>
      </c>
      <c r="H35" s="188">
        <f>(E35-E27)*H4</f>
        <v>0</v>
      </c>
      <c r="I35" s="47"/>
      <c r="J35" s="188">
        <f>(E35-E27)*J4+E27</f>
        <v>710.5</v>
      </c>
      <c r="K35" s="188">
        <f>(E35-E27)*K4+E27</f>
        <v>710.5</v>
      </c>
    </row>
    <row r="36" spans="1:11" x14ac:dyDescent="0.25">
      <c r="A36" s="200"/>
      <c r="B36" s="178"/>
      <c r="C36" s="27" t="s">
        <v>64</v>
      </c>
      <c r="D36" s="89">
        <f>E16+E19+E27</f>
        <v>706</v>
      </c>
      <c r="E36" s="179"/>
      <c r="F36" s="47"/>
      <c r="G36" s="188"/>
      <c r="H36" s="188"/>
      <c r="I36" s="47"/>
      <c r="J36" s="188"/>
      <c r="K36" s="188"/>
    </row>
    <row r="37" spans="1:11" x14ac:dyDescent="0.25">
      <c r="A37" s="200"/>
      <c r="B37" s="36"/>
      <c r="D37" s="35"/>
      <c r="E37" s="36"/>
      <c r="F37" s="47"/>
      <c r="I37" s="47"/>
    </row>
    <row r="38" spans="1:11" x14ac:dyDescent="0.25">
      <c r="A38" s="200"/>
      <c r="B38" s="183" t="s">
        <v>50</v>
      </c>
      <c r="C38" s="27" t="s">
        <v>63</v>
      </c>
      <c r="D38" s="89">
        <f>E12+E23+E27</f>
        <v>777</v>
      </c>
      <c r="E38" s="179">
        <f>AVERAGE(D38:D39)</f>
        <v>772.5</v>
      </c>
      <c r="F38" s="47"/>
      <c r="G38" s="188">
        <f>(E38-E27)*G4</f>
        <v>0</v>
      </c>
      <c r="H38" s="188">
        <f>(E38-E27)*H4</f>
        <v>0</v>
      </c>
      <c r="I38" s="47"/>
      <c r="J38" s="188">
        <f>(E38-E27)*J4+E27</f>
        <v>772.5</v>
      </c>
      <c r="K38" s="188">
        <f>(E38-E27)*K4+E27</f>
        <v>772.5</v>
      </c>
    </row>
    <row r="39" spans="1:11" x14ac:dyDescent="0.25">
      <c r="A39" s="201"/>
      <c r="B39" s="184"/>
      <c r="C39" s="27" t="s">
        <v>65</v>
      </c>
      <c r="D39" s="89">
        <f>E16+E23+E27</f>
        <v>768</v>
      </c>
      <c r="E39" s="179"/>
      <c r="F39" s="47"/>
      <c r="G39" s="188"/>
      <c r="H39" s="188"/>
      <c r="I39" s="47"/>
      <c r="J39" s="188"/>
      <c r="K39" s="188"/>
    </row>
    <row r="40" spans="1:11" x14ac:dyDescent="0.25">
      <c r="A40" s="48"/>
      <c r="B40" s="49"/>
      <c r="C40" s="50"/>
      <c r="D40" s="51"/>
      <c r="E40" s="49"/>
      <c r="F40" s="47"/>
      <c r="G40" s="51"/>
      <c r="H40" s="51"/>
      <c r="I40" s="47"/>
      <c r="J40" s="47"/>
      <c r="K40" s="47"/>
    </row>
    <row r="41" spans="1:11" x14ac:dyDescent="0.25">
      <c r="F41" s="47"/>
      <c r="G41" s="185" t="s">
        <v>75</v>
      </c>
      <c r="H41" s="185"/>
      <c r="I41" s="47"/>
      <c r="J41" s="185" t="s">
        <v>76</v>
      </c>
      <c r="K41" s="185"/>
    </row>
    <row r="42" spans="1:11" ht="13.5" customHeight="1" x14ac:dyDescent="0.25">
      <c r="F42" s="47"/>
      <c r="G42" s="88" t="s">
        <v>67</v>
      </c>
      <c r="H42" s="88" t="s">
        <v>47</v>
      </c>
      <c r="I42" s="47"/>
      <c r="J42" s="88" t="s">
        <v>67</v>
      </c>
      <c r="K42" s="88" t="s">
        <v>47</v>
      </c>
    </row>
    <row r="43" spans="1:11" ht="21" customHeight="1" x14ac:dyDescent="0.25">
      <c r="A43" s="198" t="s">
        <v>66</v>
      </c>
      <c r="B43" s="89" t="s">
        <v>48</v>
      </c>
      <c r="C43" s="186" t="s">
        <v>68</v>
      </c>
      <c r="D43" s="187"/>
      <c r="E43" s="89">
        <f>AVERAGE(E29,E35)</f>
        <v>750.5</v>
      </c>
      <c r="F43" s="47"/>
      <c r="G43" s="89">
        <v>0</v>
      </c>
      <c r="H43" s="89">
        <v>50</v>
      </c>
      <c r="I43" s="47"/>
      <c r="J43" s="89">
        <f>E43-G43</f>
        <v>750.5</v>
      </c>
      <c r="K43" s="89">
        <f>E43-H43</f>
        <v>700.5</v>
      </c>
    </row>
    <row r="44" spans="1:11" ht="29.25" customHeight="1" x14ac:dyDescent="0.25">
      <c r="A44" s="198"/>
      <c r="B44" s="89" t="s">
        <v>49</v>
      </c>
      <c r="C44" s="186" t="s">
        <v>69</v>
      </c>
      <c r="D44" s="187"/>
      <c r="E44" s="89">
        <f>AVERAGE(E32,E38)</f>
        <v>812.5</v>
      </c>
      <c r="F44" s="47"/>
      <c r="G44" s="89">
        <v>0</v>
      </c>
      <c r="H44" s="89">
        <v>100</v>
      </c>
      <c r="I44" s="47"/>
      <c r="J44" s="89">
        <f>E44-G44</f>
        <v>812.5</v>
      </c>
      <c r="K44" s="89">
        <f>E44-H44</f>
        <v>712.5</v>
      </c>
    </row>
    <row r="45" spans="1:11" x14ac:dyDescent="0.25">
      <c r="A45" s="48"/>
      <c r="B45" s="49"/>
      <c r="C45" s="50"/>
      <c r="D45" s="51"/>
      <c r="E45" s="49"/>
      <c r="F45" s="47"/>
      <c r="G45" s="51"/>
      <c r="H45" s="51"/>
      <c r="I45" s="47"/>
      <c r="J45" s="47"/>
      <c r="K45" s="47"/>
    </row>
    <row r="46" spans="1:11" x14ac:dyDescent="0.25">
      <c r="A46" s="192" t="s">
        <v>77</v>
      </c>
      <c r="B46" s="27"/>
      <c r="C46" s="42" t="s">
        <v>79</v>
      </c>
      <c r="D46" s="52" t="s">
        <v>67</v>
      </c>
      <c r="E46" s="42" t="s">
        <v>47</v>
      </c>
    </row>
    <row r="47" spans="1:11" ht="23.25" x14ac:dyDescent="0.25">
      <c r="A47" s="193"/>
      <c r="B47" s="53" t="s">
        <v>70</v>
      </c>
      <c r="C47" s="89">
        <v>25000</v>
      </c>
      <c r="D47" s="89">
        <f>C47*10%</f>
        <v>2500</v>
      </c>
      <c r="E47" s="89">
        <f>C47*90%</f>
        <v>22500</v>
      </c>
    </row>
    <row r="48" spans="1:11" ht="21" customHeight="1" x14ac:dyDescent="0.25">
      <c r="A48" s="193"/>
      <c r="B48" s="53" t="s">
        <v>68</v>
      </c>
      <c r="C48" s="89">
        <f>C47*90%</f>
        <v>22500</v>
      </c>
      <c r="D48" s="89">
        <f>D47*90%</f>
        <v>2250</v>
      </c>
      <c r="E48" s="89">
        <f>E47*90%</f>
        <v>20250</v>
      </c>
    </row>
    <row r="49" spans="1:5" ht="34.5" x14ac:dyDescent="0.25">
      <c r="A49" s="194"/>
      <c r="B49" s="53" t="s">
        <v>69</v>
      </c>
      <c r="C49" s="89">
        <f>C47*10%</f>
        <v>2500</v>
      </c>
      <c r="D49" s="89">
        <f>D47*10%</f>
        <v>250</v>
      </c>
      <c r="E49" s="89">
        <f>E47*10%</f>
        <v>2250</v>
      </c>
    </row>
    <row r="50" spans="1:5" x14ac:dyDescent="0.25">
      <c r="A50" s="47"/>
      <c r="B50" s="47"/>
      <c r="C50" s="47"/>
      <c r="D50" s="47"/>
      <c r="E50" s="47"/>
    </row>
    <row r="51" spans="1:5" x14ac:dyDescent="0.25">
      <c r="A51" s="177" t="s">
        <v>78</v>
      </c>
      <c r="C51" s="42" t="s">
        <v>109</v>
      </c>
      <c r="D51" s="52" t="s">
        <v>67</v>
      </c>
      <c r="E51" s="42" t="s">
        <v>47</v>
      </c>
    </row>
    <row r="52" spans="1:5" ht="34.5" x14ac:dyDescent="0.25">
      <c r="A52" s="177"/>
      <c r="B52" s="74" t="s">
        <v>68</v>
      </c>
      <c r="C52" s="43">
        <f>D52+E52</f>
        <v>1012500</v>
      </c>
      <c r="D52" s="44">
        <f>D48*G43</f>
        <v>0</v>
      </c>
      <c r="E52" s="44">
        <f>E48*H43</f>
        <v>1012500</v>
      </c>
    </row>
    <row r="53" spans="1:5" ht="34.5" x14ac:dyDescent="0.25">
      <c r="A53" s="177"/>
      <c r="B53" s="74" t="s">
        <v>69</v>
      </c>
      <c r="C53" s="43">
        <f>D53+E53</f>
        <v>225000</v>
      </c>
      <c r="D53" s="44">
        <f>D49*G44</f>
        <v>0</v>
      </c>
      <c r="E53" s="44">
        <f>E49*H44</f>
        <v>225000</v>
      </c>
    </row>
    <row r="54" spans="1:5" x14ac:dyDescent="0.25">
      <c r="A54" s="177"/>
      <c r="B54" s="75" t="s">
        <v>71</v>
      </c>
      <c r="C54" s="54">
        <f>C52+C53</f>
        <v>1237500</v>
      </c>
      <c r="D54" s="43">
        <f>D52+D53</f>
        <v>0</v>
      </c>
      <c r="E54" s="43">
        <f>E52+E53</f>
        <v>1237500</v>
      </c>
    </row>
    <row r="55" spans="1:5" x14ac:dyDescent="0.25">
      <c r="A55" s="47"/>
      <c r="B55" s="47"/>
      <c r="C55" s="47"/>
      <c r="D55" s="47"/>
      <c r="E55" s="47"/>
    </row>
    <row r="56" spans="1:5" x14ac:dyDescent="0.25">
      <c r="A56" s="177" t="s">
        <v>80</v>
      </c>
      <c r="C56" s="42" t="s">
        <v>109</v>
      </c>
      <c r="D56" s="52" t="s">
        <v>67</v>
      </c>
      <c r="E56" s="42" t="s">
        <v>47</v>
      </c>
    </row>
    <row r="57" spans="1:5" ht="34.5" x14ac:dyDescent="0.25">
      <c r="A57" s="177"/>
      <c r="B57" s="74" t="s">
        <v>68</v>
      </c>
      <c r="C57" s="43">
        <f>D57+E57</f>
        <v>15873750</v>
      </c>
      <c r="D57" s="44">
        <f>D48*J43</f>
        <v>1688625</v>
      </c>
      <c r="E57" s="44">
        <f>E48*K43</f>
        <v>14185125</v>
      </c>
    </row>
    <row r="58" spans="1:5" ht="34.5" x14ac:dyDescent="0.25">
      <c r="A58" s="177"/>
      <c r="B58" s="74" t="s">
        <v>69</v>
      </c>
      <c r="C58" s="43">
        <f>D58+E58</f>
        <v>1806250</v>
      </c>
      <c r="D58" s="44">
        <f>D49*J44</f>
        <v>203125</v>
      </c>
      <c r="E58" s="44">
        <f>E49*K44</f>
        <v>1603125</v>
      </c>
    </row>
    <row r="59" spans="1:5" ht="23.25" x14ac:dyDescent="0.25">
      <c r="A59" s="177"/>
      <c r="B59" s="75" t="s">
        <v>99</v>
      </c>
      <c r="C59" s="54">
        <f>C57+C58</f>
        <v>17680000</v>
      </c>
      <c r="D59" s="43">
        <f>D57+D58</f>
        <v>1891750</v>
      </c>
      <c r="E59" s="43">
        <f>E57+E58</f>
        <v>15788250</v>
      </c>
    </row>
    <row r="60" spans="1:5" x14ac:dyDescent="0.25">
      <c r="A60" s="177"/>
      <c r="B60" s="75"/>
      <c r="C60" s="54"/>
      <c r="D60" s="43"/>
      <c r="E60" s="43"/>
    </row>
    <row r="61" spans="1:5" ht="23.25" x14ac:dyDescent="0.25">
      <c r="A61" s="177"/>
      <c r="B61" s="75" t="s">
        <v>100</v>
      </c>
      <c r="C61" s="54">
        <f>C47*50</f>
        <v>1250000</v>
      </c>
      <c r="D61" s="43"/>
      <c r="E61" s="43"/>
    </row>
    <row r="62" spans="1:5" ht="15.75" x14ac:dyDescent="0.25">
      <c r="A62" s="177"/>
      <c r="B62" s="75" t="s">
        <v>71</v>
      </c>
      <c r="C62" s="86">
        <f>C59+C61+E65</f>
        <v>19350000</v>
      </c>
      <c r="D62" s="43"/>
      <c r="E62" s="43"/>
    </row>
    <row r="63" spans="1:5" x14ac:dyDescent="0.25">
      <c r="A63" s="47"/>
      <c r="B63" s="47"/>
      <c r="C63" s="47"/>
      <c r="D63" s="47"/>
      <c r="E63" s="47"/>
    </row>
    <row r="65" spans="2:5" ht="34.5" x14ac:dyDescent="0.25">
      <c r="B65" s="73" t="s">
        <v>137</v>
      </c>
      <c r="C65">
        <f>32000-25000</f>
        <v>7000</v>
      </c>
      <c r="D65">
        <v>60</v>
      </c>
      <c r="E65">
        <f>C65*D65</f>
        <v>420000</v>
      </c>
    </row>
    <row r="67" spans="2:5" ht="18.75" x14ac:dyDescent="0.3">
      <c r="B67" s="55" t="s">
        <v>81</v>
      </c>
      <c r="C67" s="56">
        <f>C54+C62</f>
        <v>20587500</v>
      </c>
    </row>
  </sheetData>
  <mergeCells count="75">
    <mergeCell ref="A1:K1"/>
    <mergeCell ref="G2:H2"/>
    <mergeCell ref="J2:K2"/>
    <mergeCell ref="D4:E4"/>
    <mergeCell ref="A5:A17"/>
    <mergeCell ref="B5:B7"/>
    <mergeCell ref="E5:E7"/>
    <mergeCell ref="G5:G7"/>
    <mergeCell ref="H5:H7"/>
    <mergeCell ref="J5:J7"/>
    <mergeCell ref="K5:K7"/>
    <mergeCell ref="B9:B10"/>
    <mergeCell ref="E9:E10"/>
    <mergeCell ref="G9:G10"/>
    <mergeCell ref="H9:H10"/>
    <mergeCell ref="J9:J10"/>
    <mergeCell ref="K9:K10"/>
    <mergeCell ref="K16:K17"/>
    <mergeCell ref="B12:B14"/>
    <mergeCell ref="E12:E14"/>
    <mergeCell ref="G12:G14"/>
    <mergeCell ref="H12:H14"/>
    <mergeCell ref="J12:J14"/>
    <mergeCell ref="K12:K14"/>
    <mergeCell ref="B16:B17"/>
    <mergeCell ref="E16:E17"/>
    <mergeCell ref="G16:G17"/>
    <mergeCell ref="H16:H17"/>
    <mergeCell ref="J16:J17"/>
    <mergeCell ref="A19:A27"/>
    <mergeCell ref="B19:B21"/>
    <mergeCell ref="E19:E21"/>
    <mergeCell ref="G19:G21"/>
    <mergeCell ref="H19:H21"/>
    <mergeCell ref="K19:K21"/>
    <mergeCell ref="B23:B25"/>
    <mergeCell ref="E23:E25"/>
    <mergeCell ref="G23:G25"/>
    <mergeCell ref="H23:H25"/>
    <mergeCell ref="J23:J25"/>
    <mergeCell ref="K23:K25"/>
    <mergeCell ref="J19:J21"/>
    <mergeCell ref="A29:A39"/>
    <mergeCell ref="B29:B30"/>
    <mergeCell ref="E29:E30"/>
    <mergeCell ref="G29:G30"/>
    <mergeCell ref="H29:H30"/>
    <mergeCell ref="B35:B36"/>
    <mergeCell ref="E35:E36"/>
    <mergeCell ref="G35:G36"/>
    <mergeCell ref="H35:H36"/>
    <mergeCell ref="K29:K30"/>
    <mergeCell ref="B32:B33"/>
    <mergeCell ref="E32:E33"/>
    <mergeCell ref="G32:G33"/>
    <mergeCell ref="H32:H33"/>
    <mergeCell ref="J32:J33"/>
    <mergeCell ref="K32:K33"/>
    <mergeCell ref="J29:J30"/>
    <mergeCell ref="J35:J36"/>
    <mergeCell ref="K35:K36"/>
    <mergeCell ref="B38:B39"/>
    <mergeCell ref="E38:E39"/>
    <mergeCell ref="G38:G39"/>
    <mergeCell ref="H38:H39"/>
    <mergeCell ref="J38:J39"/>
    <mergeCell ref="K38:K39"/>
    <mergeCell ref="A51:A54"/>
    <mergeCell ref="A56:A62"/>
    <mergeCell ref="G41:H41"/>
    <mergeCell ref="J41:K41"/>
    <mergeCell ref="A43:A44"/>
    <mergeCell ref="C43:D43"/>
    <mergeCell ref="C44:D44"/>
    <mergeCell ref="A46:A49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opLeftCell="A49" workbookViewId="0">
      <selection activeCell="C63" sqref="C63"/>
    </sheetView>
  </sheetViews>
  <sheetFormatPr defaultRowHeight="15" x14ac:dyDescent="0.25"/>
  <cols>
    <col min="2" max="2" width="18.5703125" bestFit="1" customWidth="1"/>
    <col min="3" max="3" width="42.5703125" bestFit="1" customWidth="1"/>
    <col min="4" max="4" width="17.42578125" customWidth="1"/>
    <col min="5" max="5" width="18.140625" customWidth="1"/>
    <col min="6" max="6" width="4" customWidth="1"/>
    <col min="7" max="7" width="14.5703125" bestFit="1" customWidth="1"/>
    <col min="8" max="8" width="10.42578125" customWidth="1"/>
    <col min="9" max="9" width="4" customWidth="1"/>
    <col min="10" max="10" width="14.5703125" bestFit="1" customWidth="1"/>
    <col min="11" max="11" width="10" customWidth="1"/>
    <col min="12" max="12" width="17" customWidth="1"/>
    <col min="13" max="13" width="15.5703125" customWidth="1"/>
  </cols>
  <sheetData>
    <row r="1" spans="1:11" x14ac:dyDescent="0.25">
      <c r="A1" s="202" t="s">
        <v>82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x14ac:dyDescent="0.25">
      <c r="F2" s="47"/>
      <c r="G2" s="189" t="s">
        <v>73</v>
      </c>
      <c r="H2" s="189"/>
      <c r="I2" s="47"/>
      <c r="J2" s="189" t="s">
        <v>72</v>
      </c>
      <c r="K2" s="189"/>
    </row>
    <row r="3" spans="1:11" x14ac:dyDescent="0.25">
      <c r="F3" s="47"/>
      <c r="G3" s="45" t="s">
        <v>67</v>
      </c>
      <c r="H3" s="45" t="s">
        <v>47</v>
      </c>
      <c r="I3" s="47"/>
      <c r="J3" s="45" t="s">
        <v>67</v>
      </c>
      <c r="K3" s="45" t="s">
        <v>47</v>
      </c>
    </row>
    <row r="4" spans="1:11" ht="34.5" customHeight="1" x14ac:dyDescent="0.25">
      <c r="D4" s="190" t="s">
        <v>74</v>
      </c>
      <c r="E4" s="191"/>
      <c r="F4" s="47"/>
      <c r="G4" s="46">
        <v>0</v>
      </c>
      <c r="H4" s="46">
        <v>0</v>
      </c>
      <c r="I4" s="47"/>
      <c r="J4" s="46">
        <v>1</v>
      </c>
      <c r="K4" s="46">
        <v>1</v>
      </c>
    </row>
    <row r="5" spans="1:11" x14ac:dyDescent="0.25">
      <c r="A5" s="177" t="s">
        <v>51</v>
      </c>
      <c r="B5" s="178" t="s">
        <v>43</v>
      </c>
      <c r="C5" s="27" t="s">
        <v>39</v>
      </c>
      <c r="D5" s="89">
        <v>60</v>
      </c>
      <c r="E5" s="179">
        <f>D5+D6+D7</f>
        <v>438</v>
      </c>
      <c r="F5" s="47"/>
      <c r="G5" s="188">
        <f>E5*$G$4</f>
        <v>0</v>
      </c>
      <c r="H5" s="188">
        <f>E5*H4</f>
        <v>0</v>
      </c>
      <c r="I5" s="47"/>
      <c r="J5" s="188">
        <f>E5*J4</f>
        <v>438</v>
      </c>
      <c r="K5" s="188">
        <f>E5*K4</f>
        <v>438</v>
      </c>
    </row>
    <row r="6" spans="1:11" x14ac:dyDescent="0.25">
      <c r="A6" s="177"/>
      <c r="B6" s="178"/>
      <c r="C6" s="27" t="s">
        <v>40</v>
      </c>
      <c r="D6" s="89">
        <f>'მკურნალობაში ჩართვის ჯგუფები'!E6</f>
        <v>369</v>
      </c>
      <c r="E6" s="179"/>
      <c r="F6" s="47"/>
      <c r="G6" s="188"/>
      <c r="H6" s="188"/>
      <c r="I6" s="47"/>
      <c r="J6" s="188"/>
      <c r="K6" s="188"/>
    </row>
    <row r="7" spans="1:11" x14ac:dyDescent="0.25">
      <c r="A7" s="177"/>
      <c r="B7" s="178"/>
      <c r="C7" s="27" t="s">
        <v>42</v>
      </c>
      <c r="D7" s="89">
        <f>'მკურნალობაში ჩართვის ჯგუფები'!E8</f>
        <v>9</v>
      </c>
      <c r="E7" s="179"/>
      <c r="F7" s="47"/>
      <c r="G7" s="188"/>
      <c r="H7" s="188"/>
      <c r="I7" s="47"/>
      <c r="J7" s="188"/>
      <c r="K7" s="188"/>
    </row>
    <row r="8" spans="1:11" x14ac:dyDescent="0.25">
      <c r="A8" s="177"/>
      <c r="D8" s="35"/>
      <c r="E8" s="36"/>
      <c r="F8" s="47"/>
      <c r="I8" s="47"/>
    </row>
    <row r="9" spans="1:11" x14ac:dyDescent="0.25">
      <c r="A9" s="177"/>
      <c r="B9" s="178" t="s">
        <v>44</v>
      </c>
      <c r="C9" s="27" t="s">
        <v>39</v>
      </c>
      <c r="D9" s="89">
        <v>60</v>
      </c>
      <c r="E9" s="179">
        <f>D9+D10</f>
        <v>429</v>
      </c>
      <c r="F9" s="47"/>
      <c r="G9" s="188">
        <f>E9*G4</f>
        <v>0</v>
      </c>
      <c r="H9" s="188">
        <f>E9*H4</f>
        <v>0</v>
      </c>
      <c r="I9" s="47"/>
      <c r="J9" s="188">
        <f>E9*J4</f>
        <v>429</v>
      </c>
      <c r="K9" s="188">
        <f>E9*K4</f>
        <v>429</v>
      </c>
    </row>
    <row r="10" spans="1:11" x14ac:dyDescent="0.25">
      <c r="A10" s="177"/>
      <c r="B10" s="178"/>
      <c r="C10" s="27" t="s">
        <v>40</v>
      </c>
      <c r="D10" s="89">
        <f>'მკურნალობაში ჩართვის ჯგუფები'!E6</f>
        <v>369</v>
      </c>
      <c r="E10" s="179"/>
      <c r="F10" s="47"/>
      <c r="G10" s="188"/>
      <c r="H10" s="188"/>
      <c r="I10" s="47"/>
      <c r="J10" s="188"/>
      <c r="K10" s="188"/>
    </row>
    <row r="11" spans="1:11" x14ac:dyDescent="0.25">
      <c r="A11" s="177"/>
      <c r="D11" s="35"/>
      <c r="E11" s="36"/>
      <c r="F11" s="47"/>
      <c r="I11" s="47"/>
    </row>
    <row r="12" spans="1:11" x14ac:dyDescent="0.25">
      <c r="A12" s="177"/>
      <c r="B12" s="178" t="s">
        <v>45</v>
      </c>
      <c r="C12" s="27" t="s">
        <v>39</v>
      </c>
      <c r="D12" s="89">
        <v>60</v>
      </c>
      <c r="E12" s="179">
        <f>D12+D13+D14</f>
        <v>358</v>
      </c>
      <c r="F12" s="47"/>
      <c r="G12" s="188">
        <f>E12*G4</f>
        <v>0</v>
      </c>
      <c r="H12" s="188">
        <f>E12*H4</f>
        <v>0</v>
      </c>
      <c r="I12" s="47"/>
      <c r="J12" s="188">
        <f>E12*J4</f>
        <v>358</v>
      </c>
      <c r="K12" s="188">
        <f>E12*K4</f>
        <v>358</v>
      </c>
    </row>
    <row r="13" spans="1:11" x14ac:dyDescent="0.25">
      <c r="A13" s="177"/>
      <c r="B13" s="178"/>
      <c r="C13" s="27" t="s">
        <v>41</v>
      </c>
      <c r="D13" s="89">
        <f>'მკურნალობაში ჩართვის ჯგუფები'!E7</f>
        <v>289</v>
      </c>
      <c r="E13" s="179"/>
      <c r="F13" s="47"/>
      <c r="G13" s="188"/>
      <c r="H13" s="188"/>
      <c r="I13" s="47"/>
      <c r="J13" s="188"/>
      <c r="K13" s="188"/>
    </row>
    <row r="14" spans="1:11" x14ac:dyDescent="0.25">
      <c r="A14" s="177"/>
      <c r="B14" s="178"/>
      <c r="C14" s="27" t="s">
        <v>42</v>
      </c>
      <c r="D14" s="89">
        <f>'მკურნალობაში ჩართვის ჯგუფები'!E8</f>
        <v>9</v>
      </c>
      <c r="E14" s="179"/>
      <c r="F14" s="47"/>
      <c r="G14" s="188"/>
      <c r="H14" s="188"/>
      <c r="I14" s="47"/>
      <c r="J14" s="188"/>
      <c r="K14" s="188"/>
    </row>
    <row r="15" spans="1:11" x14ac:dyDescent="0.25">
      <c r="A15" s="177"/>
      <c r="D15" s="35"/>
      <c r="E15" s="36"/>
      <c r="F15" s="47"/>
      <c r="I15" s="47"/>
    </row>
    <row r="16" spans="1:11" x14ac:dyDescent="0.25">
      <c r="A16" s="177"/>
      <c r="B16" s="178" t="s">
        <v>46</v>
      </c>
      <c r="C16" s="27" t="s">
        <v>39</v>
      </c>
      <c r="D16" s="89">
        <v>60</v>
      </c>
      <c r="E16" s="179">
        <f>D16+D17</f>
        <v>349</v>
      </c>
      <c r="F16" s="47"/>
      <c r="G16" s="188">
        <f>E16*G4</f>
        <v>0</v>
      </c>
      <c r="H16" s="188">
        <f>E16*H4</f>
        <v>0</v>
      </c>
      <c r="I16" s="47"/>
      <c r="J16" s="188">
        <f>E16*J4</f>
        <v>349</v>
      </c>
      <c r="K16" s="188">
        <f>E16*K4</f>
        <v>349</v>
      </c>
    </row>
    <row r="17" spans="1:11" x14ac:dyDescent="0.25">
      <c r="A17" s="177"/>
      <c r="B17" s="178"/>
      <c r="C17" s="27" t="s">
        <v>41</v>
      </c>
      <c r="D17" s="89">
        <f>'მკურნალობაში ჩართვის ჯგუფები'!E7</f>
        <v>289</v>
      </c>
      <c r="E17" s="179"/>
      <c r="F17" s="47"/>
      <c r="G17" s="188"/>
      <c r="H17" s="188"/>
      <c r="I17" s="47"/>
      <c r="J17" s="188"/>
      <c r="K17" s="188"/>
    </row>
    <row r="18" spans="1:11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</row>
    <row r="19" spans="1:11" x14ac:dyDescent="0.25">
      <c r="A19" s="177" t="s">
        <v>54</v>
      </c>
      <c r="B19" s="178" t="s">
        <v>55</v>
      </c>
      <c r="C19" s="29" t="s">
        <v>33</v>
      </c>
      <c r="D19" s="89">
        <f>'მონიტორინგის კვლევების ჯგუფები'!E5</f>
        <v>236</v>
      </c>
      <c r="E19" s="179">
        <f>AVERAGE(D19:D21)</f>
        <v>227</v>
      </c>
      <c r="F19" s="47"/>
      <c r="G19" s="195">
        <f>E19*G4</f>
        <v>0</v>
      </c>
      <c r="H19" s="195">
        <f>E19*H4</f>
        <v>0</v>
      </c>
      <c r="I19" s="47"/>
      <c r="J19" s="195">
        <f>E19*J4</f>
        <v>227</v>
      </c>
      <c r="K19" s="195">
        <f>E19*K4</f>
        <v>227</v>
      </c>
    </row>
    <row r="20" spans="1:11" x14ac:dyDescent="0.25">
      <c r="A20" s="177"/>
      <c r="B20" s="178"/>
      <c r="C20" s="29" t="s">
        <v>31</v>
      </c>
      <c r="D20" s="89">
        <f>'მონიტორინგის კვლევების ჯგუფები'!E6</f>
        <v>227</v>
      </c>
      <c r="E20" s="179"/>
      <c r="F20" s="47"/>
      <c r="G20" s="196"/>
      <c r="H20" s="196"/>
      <c r="I20" s="47"/>
      <c r="J20" s="196"/>
      <c r="K20" s="196"/>
    </row>
    <row r="21" spans="1:11" x14ac:dyDescent="0.25">
      <c r="A21" s="177"/>
      <c r="B21" s="178"/>
      <c r="C21" s="37" t="s">
        <v>34</v>
      </c>
      <c r="D21" s="89">
        <f>'მონიტორინგის კვლევების ჯგუფები'!E7</f>
        <v>218</v>
      </c>
      <c r="E21" s="179"/>
      <c r="F21" s="47"/>
      <c r="G21" s="197"/>
      <c r="H21" s="197"/>
      <c r="I21" s="47"/>
      <c r="J21" s="197"/>
      <c r="K21" s="197"/>
    </row>
    <row r="22" spans="1:11" x14ac:dyDescent="0.25">
      <c r="A22" s="177"/>
      <c r="E22" s="36"/>
      <c r="F22" s="47"/>
      <c r="I22" s="47"/>
    </row>
    <row r="23" spans="1:11" x14ac:dyDescent="0.25">
      <c r="A23" s="177"/>
      <c r="B23" s="178" t="s">
        <v>56</v>
      </c>
      <c r="C23" s="29" t="s">
        <v>35</v>
      </c>
      <c r="D23" s="89">
        <f>'მონიტორინგის კვლევების ჯგუფები'!E8</f>
        <v>304</v>
      </c>
      <c r="E23" s="180">
        <f>AVERAGE(D23:D25)</f>
        <v>289</v>
      </c>
      <c r="F23" s="47"/>
      <c r="G23" s="188">
        <f>E23*G4</f>
        <v>0</v>
      </c>
      <c r="H23" s="195">
        <f>E23*H4</f>
        <v>0</v>
      </c>
      <c r="I23" s="47"/>
      <c r="J23" s="188">
        <f>E23*J4</f>
        <v>289</v>
      </c>
      <c r="K23" s="195">
        <f>E23*K4</f>
        <v>289</v>
      </c>
    </row>
    <row r="24" spans="1:11" x14ac:dyDescent="0.25">
      <c r="A24" s="177"/>
      <c r="B24" s="178"/>
      <c r="C24" s="29" t="s">
        <v>32</v>
      </c>
      <c r="D24" s="89">
        <f>'მონიტორინგის კვლევების ჯგუფები'!E9</f>
        <v>286</v>
      </c>
      <c r="E24" s="181"/>
      <c r="F24" s="47"/>
      <c r="G24" s="188"/>
      <c r="H24" s="196"/>
      <c r="I24" s="47"/>
      <c r="J24" s="188"/>
      <c r="K24" s="196"/>
    </row>
    <row r="25" spans="1:11" x14ac:dyDescent="0.25">
      <c r="A25" s="177"/>
      <c r="B25" s="178"/>
      <c r="C25" s="37" t="s">
        <v>36</v>
      </c>
      <c r="D25" s="89">
        <f>'მონიტორინგის კვლევების ჯგუფები'!E10</f>
        <v>277</v>
      </c>
      <c r="E25" s="182"/>
      <c r="F25" s="47"/>
      <c r="G25" s="188"/>
      <c r="H25" s="197"/>
      <c r="I25" s="47"/>
      <c r="J25" s="188"/>
      <c r="K25" s="197"/>
    </row>
    <row r="26" spans="1:11" x14ac:dyDescent="0.25">
      <c r="A26" s="177"/>
      <c r="E26" s="36"/>
      <c r="F26" s="47"/>
      <c r="I26" s="47"/>
    </row>
    <row r="27" spans="1:11" x14ac:dyDescent="0.25">
      <c r="A27" s="177"/>
      <c r="B27" s="87" t="s">
        <v>57</v>
      </c>
      <c r="C27" s="27" t="s">
        <v>53</v>
      </c>
      <c r="D27" s="38">
        <f>'მონიტორინგის კვლევების ჯგუფები'!E11</f>
        <v>130</v>
      </c>
      <c r="E27" s="90">
        <v>130</v>
      </c>
      <c r="F27" s="47"/>
      <c r="G27" s="89">
        <v>0</v>
      </c>
      <c r="H27" s="89">
        <v>0</v>
      </c>
      <c r="I27" s="47"/>
      <c r="J27" s="89">
        <f>E27</f>
        <v>130</v>
      </c>
      <c r="K27" s="89">
        <f>E27</f>
        <v>130</v>
      </c>
    </row>
    <row r="28" spans="1:11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5">
      <c r="A29" s="199" t="s">
        <v>66</v>
      </c>
      <c r="B29" s="178" t="s">
        <v>48</v>
      </c>
      <c r="C29" s="27" t="s">
        <v>58</v>
      </c>
      <c r="D29" s="89">
        <f>E5+E19+E27</f>
        <v>795</v>
      </c>
      <c r="E29" s="179">
        <f>AVERAGE(D29:D30)</f>
        <v>790.5</v>
      </c>
      <c r="F29" s="47"/>
      <c r="G29" s="188">
        <f>(E29-E27)*G4</f>
        <v>0</v>
      </c>
      <c r="H29" s="188">
        <f>(E29-E27)*H4</f>
        <v>0</v>
      </c>
      <c r="I29" s="47"/>
      <c r="J29" s="188">
        <f>(E29-E27)*J4+E27</f>
        <v>790.5</v>
      </c>
      <c r="K29" s="188">
        <f>(E29-E27)*K4+E27</f>
        <v>790.5</v>
      </c>
    </row>
    <row r="30" spans="1:11" x14ac:dyDescent="0.25">
      <c r="A30" s="200"/>
      <c r="B30" s="178"/>
      <c r="C30" s="27" t="s">
        <v>60</v>
      </c>
      <c r="D30" s="89">
        <f>E9+E19+E27</f>
        <v>786</v>
      </c>
      <c r="E30" s="179"/>
      <c r="F30" s="47"/>
      <c r="G30" s="188"/>
      <c r="H30" s="188"/>
      <c r="I30" s="47"/>
      <c r="J30" s="188"/>
      <c r="K30" s="188"/>
    </row>
    <row r="31" spans="1:11" x14ac:dyDescent="0.25">
      <c r="A31" s="200"/>
      <c r="B31" s="36"/>
      <c r="D31" s="35"/>
      <c r="E31" s="36"/>
      <c r="F31" s="47"/>
      <c r="I31" s="47"/>
    </row>
    <row r="32" spans="1:11" x14ac:dyDescent="0.25">
      <c r="A32" s="200"/>
      <c r="B32" s="178" t="s">
        <v>49</v>
      </c>
      <c r="C32" s="27" t="s">
        <v>59</v>
      </c>
      <c r="D32" s="89">
        <f>E5+E23+E27</f>
        <v>857</v>
      </c>
      <c r="E32" s="179">
        <f>AVERAGE(D32:D33)</f>
        <v>852.5</v>
      </c>
      <c r="F32" s="47"/>
      <c r="G32" s="188">
        <f>(E32-E27)*G4</f>
        <v>0</v>
      </c>
      <c r="H32" s="188">
        <f>(E32-E27)*H4</f>
        <v>0</v>
      </c>
      <c r="I32" s="47"/>
      <c r="J32" s="188">
        <f>(E32-E27)*J4+E27</f>
        <v>852.5</v>
      </c>
      <c r="K32" s="188">
        <f>(E32-E27)*K4+E27</f>
        <v>852.5</v>
      </c>
    </row>
    <row r="33" spans="1:11" x14ac:dyDescent="0.25">
      <c r="A33" s="200"/>
      <c r="B33" s="178"/>
      <c r="C33" s="27" t="s">
        <v>61</v>
      </c>
      <c r="D33" s="89">
        <f>E9+E23+E27</f>
        <v>848</v>
      </c>
      <c r="E33" s="179"/>
      <c r="F33" s="47"/>
      <c r="G33" s="188"/>
      <c r="H33" s="188"/>
      <c r="I33" s="47"/>
      <c r="J33" s="188"/>
      <c r="K33" s="188"/>
    </row>
    <row r="34" spans="1:11" x14ac:dyDescent="0.25">
      <c r="A34" s="200"/>
      <c r="B34" s="36"/>
      <c r="D34" s="35"/>
      <c r="E34" s="36"/>
      <c r="F34" s="47"/>
      <c r="I34" s="47"/>
    </row>
    <row r="35" spans="1:11" x14ac:dyDescent="0.25">
      <c r="A35" s="200"/>
      <c r="B35" s="178" t="s">
        <v>52</v>
      </c>
      <c r="C35" s="27" t="s">
        <v>62</v>
      </c>
      <c r="D35" s="89">
        <f>E12+E19+E27</f>
        <v>715</v>
      </c>
      <c r="E35" s="179">
        <f>AVERAGE(D35:D36)</f>
        <v>710.5</v>
      </c>
      <c r="F35" s="47"/>
      <c r="G35" s="188">
        <f>(E35-E27)*G4</f>
        <v>0</v>
      </c>
      <c r="H35" s="188">
        <f>(E35-E27)*H4</f>
        <v>0</v>
      </c>
      <c r="I35" s="47"/>
      <c r="J35" s="188">
        <f>(E35-E27)*J4+E27</f>
        <v>710.5</v>
      </c>
      <c r="K35" s="188">
        <f>(E35-E27)*K4+E27</f>
        <v>710.5</v>
      </c>
    </row>
    <row r="36" spans="1:11" x14ac:dyDescent="0.25">
      <c r="A36" s="200"/>
      <c r="B36" s="178"/>
      <c r="C36" s="27" t="s">
        <v>64</v>
      </c>
      <c r="D36" s="89">
        <f>E16+E19+E27</f>
        <v>706</v>
      </c>
      <c r="E36" s="179"/>
      <c r="F36" s="47"/>
      <c r="G36" s="188"/>
      <c r="H36" s="188"/>
      <c r="I36" s="47"/>
      <c r="J36" s="188"/>
      <c r="K36" s="188"/>
    </row>
    <row r="37" spans="1:11" x14ac:dyDescent="0.25">
      <c r="A37" s="200"/>
      <c r="B37" s="36"/>
      <c r="D37" s="35"/>
      <c r="E37" s="36"/>
      <c r="F37" s="47"/>
      <c r="I37" s="47"/>
    </row>
    <row r="38" spans="1:11" x14ac:dyDescent="0.25">
      <c r="A38" s="200"/>
      <c r="B38" s="183" t="s">
        <v>50</v>
      </c>
      <c r="C38" s="27" t="s">
        <v>63</v>
      </c>
      <c r="D38" s="89">
        <f>E12+E23+E27</f>
        <v>777</v>
      </c>
      <c r="E38" s="179">
        <f>AVERAGE(D38:D39)</f>
        <v>772.5</v>
      </c>
      <c r="F38" s="47"/>
      <c r="G38" s="188">
        <f>(E38-E27)*G4</f>
        <v>0</v>
      </c>
      <c r="H38" s="188">
        <f>(E38-E27)*H4</f>
        <v>0</v>
      </c>
      <c r="I38" s="47"/>
      <c r="J38" s="188">
        <f>(E38-E27)*J4+E27</f>
        <v>772.5</v>
      </c>
      <c r="K38" s="188">
        <f>(E38-E27)*K4+E27</f>
        <v>772.5</v>
      </c>
    </row>
    <row r="39" spans="1:11" x14ac:dyDescent="0.25">
      <c r="A39" s="201"/>
      <c r="B39" s="184"/>
      <c r="C39" s="27" t="s">
        <v>65</v>
      </c>
      <c r="D39" s="89">
        <f>E16+E23+E27</f>
        <v>768</v>
      </c>
      <c r="E39" s="179"/>
      <c r="F39" s="47"/>
      <c r="G39" s="188"/>
      <c r="H39" s="188"/>
      <c r="I39" s="47"/>
      <c r="J39" s="188"/>
      <c r="K39" s="188"/>
    </row>
    <row r="40" spans="1:11" x14ac:dyDescent="0.25">
      <c r="A40" s="48"/>
      <c r="B40" s="49"/>
      <c r="C40" s="50"/>
      <c r="D40" s="51"/>
      <c r="E40" s="49"/>
      <c r="F40" s="47"/>
      <c r="G40" s="51"/>
      <c r="H40" s="51"/>
      <c r="I40" s="47"/>
      <c r="J40" s="47"/>
      <c r="K40" s="47"/>
    </row>
    <row r="41" spans="1:11" x14ac:dyDescent="0.25">
      <c r="F41" s="47"/>
      <c r="G41" s="185" t="s">
        <v>75</v>
      </c>
      <c r="H41" s="185"/>
      <c r="I41" s="47"/>
      <c r="J41" s="185" t="s">
        <v>76</v>
      </c>
      <c r="K41" s="185"/>
    </row>
    <row r="42" spans="1:11" ht="13.5" customHeight="1" x14ac:dyDescent="0.25">
      <c r="F42" s="47"/>
      <c r="G42" s="88" t="s">
        <v>67</v>
      </c>
      <c r="H42" s="88" t="s">
        <v>47</v>
      </c>
      <c r="I42" s="47"/>
      <c r="J42" s="88" t="s">
        <v>67</v>
      </c>
      <c r="K42" s="88" t="s">
        <v>47</v>
      </c>
    </row>
    <row r="43" spans="1:11" ht="21" customHeight="1" x14ac:dyDescent="0.25">
      <c r="A43" s="198" t="s">
        <v>66</v>
      </c>
      <c r="B43" s="89" t="s">
        <v>48</v>
      </c>
      <c r="C43" s="186" t="s">
        <v>68</v>
      </c>
      <c r="D43" s="187"/>
      <c r="E43" s="89">
        <f>AVERAGE(E29,E35)</f>
        <v>750.5</v>
      </c>
      <c r="F43" s="47"/>
      <c r="G43" s="89">
        <v>0</v>
      </c>
      <c r="H43" s="89">
        <v>0</v>
      </c>
      <c r="I43" s="47"/>
      <c r="J43" s="89">
        <f>E43-G43</f>
        <v>750.5</v>
      </c>
      <c r="K43" s="89">
        <f>E43-H43</f>
        <v>750.5</v>
      </c>
    </row>
    <row r="44" spans="1:11" ht="29.25" customHeight="1" x14ac:dyDescent="0.25">
      <c r="A44" s="198"/>
      <c r="B44" s="89" t="s">
        <v>49</v>
      </c>
      <c r="C44" s="186" t="s">
        <v>69</v>
      </c>
      <c r="D44" s="187"/>
      <c r="E44" s="89">
        <f>AVERAGE(E32,E38)</f>
        <v>812.5</v>
      </c>
      <c r="F44" s="47"/>
      <c r="G44" s="89">
        <v>0</v>
      </c>
      <c r="H44" s="89">
        <v>0</v>
      </c>
      <c r="I44" s="47"/>
      <c r="J44" s="89">
        <f>E44-G44</f>
        <v>812.5</v>
      </c>
      <c r="K44" s="89">
        <f>E44-H44</f>
        <v>812.5</v>
      </c>
    </row>
    <row r="45" spans="1:11" x14ac:dyDescent="0.25">
      <c r="A45" s="48"/>
      <c r="B45" s="49"/>
      <c r="C45" s="50"/>
      <c r="D45" s="51"/>
      <c r="E45" s="49"/>
      <c r="F45" s="47"/>
      <c r="G45" s="51"/>
      <c r="H45" s="51"/>
      <c r="I45" s="47"/>
      <c r="J45" s="47"/>
      <c r="K45" s="47"/>
    </row>
    <row r="46" spans="1:11" x14ac:dyDescent="0.25">
      <c r="A46" s="192" t="s">
        <v>77</v>
      </c>
      <c r="B46" s="27"/>
      <c r="C46" s="42" t="s">
        <v>79</v>
      </c>
      <c r="D46" s="52" t="s">
        <v>67</v>
      </c>
      <c r="E46" s="42" t="s">
        <v>47</v>
      </c>
    </row>
    <row r="47" spans="1:11" ht="23.25" x14ac:dyDescent="0.25">
      <c r="A47" s="193"/>
      <c r="B47" s="53" t="s">
        <v>70</v>
      </c>
      <c r="C47" s="89">
        <v>25000</v>
      </c>
      <c r="D47" s="89">
        <f>C47*10%</f>
        <v>2500</v>
      </c>
      <c r="E47" s="89">
        <f>C47*90%</f>
        <v>22500</v>
      </c>
    </row>
    <row r="48" spans="1:11" ht="21" customHeight="1" x14ac:dyDescent="0.25">
      <c r="A48" s="193"/>
      <c r="B48" s="53" t="s">
        <v>68</v>
      </c>
      <c r="C48" s="89">
        <f>C47*90%</f>
        <v>22500</v>
      </c>
      <c r="D48" s="89">
        <f>D47*90%</f>
        <v>2250</v>
      </c>
      <c r="E48" s="89">
        <f>E47*90%</f>
        <v>20250</v>
      </c>
    </row>
    <row r="49" spans="1:5" ht="34.5" x14ac:dyDescent="0.25">
      <c r="A49" s="194"/>
      <c r="B49" s="53" t="s">
        <v>69</v>
      </c>
      <c r="C49" s="89">
        <f>C47*10%</f>
        <v>2500</v>
      </c>
      <c r="D49" s="89">
        <f>D47*10%</f>
        <v>250</v>
      </c>
      <c r="E49" s="89">
        <f>E47*10%</f>
        <v>2250</v>
      </c>
    </row>
    <row r="50" spans="1:5" x14ac:dyDescent="0.25">
      <c r="A50" s="47"/>
      <c r="B50" s="47"/>
      <c r="C50" s="47"/>
      <c r="D50" s="47"/>
      <c r="E50" s="47"/>
    </row>
    <row r="51" spans="1:5" x14ac:dyDescent="0.25">
      <c r="A51" s="177" t="s">
        <v>78</v>
      </c>
      <c r="C51" s="42" t="s">
        <v>109</v>
      </c>
      <c r="D51" s="52" t="s">
        <v>67</v>
      </c>
      <c r="E51" s="42" t="s">
        <v>47</v>
      </c>
    </row>
    <row r="52" spans="1:5" ht="34.5" x14ac:dyDescent="0.25">
      <c r="A52" s="177"/>
      <c r="B52" s="74" t="s">
        <v>68</v>
      </c>
      <c r="C52" s="43">
        <f>D52+E52</f>
        <v>0</v>
      </c>
      <c r="D52" s="44">
        <f>D48*G43</f>
        <v>0</v>
      </c>
      <c r="E52" s="44">
        <f>E48*H43</f>
        <v>0</v>
      </c>
    </row>
    <row r="53" spans="1:5" ht="34.5" x14ac:dyDescent="0.25">
      <c r="A53" s="177"/>
      <c r="B53" s="74" t="s">
        <v>69</v>
      </c>
      <c r="C53" s="43">
        <f>D53+E53</f>
        <v>0</v>
      </c>
      <c r="D53" s="44">
        <f>D49*G44</f>
        <v>0</v>
      </c>
      <c r="E53" s="44">
        <f>E49*H44</f>
        <v>0</v>
      </c>
    </row>
    <row r="54" spans="1:5" x14ac:dyDescent="0.25">
      <c r="A54" s="177"/>
      <c r="B54" s="75" t="s">
        <v>71</v>
      </c>
      <c r="C54" s="54">
        <f>C52+C53</f>
        <v>0</v>
      </c>
      <c r="D54" s="43">
        <f>D52+D53</f>
        <v>0</v>
      </c>
      <c r="E54" s="43">
        <f>E52+E53</f>
        <v>0</v>
      </c>
    </row>
    <row r="55" spans="1:5" x14ac:dyDescent="0.25">
      <c r="A55" s="47"/>
      <c r="B55" s="47"/>
      <c r="C55" s="47"/>
      <c r="D55" s="47"/>
      <c r="E55" s="47"/>
    </row>
    <row r="56" spans="1:5" x14ac:dyDescent="0.25">
      <c r="A56" s="177" t="s">
        <v>80</v>
      </c>
      <c r="C56" s="42" t="s">
        <v>109</v>
      </c>
      <c r="D56" s="52" t="s">
        <v>67</v>
      </c>
      <c r="E56" s="42" t="s">
        <v>47</v>
      </c>
    </row>
    <row r="57" spans="1:5" ht="34.5" x14ac:dyDescent="0.25">
      <c r="A57" s="177"/>
      <c r="B57" s="74" t="s">
        <v>68</v>
      </c>
      <c r="C57" s="43">
        <f>D57+E57</f>
        <v>16886250</v>
      </c>
      <c r="D57" s="44">
        <f>D48*J43</f>
        <v>1688625</v>
      </c>
      <c r="E57" s="44">
        <f>E48*K43</f>
        <v>15197625</v>
      </c>
    </row>
    <row r="58" spans="1:5" ht="34.5" x14ac:dyDescent="0.25">
      <c r="A58" s="177"/>
      <c r="B58" s="74" t="s">
        <v>69</v>
      </c>
      <c r="C58" s="43">
        <f>D58+E58</f>
        <v>2031250</v>
      </c>
      <c r="D58" s="44">
        <f>D49*J44</f>
        <v>203125</v>
      </c>
      <c r="E58" s="44">
        <f>E49*K44</f>
        <v>1828125</v>
      </c>
    </row>
    <row r="59" spans="1:5" ht="23.25" x14ac:dyDescent="0.25">
      <c r="A59" s="177"/>
      <c r="B59" s="75" t="s">
        <v>99</v>
      </c>
      <c r="C59" s="54">
        <f>C57+C58</f>
        <v>18917500</v>
      </c>
      <c r="D59" s="43">
        <f>D57+D58</f>
        <v>1891750</v>
      </c>
      <c r="E59" s="43">
        <f>E57+E58</f>
        <v>17025750</v>
      </c>
    </row>
    <row r="60" spans="1:5" x14ac:dyDescent="0.25">
      <c r="A60" s="177"/>
      <c r="B60" s="75"/>
      <c r="C60" s="54"/>
      <c r="D60" s="43"/>
      <c r="E60" s="43"/>
    </row>
    <row r="61" spans="1:5" ht="23.25" x14ac:dyDescent="0.25">
      <c r="A61" s="177"/>
      <c r="B61" s="75" t="s">
        <v>100</v>
      </c>
      <c r="C61" s="54">
        <f>C47*50</f>
        <v>1250000</v>
      </c>
      <c r="D61" s="43"/>
      <c r="E61" s="43"/>
    </row>
    <row r="62" spans="1:5" ht="15.75" x14ac:dyDescent="0.25">
      <c r="A62" s="177"/>
      <c r="B62" s="75" t="s">
        <v>71</v>
      </c>
      <c r="C62" s="86">
        <f>C59+C61+E65</f>
        <v>20587500</v>
      </c>
      <c r="D62" s="43"/>
      <c r="E62" s="43"/>
    </row>
    <row r="63" spans="1:5" x14ac:dyDescent="0.25">
      <c r="A63" s="47"/>
      <c r="B63" s="47"/>
      <c r="C63" s="47"/>
      <c r="D63" s="47"/>
      <c r="E63" s="47"/>
    </row>
    <row r="65" spans="2:5" ht="34.5" x14ac:dyDescent="0.25">
      <c r="B65" s="73" t="s">
        <v>137</v>
      </c>
      <c r="C65">
        <f>32000-25000</f>
        <v>7000</v>
      </c>
      <c r="D65">
        <v>60</v>
      </c>
      <c r="E65">
        <f>C65*D65</f>
        <v>420000</v>
      </c>
    </row>
    <row r="67" spans="2:5" ht="18.75" x14ac:dyDescent="0.3">
      <c r="B67" s="55" t="s">
        <v>81</v>
      </c>
      <c r="C67" s="56">
        <f>C54+C62</f>
        <v>20587500</v>
      </c>
    </row>
  </sheetData>
  <mergeCells count="75">
    <mergeCell ref="A1:K1"/>
    <mergeCell ref="G2:H2"/>
    <mergeCell ref="J2:K2"/>
    <mergeCell ref="D4:E4"/>
    <mergeCell ref="A5:A17"/>
    <mergeCell ref="B5:B7"/>
    <mergeCell ref="E5:E7"/>
    <mergeCell ref="G5:G7"/>
    <mergeCell ref="H5:H7"/>
    <mergeCell ref="J5:J7"/>
    <mergeCell ref="K5:K7"/>
    <mergeCell ref="B9:B10"/>
    <mergeCell ref="E9:E10"/>
    <mergeCell ref="G9:G10"/>
    <mergeCell ref="H9:H10"/>
    <mergeCell ref="J9:J10"/>
    <mergeCell ref="K9:K10"/>
    <mergeCell ref="K16:K17"/>
    <mergeCell ref="B12:B14"/>
    <mergeCell ref="E12:E14"/>
    <mergeCell ref="G12:G14"/>
    <mergeCell ref="H12:H14"/>
    <mergeCell ref="J12:J14"/>
    <mergeCell ref="K12:K14"/>
    <mergeCell ref="B16:B17"/>
    <mergeCell ref="E16:E17"/>
    <mergeCell ref="G16:G17"/>
    <mergeCell ref="H16:H17"/>
    <mergeCell ref="J16:J17"/>
    <mergeCell ref="A19:A27"/>
    <mergeCell ref="B19:B21"/>
    <mergeCell ref="E19:E21"/>
    <mergeCell ref="G19:G21"/>
    <mergeCell ref="H19:H21"/>
    <mergeCell ref="K19:K21"/>
    <mergeCell ref="B23:B25"/>
    <mergeCell ref="E23:E25"/>
    <mergeCell ref="G23:G25"/>
    <mergeCell ref="H23:H25"/>
    <mergeCell ref="J23:J25"/>
    <mergeCell ref="K23:K25"/>
    <mergeCell ref="J19:J21"/>
    <mergeCell ref="A29:A39"/>
    <mergeCell ref="B29:B30"/>
    <mergeCell ref="E29:E30"/>
    <mergeCell ref="G29:G30"/>
    <mergeCell ref="H29:H30"/>
    <mergeCell ref="B35:B36"/>
    <mergeCell ref="E35:E36"/>
    <mergeCell ref="G35:G36"/>
    <mergeCell ref="H35:H36"/>
    <mergeCell ref="K29:K30"/>
    <mergeCell ref="B32:B33"/>
    <mergeCell ref="E32:E33"/>
    <mergeCell ref="G32:G33"/>
    <mergeCell ref="H32:H33"/>
    <mergeCell ref="J32:J33"/>
    <mergeCell ref="K32:K33"/>
    <mergeCell ref="J29:J30"/>
    <mergeCell ref="J35:J36"/>
    <mergeCell ref="K35:K36"/>
    <mergeCell ref="B38:B39"/>
    <mergeCell ref="E38:E39"/>
    <mergeCell ref="G38:G39"/>
    <mergeCell ref="H38:H39"/>
    <mergeCell ref="J38:J39"/>
    <mergeCell ref="K38:K39"/>
    <mergeCell ref="A51:A54"/>
    <mergeCell ref="A56:A62"/>
    <mergeCell ref="G41:H41"/>
    <mergeCell ref="J41:K41"/>
    <mergeCell ref="A43:A44"/>
    <mergeCell ref="C43:D43"/>
    <mergeCell ref="C44:D44"/>
    <mergeCell ref="A46:A49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opLeftCell="A49" workbookViewId="0">
      <selection activeCell="B65" sqref="B65:E65"/>
    </sheetView>
  </sheetViews>
  <sheetFormatPr defaultRowHeight="15" x14ac:dyDescent="0.25"/>
  <cols>
    <col min="2" max="2" width="18.5703125" bestFit="1" customWidth="1"/>
    <col min="3" max="3" width="42.5703125" bestFit="1" customWidth="1"/>
    <col min="4" max="4" width="17.42578125" customWidth="1"/>
    <col min="5" max="5" width="18.140625" customWidth="1"/>
    <col min="6" max="6" width="4" customWidth="1"/>
    <col min="7" max="7" width="14.5703125" bestFit="1" customWidth="1"/>
    <col min="8" max="8" width="10.42578125" customWidth="1"/>
    <col min="9" max="9" width="4" customWidth="1"/>
    <col min="10" max="10" width="14.5703125" bestFit="1" customWidth="1"/>
    <col min="11" max="11" width="10" customWidth="1"/>
    <col min="12" max="12" width="17" customWidth="1"/>
    <col min="13" max="13" width="15.5703125" customWidth="1"/>
  </cols>
  <sheetData>
    <row r="1" spans="1:11" x14ac:dyDescent="0.25">
      <c r="A1" s="202" t="s">
        <v>82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x14ac:dyDescent="0.25">
      <c r="F2" s="47"/>
      <c r="G2" s="189" t="s">
        <v>73</v>
      </c>
      <c r="H2" s="189"/>
      <c r="I2" s="47"/>
      <c r="J2" s="189" t="s">
        <v>72</v>
      </c>
      <c r="K2" s="189"/>
    </row>
    <row r="3" spans="1:11" x14ac:dyDescent="0.25">
      <c r="F3" s="47"/>
      <c r="G3" s="45" t="s">
        <v>67</v>
      </c>
      <c r="H3" s="45" t="s">
        <v>47</v>
      </c>
      <c r="I3" s="47"/>
      <c r="J3" s="45" t="s">
        <v>67</v>
      </c>
      <c r="K3" s="45" t="s">
        <v>47</v>
      </c>
    </row>
    <row r="4" spans="1:11" ht="34.5" customHeight="1" x14ac:dyDescent="0.25">
      <c r="D4" s="190" t="s">
        <v>74</v>
      </c>
      <c r="E4" s="191"/>
      <c r="F4" s="47"/>
      <c r="G4" s="46">
        <v>0.3</v>
      </c>
      <c r="H4" s="46">
        <v>0.7</v>
      </c>
      <c r="I4" s="47"/>
      <c r="J4" s="46">
        <v>0.7</v>
      </c>
      <c r="K4" s="46">
        <v>0.3</v>
      </c>
    </row>
    <row r="5" spans="1:11" x14ac:dyDescent="0.25">
      <c r="A5" s="177" t="s">
        <v>51</v>
      </c>
      <c r="B5" s="178" t="s">
        <v>43</v>
      </c>
      <c r="C5" s="27" t="s">
        <v>39</v>
      </c>
      <c r="D5" s="89">
        <v>60</v>
      </c>
      <c r="E5" s="179">
        <f>D5+D6+D7</f>
        <v>438</v>
      </c>
      <c r="F5" s="47"/>
      <c r="G5" s="188">
        <f>E5*$G$4</f>
        <v>131.4</v>
      </c>
      <c r="H5" s="188">
        <f>E5*H4</f>
        <v>306.59999999999997</v>
      </c>
      <c r="I5" s="47"/>
      <c r="J5" s="188">
        <f>E5*J4</f>
        <v>306.59999999999997</v>
      </c>
      <c r="K5" s="188">
        <f>E5*K4</f>
        <v>131.4</v>
      </c>
    </row>
    <row r="6" spans="1:11" x14ac:dyDescent="0.25">
      <c r="A6" s="177"/>
      <c r="B6" s="178"/>
      <c r="C6" s="27" t="s">
        <v>40</v>
      </c>
      <c r="D6" s="89">
        <f>'მკურნალობაში ჩართვის ჯგუფები'!E6</f>
        <v>369</v>
      </c>
      <c r="E6" s="179"/>
      <c r="F6" s="47"/>
      <c r="G6" s="188"/>
      <c r="H6" s="188"/>
      <c r="I6" s="47"/>
      <c r="J6" s="188"/>
      <c r="K6" s="188"/>
    </row>
    <row r="7" spans="1:11" x14ac:dyDescent="0.25">
      <c r="A7" s="177"/>
      <c r="B7" s="178"/>
      <c r="C7" s="27" t="s">
        <v>42</v>
      </c>
      <c r="D7" s="89">
        <f>'მკურნალობაში ჩართვის ჯგუფები'!E8</f>
        <v>9</v>
      </c>
      <c r="E7" s="179"/>
      <c r="F7" s="47"/>
      <c r="G7" s="188"/>
      <c r="H7" s="188"/>
      <c r="I7" s="47"/>
      <c r="J7" s="188"/>
      <c r="K7" s="188"/>
    </row>
    <row r="8" spans="1:11" x14ac:dyDescent="0.25">
      <c r="A8" s="177"/>
      <c r="D8" s="35"/>
      <c r="E8" s="36"/>
      <c r="F8" s="47"/>
      <c r="I8" s="47"/>
    </row>
    <row r="9" spans="1:11" x14ac:dyDescent="0.25">
      <c r="A9" s="177"/>
      <c r="B9" s="178" t="s">
        <v>44</v>
      </c>
      <c r="C9" s="27" t="s">
        <v>39</v>
      </c>
      <c r="D9" s="89">
        <v>60</v>
      </c>
      <c r="E9" s="179">
        <f>D9+D10</f>
        <v>429</v>
      </c>
      <c r="F9" s="47"/>
      <c r="G9" s="188">
        <f>E9*G4</f>
        <v>128.69999999999999</v>
      </c>
      <c r="H9" s="188">
        <f>E9*H4</f>
        <v>300.29999999999995</v>
      </c>
      <c r="I9" s="47"/>
      <c r="J9" s="188">
        <f>E9*J4</f>
        <v>300.29999999999995</v>
      </c>
      <c r="K9" s="188">
        <f>E9*K4</f>
        <v>128.69999999999999</v>
      </c>
    </row>
    <row r="10" spans="1:11" x14ac:dyDescent="0.25">
      <c r="A10" s="177"/>
      <c r="B10" s="178"/>
      <c r="C10" s="27" t="s">
        <v>40</v>
      </c>
      <c r="D10" s="89">
        <f>'მკურნალობაში ჩართვის ჯგუფები'!E6</f>
        <v>369</v>
      </c>
      <c r="E10" s="179"/>
      <c r="F10" s="47"/>
      <c r="G10" s="188"/>
      <c r="H10" s="188"/>
      <c r="I10" s="47"/>
      <c r="J10" s="188"/>
      <c r="K10" s="188"/>
    </row>
    <row r="11" spans="1:11" x14ac:dyDescent="0.25">
      <c r="A11" s="177"/>
      <c r="D11" s="35"/>
      <c r="E11" s="36"/>
      <c r="F11" s="47"/>
      <c r="I11" s="47"/>
    </row>
    <row r="12" spans="1:11" x14ac:dyDescent="0.25">
      <c r="A12" s="177"/>
      <c r="B12" s="178" t="s">
        <v>45</v>
      </c>
      <c r="C12" s="27" t="s">
        <v>39</v>
      </c>
      <c r="D12" s="89">
        <v>60</v>
      </c>
      <c r="E12" s="179">
        <f>D12+D13+D14</f>
        <v>358</v>
      </c>
      <c r="F12" s="47"/>
      <c r="G12" s="188">
        <f>E12*G4</f>
        <v>107.39999999999999</v>
      </c>
      <c r="H12" s="188">
        <f>E12*H4</f>
        <v>250.6</v>
      </c>
      <c r="I12" s="47"/>
      <c r="J12" s="188">
        <f>E12*J4</f>
        <v>250.6</v>
      </c>
      <c r="K12" s="188">
        <f>E12*K4</f>
        <v>107.39999999999999</v>
      </c>
    </row>
    <row r="13" spans="1:11" x14ac:dyDescent="0.25">
      <c r="A13" s="177"/>
      <c r="B13" s="178"/>
      <c r="C13" s="27" t="s">
        <v>41</v>
      </c>
      <c r="D13" s="89">
        <f>'მკურნალობაში ჩართვის ჯგუფები'!E7</f>
        <v>289</v>
      </c>
      <c r="E13" s="179"/>
      <c r="F13" s="47"/>
      <c r="G13" s="188"/>
      <c r="H13" s="188"/>
      <c r="I13" s="47"/>
      <c r="J13" s="188"/>
      <c r="K13" s="188"/>
    </row>
    <row r="14" spans="1:11" x14ac:dyDescent="0.25">
      <c r="A14" s="177"/>
      <c r="B14" s="178"/>
      <c r="C14" s="27" t="s">
        <v>42</v>
      </c>
      <c r="D14" s="89">
        <f>'მკურნალობაში ჩართვის ჯგუფები'!E8</f>
        <v>9</v>
      </c>
      <c r="E14" s="179"/>
      <c r="F14" s="47"/>
      <c r="G14" s="188"/>
      <c r="H14" s="188"/>
      <c r="I14" s="47"/>
      <c r="J14" s="188"/>
      <c r="K14" s="188"/>
    </row>
    <row r="15" spans="1:11" x14ac:dyDescent="0.25">
      <c r="A15" s="177"/>
      <c r="D15" s="35"/>
      <c r="E15" s="36"/>
      <c r="F15" s="47"/>
      <c r="I15" s="47"/>
    </row>
    <row r="16" spans="1:11" x14ac:dyDescent="0.25">
      <c r="A16" s="177"/>
      <c r="B16" s="178" t="s">
        <v>46</v>
      </c>
      <c r="C16" s="27" t="s">
        <v>39</v>
      </c>
      <c r="D16" s="89">
        <v>60</v>
      </c>
      <c r="E16" s="179">
        <f>D16+D17</f>
        <v>349</v>
      </c>
      <c r="F16" s="47"/>
      <c r="G16" s="188">
        <f>E16*G4</f>
        <v>104.7</v>
      </c>
      <c r="H16" s="188">
        <f>E16*H4</f>
        <v>244.29999999999998</v>
      </c>
      <c r="I16" s="47"/>
      <c r="J16" s="188">
        <f>E16*J4</f>
        <v>244.29999999999998</v>
      </c>
      <c r="K16" s="188">
        <f>E16*K4</f>
        <v>104.7</v>
      </c>
    </row>
    <row r="17" spans="1:11" x14ac:dyDescent="0.25">
      <c r="A17" s="177"/>
      <c r="B17" s="178"/>
      <c r="C17" s="27" t="s">
        <v>41</v>
      </c>
      <c r="D17" s="89">
        <f>'მკურნალობაში ჩართვის ჯგუფები'!E7</f>
        <v>289</v>
      </c>
      <c r="E17" s="179"/>
      <c r="F17" s="47"/>
      <c r="G17" s="188"/>
      <c r="H17" s="188"/>
      <c r="I17" s="47"/>
      <c r="J17" s="188"/>
      <c r="K17" s="188"/>
    </row>
    <row r="18" spans="1:11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</row>
    <row r="19" spans="1:11" x14ac:dyDescent="0.25">
      <c r="A19" s="177" t="s">
        <v>54</v>
      </c>
      <c r="B19" s="178" t="s">
        <v>55</v>
      </c>
      <c r="C19" s="29" t="s">
        <v>33</v>
      </c>
      <c r="D19" s="89">
        <f>'მონიტორინგის კვლევების ჯგუფები'!E5</f>
        <v>236</v>
      </c>
      <c r="E19" s="179">
        <f>AVERAGE(D19:D21)</f>
        <v>227</v>
      </c>
      <c r="F19" s="47"/>
      <c r="G19" s="195">
        <f>E19*G4</f>
        <v>68.099999999999994</v>
      </c>
      <c r="H19" s="195">
        <f>E19*H4</f>
        <v>158.89999999999998</v>
      </c>
      <c r="I19" s="47"/>
      <c r="J19" s="195">
        <f>E19*J4</f>
        <v>158.89999999999998</v>
      </c>
      <c r="K19" s="195">
        <f>E19*K4</f>
        <v>68.099999999999994</v>
      </c>
    </row>
    <row r="20" spans="1:11" x14ac:dyDescent="0.25">
      <c r="A20" s="177"/>
      <c r="B20" s="178"/>
      <c r="C20" s="29" t="s">
        <v>31</v>
      </c>
      <c r="D20" s="89">
        <f>'მონიტორინგის კვლევების ჯგუფები'!E6</f>
        <v>227</v>
      </c>
      <c r="E20" s="179"/>
      <c r="F20" s="47"/>
      <c r="G20" s="196"/>
      <c r="H20" s="196"/>
      <c r="I20" s="47"/>
      <c r="J20" s="196"/>
      <c r="K20" s="196"/>
    </row>
    <row r="21" spans="1:11" x14ac:dyDescent="0.25">
      <c r="A21" s="177"/>
      <c r="B21" s="178"/>
      <c r="C21" s="37" t="s">
        <v>34</v>
      </c>
      <c r="D21" s="89">
        <f>'მონიტორინგის კვლევების ჯგუფები'!E7</f>
        <v>218</v>
      </c>
      <c r="E21" s="179"/>
      <c r="F21" s="47"/>
      <c r="G21" s="197"/>
      <c r="H21" s="197"/>
      <c r="I21" s="47"/>
      <c r="J21" s="197"/>
      <c r="K21" s="197"/>
    </row>
    <row r="22" spans="1:11" x14ac:dyDescent="0.25">
      <c r="A22" s="177"/>
      <c r="E22" s="36"/>
      <c r="F22" s="47"/>
      <c r="I22" s="47"/>
    </row>
    <row r="23" spans="1:11" x14ac:dyDescent="0.25">
      <c r="A23" s="177"/>
      <c r="B23" s="178" t="s">
        <v>56</v>
      </c>
      <c r="C23" s="29" t="s">
        <v>35</v>
      </c>
      <c r="D23" s="89">
        <f>'მონიტორინგის კვლევების ჯგუფები'!E8</f>
        <v>304</v>
      </c>
      <c r="E23" s="180">
        <f>AVERAGE(D23:D25)</f>
        <v>289</v>
      </c>
      <c r="F23" s="47"/>
      <c r="G23" s="188">
        <f>E23*G4</f>
        <v>86.7</v>
      </c>
      <c r="H23" s="195">
        <f>E23*H4</f>
        <v>202.29999999999998</v>
      </c>
      <c r="I23" s="47"/>
      <c r="J23" s="188">
        <f>E23*J4</f>
        <v>202.29999999999998</v>
      </c>
      <c r="K23" s="195">
        <f>E23*K4</f>
        <v>86.7</v>
      </c>
    </row>
    <row r="24" spans="1:11" x14ac:dyDescent="0.25">
      <c r="A24" s="177"/>
      <c r="B24" s="178"/>
      <c r="C24" s="29" t="s">
        <v>32</v>
      </c>
      <c r="D24" s="89">
        <f>'მონიტორინგის კვლევების ჯგუფები'!E9</f>
        <v>286</v>
      </c>
      <c r="E24" s="181"/>
      <c r="F24" s="47"/>
      <c r="G24" s="188"/>
      <c r="H24" s="196"/>
      <c r="I24" s="47"/>
      <c r="J24" s="188"/>
      <c r="K24" s="196"/>
    </row>
    <row r="25" spans="1:11" x14ac:dyDescent="0.25">
      <c r="A25" s="177"/>
      <c r="B25" s="178"/>
      <c r="C25" s="37" t="s">
        <v>36</v>
      </c>
      <c r="D25" s="89">
        <f>'მონიტორინგის კვლევების ჯგუფები'!E10</f>
        <v>277</v>
      </c>
      <c r="E25" s="182"/>
      <c r="F25" s="47"/>
      <c r="G25" s="188"/>
      <c r="H25" s="197"/>
      <c r="I25" s="47"/>
      <c r="J25" s="188"/>
      <c r="K25" s="197"/>
    </row>
    <row r="26" spans="1:11" x14ac:dyDescent="0.25">
      <c r="A26" s="177"/>
      <c r="E26" s="36"/>
      <c r="F26" s="47"/>
      <c r="I26" s="47"/>
    </row>
    <row r="27" spans="1:11" x14ac:dyDescent="0.25">
      <c r="A27" s="177"/>
      <c r="B27" s="87" t="s">
        <v>57</v>
      </c>
      <c r="C27" s="27" t="s">
        <v>53</v>
      </c>
      <c r="D27" s="38">
        <f>'მონიტორინგის კვლევების ჯგუფები'!E11</f>
        <v>130</v>
      </c>
      <c r="E27" s="90">
        <v>130</v>
      </c>
      <c r="F27" s="47"/>
      <c r="G27" s="89">
        <v>0</v>
      </c>
      <c r="H27" s="89">
        <v>0</v>
      </c>
      <c r="I27" s="47"/>
      <c r="J27" s="89">
        <f>E27</f>
        <v>130</v>
      </c>
      <c r="K27" s="89">
        <f>E27</f>
        <v>130</v>
      </c>
    </row>
    <row r="28" spans="1:11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5">
      <c r="A29" s="199" t="s">
        <v>66</v>
      </c>
      <c r="B29" s="178" t="s">
        <v>48</v>
      </c>
      <c r="C29" s="27" t="s">
        <v>58</v>
      </c>
      <c r="D29" s="89">
        <f>E5+E19+E27</f>
        <v>795</v>
      </c>
      <c r="E29" s="179">
        <f>AVERAGE(D29:D30)</f>
        <v>790.5</v>
      </c>
      <c r="F29" s="47"/>
      <c r="G29" s="188">
        <f>(E29-E27)*G4</f>
        <v>198.15</v>
      </c>
      <c r="H29" s="188">
        <f>(E29-E27)*H4</f>
        <v>462.34999999999997</v>
      </c>
      <c r="I29" s="47"/>
      <c r="J29" s="188">
        <f>(E29-E27)*J4+E27</f>
        <v>592.34999999999991</v>
      </c>
      <c r="K29" s="188">
        <f>(E29-E27)*K4+E27</f>
        <v>328.15</v>
      </c>
    </row>
    <row r="30" spans="1:11" x14ac:dyDescent="0.25">
      <c r="A30" s="200"/>
      <c r="B30" s="178"/>
      <c r="C30" s="27" t="s">
        <v>60</v>
      </c>
      <c r="D30" s="89">
        <f>E9+E19+E27</f>
        <v>786</v>
      </c>
      <c r="E30" s="179"/>
      <c r="F30" s="47"/>
      <c r="G30" s="188"/>
      <c r="H30" s="188"/>
      <c r="I30" s="47"/>
      <c r="J30" s="188"/>
      <c r="K30" s="188"/>
    </row>
    <row r="31" spans="1:11" x14ac:dyDescent="0.25">
      <c r="A31" s="200"/>
      <c r="B31" s="36"/>
      <c r="D31" s="35"/>
      <c r="E31" s="36"/>
      <c r="F31" s="47"/>
      <c r="I31" s="47"/>
    </row>
    <row r="32" spans="1:11" x14ac:dyDescent="0.25">
      <c r="A32" s="200"/>
      <c r="B32" s="178" t="s">
        <v>49</v>
      </c>
      <c r="C32" s="27" t="s">
        <v>59</v>
      </c>
      <c r="D32" s="89">
        <f>E5+E23+E27</f>
        <v>857</v>
      </c>
      <c r="E32" s="179">
        <f>AVERAGE(D32:D33)</f>
        <v>852.5</v>
      </c>
      <c r="F32" s="47"/>
      <c r="G32" s="188">
        <f>(E32-E27)*G4</f>
        <v>216.75</v>
      </c>
      <c r="H32" s="188">
        <f>(E32-E27)*H4</f>
        <v>505.74999999999994</v>
      </c>
      <c r="I32" s="47"/>
      <c r="J32" s="188">
        <f>(E32-E27)*J4+E27</f>
        <v>635.75</v>
      </c>
      <c r="K32" s="188">
        <f>(E32-E27)*K4+E27</f>
        <v>346.75</v>
      </c>
    </row>
    <row r="33" spans="1:11" x14ac:dyDescent="0.25">
      <c r="A33" s="200"/>
      <c r="B33" s="178"/>
      <c r="C33" s="27" t="s">
        <v>61</v>
      </c>
      <c r="D33" s="89">
        <f>E9+E23+E27</f>
        <v>848</v>
      </c>
      <c r="E33" s="179"/>
      <c r="F33" s="47"/>
      <c r="G33" s="188"/>
      <c r="H33" s="188"/>
      <c r="I33" s="47"/>
      <c r="J33" s="188"/>
      <c r="K33" s="188"/>
    </row>
    <row r="34" spans="1:11" x14ac:dyDescent="0.25">
      <c r="A34" s="200"/>
      <c r="B34" s="36"/>
      <c r="D34" s="35"/>
      <c r="E34" s="36"/>
      <c r="F34" s="47"/>
      <c r="I34" s="47"/>
    </row>
    <row r="35" spans="1:11" x14ac:dyDescent="0.25">
      <c r="A35" s="200"/>
      <c r="B35" s="178" t="s">
        <v>52</v>
      </c>
      <c r="C35" s="27" t="s">
        <v>62</v>
      </c>
      <c r="D35" s="89">
        <f>E12+E19+E27</f>
        <v>715</v>
      </c>
      <c r="E35" s="179">
        <f>AVERAGE(D35:D36)</f>
        <v>710.5</v>
      </c>
      <c r="F35" s="47"/>
      <c r="G35" s="188">
        <f>(E35-E27)*G4</f>
        <v>174.15</v>
      </c>
      <c r="H35" s="188">
        <f>(E35-E27)*H4</f>
        <v>406.34999999999997</v>
      </c>
      <c r="I35" s="47"/>
      <c r="J35" s="188">
        <f>(E35-E27)*J4+E27</f>
        <v>536.34999999999991</v>
      </c>
      <c r="K35" s="188">
        <f>(E35-E27)*K4+E27</f>
        <v>304.14999999999998</v>
      </c>
    </row>
    <row r="36" spans="1:11" x14ac:dyDescent="0.25">
      <c r="A36" s="200"/>
      <c r="B36" s="178"/>
      <c r="C36" s="27" t="s">
        <v>64</v>
      </c>
      <c r="D36" s="89">
        <f>E16+E19+E27</f>
        <v>706</v>
      </c>
      <c r="E36" s="179"/>
      <c r="F36" s="47"/>
      <c r="G36" s="188"/>
      <c r="H36" s="188"/>
      <c r="I36" s="47"/>
      <c r="J36" s="188"/>
      <c r="K36" s="188"/>
    </row>
    <row r="37" spans="1:11" x14ac:dyDescent="0.25">
      <c r="A37" s="200"/>
      <c r="B37" s="36"/>
      <c r="D37" s="35"/>
      <c r="E37" s="36"/>
      <c r="F37" s="47"/>
      <c r="I37" s="47"/>
    </row>
    <row r="38" spans="1:11" x14ac:dyDescent="0.25">
      <c r="A38" s="200"/>
      <c r="B38" s="183" t="s">
        <v>50</v>
      </c>
      <c r="C38" s="27" t="s">
        <v>63</v>
      </c>
      <c r="D38" s="89">
        <f>E12+E23+E27</f>
        <v>777</v>
      </c>
      <c r="E38" s="179">
        <f>AVERAGE(D38:D39)</f>
        <v>772.5</v>
      </c>
      <c r="F38" s="47"/>
      <c r="G38" s="188">
        <f>(E38-E27)*G4</f>
        <v>192.75</v>
      </c>
      <c r="H38" s="188">
        <f>(E38-E27)*H4</f>
        <v>449.74999999999994</v>
      </c>
      <c r="I38" s="47"/>
      <c r="J38" s="188">
        <f>(E38-E27)*J4+E27</f>
        <v>579.75</v>
      </c>
      <c r="K38" s="188">
        <f>(E38-E27)*K4+E27</f>
        <v>322.75</v>
      </c>
    </row>
    <row r="39" spans="1:11" x14ac:dyDescent="0.25">
      <c r="A39" s="201"/>
      <c r="B39" s="184"/>
      <c r="C39" s="27" t="s">
        <v>65</v>
      </c>
      <c r="D39" s="89">
        <f>E16+E23+E27</f>
        <v>768</v>
      </c>
      <c r="E39" s="179"/>
      <c r="F39" s="47"/>
      <c r="G39" s="188"/>
      <c r="H39" s="188"/>
      <c r="I39" s="47"/>
      <c r="J39" s="188"/>
      <c r="K39" s="188"/>
    </row>
    <row r="40" spans="1:11" x14ac:dyDescent="0.25">
      <c r="A40" s="48"/>
      <c r="B40" s="49"/>
      <c r="C40" s="50"/>
      <c r="D40" s="51"/>
      <c r="E40" s="49"/>
      <c r="F40" s="47"/>
      <c r="G40" s="51"/>
      <c r="H40" s="51"/>
      <c r="I40" s="47"/>
      <c r="J40" s="47"/>
      <c r="K40" s="47"/>
    </row>
    <row r="41" spans="1:11" x14ac:dyDescent="0.25">
      <c r="F41" s="47"/>
      <c r="G41" s="185" t="s">
        <v>75</v>
      </c>
      <c r="H41" s="185"/>
      <c r="I41" s="47"/>
      <c r="J41" s="185" t="s">
        <v>76</v>
      </c>
      <c r="K41" s="185"/>
    </row>
    <row r="42" spans="1:11" ht="13.5" customHeight="1" x14ac:dyDescent="0.25">
      <c r="F42" s="47"/>
      <c r="G42" s="88" t="s">
        <v>67</v>
      </c>
      <c r="H42" s="88" t="s">
        <v>47</v>
      </c>
      <c r="I42" s="47"/>
      <c r="J42" s="88" t="s">
        <v>67</v>
      </c>
      <c r="K42" s="88" t="s">
        <v>47</v>
      </c>
    </row>
    <row r="43" spans="1:11" ht="21" customHeight="1" x14ac:dyDescent="0.25">
      <c r="A43" s="198" t="s">
        <v>66</v>
      </c>
      <c r="B43" s="89" t="s">
        <v>48</v>
      </c>
      <c r="C43" s="186" t="s">
        <v>68</v>
      </c>
      <c r="D43" s="187"/>
      <c r="E43" s="89">
        <f>AVERAGE(E29,E35)</f>
        <v>750.5</v>
      </c>
      <c r="F43" s="47"/>
      <c r="G43" s="89">
        <f>(E43-E27)*G4</f>
        <v>186.15</v>
      </c>
      <c r="H43" s="89">
        <f>(E43-E27)*H4</f>
        <v>434.34999999999997</v>
      </c>
      <c r="I43" s="47"/>
      <c r="J43" s="89">
        <f>E43-G43</f>
        <v>564.35</v>
      </c>
      <c r="K43" s="89">
        <f>E43-H43</f>
        <v>316.15000000000003</v>
      </c>
    </row>
    <row r="44" spans="1:11" ht="29.25" customHeight="1" x14ac:dyDescent="0.25">
      <c r="A44" s="198"/>
      <c r="B44" s="89" t="s">
        <v>49</v>
      </c>
      <c r="C44" s="186" t="s">
        <v>69</v>
      </c>
      <c r="D44" s="187"/>
      <c r="E44" s="89">
        <f>AVERAGE(E32,E38)</f>
        <v>812.5</v>
      </c>
      <c r="F44" s="47"/>
      <c r="G44" s="89">
        <f>(E44-E27)*G4</f>
        <v>204.75</v>
      </c>
      <c r="H44" s="89">
        <f>(E44-E27)*H4</f>
        <v>477.74999999999994</v>
      </c>
      <c r="I44" s="47"/>
      <c r="J44" s="89">
        <f>E44-G44</f>
        <v>607.75</v>
      </c>
      <c r="K44" s="89">
        <f>E44-H44</f>
        <v>334.75000000000006</v>
      </c>
    </row>
    <row r="45" spans="1:11" x14ac:dyDescent="0.25">
      <c r="A45" s="48"/>
      <c r="B45" s="49"/>
      <c r="C45" s="50"/>
      <c r="D45" s="51"/>
      <c r="E45" s="49"/>
      <c r="F45" s="47"/>
      <c r="G45" s="51"/>
      <c r="H45" s="51"/>
      <c r="I45" s="47"/>
      <c r="J45" s="47"/>
      <c r="K45" s="47"/>
    </row>
    <row r="46" spans="1:11" x14ac:dyDescent="0.25">
      <c r="A46" s="192" t="s">
        <v>77</v>
      </c>
      <c r="B46" s="27"/>
      <c r="C46" s="42" t="s">
        <v>79</v>
      </c>
      <c r="D46" s="52" t="s">
        <v>67</v>
      </c>
      <c r="E46" s="42" t="s">
        <v>47</v>
      </c>
    </row>
    <row r="47" spans="1:11" ht="23.25" x14ac:dyDescent="0.25">
      <c r="A47" s="193"/>
      <c r="B47" s="53" t="s">
        <v>70</v>
      </c>
      <c r="C47" s="89">
        <v>25000</v>
      </c>
      <c r="D47" s="89">
        <f>C47*10%</f>
        <v>2500</v>
      </c>
      <c r="E47" s="89">
        <f>C47*90%</f>
        <v>22500</v>
      </c>
    </row>
    <row r="48" spans="1:11" ht="21" customHeight="1" x14ac:dyDescent="0.25">
      <c r="A48" s="193"/>
      <c r="B48" s="53" t="s">
        <v>68</v>
      </c>
      <c r="C48" s="89">
        <f>C47*90%</f>
        <v>22500</v>
      </c>
      <c r="D48" s="89">
        <f>D47*90%</f>
        <v>2250</v>
      </c>
      <c r="E48" s="89">
        <f>E47*90%</f>
        <v>20250</v>
      </c>
    </row>
    <row r="49" spans="1:5" ht="34.5" x14ac:dyDescent="0.25">
      <c r="A49" s="194"/>
      <c r="B49" s="53" t="s">
        <v>69</v>
      </c>
      <c r="C49" s="89">
        <f>C47*10%</f>
        <v>2500</v>
      </c>
      <c r="D49" s="89">
        <f>D47*10%</f>
        <v>250</v>
      </c>
      <c r="E49" s="89">
        <f>E47*10%</f>
        <v>2250</v>
      </c>
    </row>
    <row r="50" spans="1:5" x14ac:dyDescent="0.25">
      <c r="A50" s="47"/>
      <c r="B50" s="47"/>
      <c r="C50" s="47"/>
      <c r="D50" s="47"/>
      <c r="E50" s="47"/>
    </row>
    <row r="51" spans="1:5" x14ac:dyDescent="0.25">
      <c r="A51" s="177" t="s">
        <v>78</v>
      </c>
      <c r="C51" s="42" t="s">
        <v>109</v>
      </c>
      <c r="D51" s="52" t="s">
        <v>67</v>
      </c>
      <c r="E51" s="42" t="s">
        <v>47</v>
      </c>
    </row>
    <row r="52" spans="1:5" ht="34.5" x14ac:dyDescent="0.25">
      <c r="A52" s="177"/>
      <c r="B52" s="74" t="s">
        <v>68</v>
      </c>
      <c r="C52" s="43">
        <f>D52+E52</f>
        <v>9214425</v>
      </c>
      <c r="D52" s="44">
        <f>D48*G43</f>
        <v>418837.5</v>
      </c>
      <c r="E52" s="44">
        <f>E48*H43</f>
        <v>8795587.5</v>
      </c>
    </row>
    <row r="53" spans="1:5" ht="34.5" x14ac:dyDescent="0.25">
      <c r="A53" s="177"/>
      <c r="B53" s="74" t="s">
        <v>69</v>
      </c>
      <c r="C53" s="43">
        <f>D53+E53</f>
        <v>1126124.9999999998</v>
      </c>
      <c r="D53" s="44">
        <f>D49*G44</f>
        <v>51187.5</v>
      </c>
      <c r="E53" s="44">
        <f>E49*H44</f>
        <v>1074937.4999999998</v>
      </c>
    </row>
    <row r="54" spans="1:5" x14ac:dyDescent="0.25">
      <c r="A54" s="177"/>
      <c r="B54" s="75" t="s">
        <v>71</v>
      </c>
      <c r="C54" s="54">
        <f>C52+C53</f>
        <v>10340550</v>
      </c>
      <c r="D54" s="43">
        <f>D52+D53</f>
        <v>470025</v>
      </c>
      <c r="E54" s="43">
        <f>E52+E53</f>
        <v>9870525</v>
      </c>
    </row>
    <row r="55" spans="1:5" x14ac:dyDescent="0.25">
      <c r="A55" s="47"/>
      <c r="B55" s="47"/>
      <c r="C55" s="47"/>
      <c r="D55" s="47"/>
      <c r="E55" s="47"/>
    </row>
    <row r="56" spans="1:5" x14ac:dyDescent="0.25">
      <c r="A56" s="177" t="s">
        <v>80</v>
      </c>
      <c r="C56" s="42" t="s">
        <v>109</v>
      </c>
      <c r="D56" s="52" t="s">
        <v>67</v>
      </c>
      <c r="E56" s="42" t="s">
        <v>47</v>
      </c>
    </row>
    <row r="57" spans="1:5" ht="34.5" x14ac:dyDescent="0.25">
      <c r="A57" s="177"/>
      <c r="B57" s="74" t="s">
        <v>68</v>
      </c>
      <c r="C57" s="43">
        <f>D57+E57</f>
        <v>7671825.0000000009</v>
      </c>
      <c r="D57" s="44">
        <f>D48*J43</f>
        <v>1269787.5</v>
      </c>
      <c r="E57" s="44">
        <f>E48*K43</f>
        <v>6402037.5000000009</v>
      </c>
    </row>
    <row r="58" spans="1:5" ht="34.5" x14ac:dyDescent="0.25">
      <c r="A58" s="177"/>
      <c r="B58" s="74" t="s">
        <v>69</v>
      </c>
      <c r="C58" s="43">
        <f>D58+E58</f>
        <v>905125.00000000012</v>
      </c>
      <c r="D58" s="44">
        <f>D49*J44</f>
        <v>151937.5</v>
      </c>
      <c r="E58" s="44">
        <f>E49*K44</f>
        <v>753187.50000000012</v>
      </c>
    </row>
    <row r="59" spans="1:5" ht="23.25" x14ac:dyDescent="0.25">
      <c r="A59" s="177"/>
      <c r="B59" s="75" t="s">
        <v>99</v>
      </c>
      <c r="C59" s="54">
        <f>C57+C58</f>
        <v>8576950.0000000019</v>
      </c>
      <c r="D59" s="43">
        <f>D57+D58</f>
        <v>1421725</v>
      </c>
      <c r="E59" s="43">
        <f>E57+E58</f>
        <v>7155225.0000000009</v>
      </c>
    </row>
    <row r="60" spans="1:5" x14ac:dyDescent="0.25">
      <c r="A60" s="177"/>
      <c r="B60" s="75"/>
      <c r="C60" s="54"/>
      <c r="D60" s="43"/>
      <c r="E60" s="43"/>
    </row>
    <row r="61" spans="1:5" ht="23.25" x14ac:dyDescent="0.25">
      <c r="A61" s="177"/>
      <c r="B61" s="75" t="s">
        <v>100</v>
      </c>
      <c r="C61" s="54">
        <f>C47*50</f>
        <v>1250000</v>
      </c>
      <c r="D61" s="43"/>
      <c r="E61" s="43"/>
    </row>
    <row r="62" spans="1:5" ht="15.75" x14ac:dyDescent="0.25">
      <c r="A62" s="177"/>
      <c r="B62" s="75" t="s">
        <v>71</v>
      </c>
      <c r="C62" s="86">
        <f>C59+C61+E65</f>
        <v>10246950.000000002</v>
      </c>
      <c r="D62" s="43"/>
      <c r="E62" s="43"/>
    </row>
    <row r="63" spans="1:5" x14ac:dyDescent="0.25">
      <c r="A63" s="47"/>
      <c r="B63" s="47"/>
      <c r="C63" s="47"/>
      <c r="D63" s="47"/>
      <c r="E63" s="47"/>
    </row>
    <row r="65" spans="2:5" ht="34.5" x14ac:dyDescent="0.25">
      <c r="B65" s="73" t="s">
        <v>137</v>
      </c>
      <c r="C65">
        <f>32000-25000</f>
        <v>7000</v>
      </c>
      <c r="D65">
        <v>60</v>
      </c>
      <c r="E65">
        <f>C65*D65</f>
        <v>420000</v>
      </c>
    </row>
    <row r="67" spans="2:5" ht="18.75" x14ac:dyDescent="0.3">
      <c r="B67" s="55" t="s">
        <v>81</v>
      </c>
      <c r="C67" s="56">
        <f>C54+C62</f>
        <v>20587500</v>
      </c>
    </row>
  </sheetData>
  <mergeCells count="75">
    <mergeCell ref="A1:K1"/>
    <mergeCell ref="G2:H2"/>
    <mergeCell ref="J2:K2"/>
    <mergeCell ref="D4:E4"/>
    <mergeCell ref="A5:A17"/>
    <mergeCell ref="B5:B7"/>
    <mergeCell ref="E5:E7"/>
    <mergeCell ref="G5:G7"/>
    <mergeCell ref="H5:H7"/>
    <mergeCell ref="J5:J7"/>
    <mergeCell ref="K5:K7"/>
    <mergeCell ref="B9:B10"/>
    <mergeCell ref="E9:E10"/>
    <mergeCell ref="G9:G10"/>
    <mergeCell ref="H9:H10"/>
    <mergeCell ref="J9:J10"/>
    <mergeCell ref="K9:K10"/>
    <mergeCell ref="K16:K17"/>
    <mergeCell ref="B12:B14"/>
    <mergeCell ref="E12:E14"/>
    <mergeCell ref="G12:G14"/>
    <mergeCell ref="H12:H14"/>
    <mergeCell ref="J12:J14"/>
    <mergeCell ref="K12:K14"/>
    <mergeCell ref="B16:B17"/>
    <mergeCell ref="E16:E17"/>
    <mergeCell ref="G16:G17"/>
    <mergeCell ref="H16:H17"/>
    <mergeCell ref="J16:J17"/>
    <mergeCell ref="A19:A27"/>
    <mergeCell ref="B19:B21"/>
    <mergeCell ref="E19:E21"/>
    <mergeCell ref="G19:G21"/>
    <mergeCell ref="H19:H21"/>
    <mergeCell ref="K19:K21"/>
    <mergeCell ref="B23:B25"/>
    <mergeCell ref="E23:E25"/>
    <mergeCell ref="G23:G25"/>
    <mergeCell ref="H23:H25"/>
    <mergeCell ref="J23:J25"/>
    <mergeCell ref="K23:K25"/>
    <mergeCell ref="J19:J21"/>
    <mergeCell ref="A29:A39"/>
    <mergeCell ref="B29:B30"/>
    <mergeCell ref="E29:E30"/>
    <mergeCell ref="G29:G30"/>
    <mergeCell ref="H29:H30"/>
    <mergeCell ref="B35:B36"/>
    <mergeCell ref="E35:E36"/>
    <mergeCell ref="G35:G36"/>
    <mergeCell ref="H35:H36"/>
    <mergeCell ref="K29:K30"/>
    <mergeCell ref="B32:B33"/>
    <mergeCell ref="E32:E33"/>
    <mergeCell ref="G32:G33"/>
    <mergeCell ref="H32:H33"/>
    <mergeCell ref="J32:J33"/>
    <mergeCell ref="K32:K33"/>
    <mergeCell ref="J29:J30"/>
    <mergeCell ref="J35:J36"/>
    <mergeCell ref="K35:K36"/>
    <mergeCell ref="B38:B39"/>
    <mergeCell ref="E38:E39"/>
    <mergeCell ref="G38:G39"/>
    <mergeCell ref="H38:H39"/>
    <mergeCell ref="J38:J39"/>
    <mergeCell ref="K38:K39"/>
    <mergeCell ref="A51:A54"/>
    <mergeCell ref="A56:A62"/>
    <mergeCell ref="G41:H41"/>
    <mergeCell ref="J41:K41"/>
    <mergeCell ref="A43:A44"/>
    <mergeCell ref="C43:D43"/>
    <mergeCell ref="C44:D44"/>
    <mergeCell ref="A46:A49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opLeftCell="A49" workbookViewId="0">
      <selection activeCell="B65" sqref="B65:E65"/>
    </sheetView>
  </sheetViews>
  <sheetFormatPr defaultRowHeight="15" x14ac:dyDescent="0.25"/>
  <cols>
    <col min="2" max="2" width="18.5703125" bestFit="1" customWidth="1"/>
    <col min="3" max="3" width="42.5703125" bestFit="1" customWidth="1"/>
    <col min="4" max="4" width="17.42578125" customWidth="1"/>
    <col min="5" max="5" width="18.140625" customWidth="1"/>
    <col min="6" max="6" width="4" customWidth="1"/>
    <col min="7" max="7" width="14.5703125" bestFit="1" customWidth="1"/>
    <col min="8" max="8" width="10.42578125" customWidth="1"/>
    <col min="9" max="9" width="4" customWidth="1"/>
    <col min="10" max="10" width="14.5703125" bestFit="1" customWidth="1"/>
    <col min="11" max="11" width="10" customWidth="1"/>
    <col min="12" max="12" width="17" customWidth="1"/>
    <col min="13" max="13" width="15.5703125" customWidth="1"/>
  </cols>
  <sheetData>
    <row r="1" spans="1:11" x14ac:dyDescent="0.25">
      <c r="A1" s="202" t="s">
        <v>82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x14ac:dyDescent="0.25">
      <c r="F2" s="47"/>
      <c r="G2" s="189" t="s">
        <v>73</v>
      </c>
      <c r="H2" s="189"/>
      <c r="I2" s="47"/>
      <c r="J2" s="189" t="s">
        <v>72</v>
      </c>
      <c r="K2" s="189"/>
    </row>
    <row r="3" spans="1:11" x14ac:dyDescent="0.25">
      <c r="F3" s="47"/>
      <c r="G3" s="45" t="s">
        <v>67</v>
      </c>
      <c r="H3" s="45" t="s">
        <v>47</v>
      </c>
      <c r="I3" s="47"/>
      <c r="J3" s="45" t="s">
        <v>67</v>
      </c>
      <c r="K3" s="45" t="s">
        <v>47</v>
      </c>
    </row>
    <row r="4" spans="1:11" ht="34.5" customHeight="1" x14ac:dyDescent="0.25">
      <c r="D4" s="190" t="s">
        <v>74</v>
      </c>
      <c r="E4" s="191"/>
      <c r="F4" s="47"/>
      <c r="G4" s="46">
        <v>0.05</v>
      </c>
      <c r="H4" s="46">
        <v>0.2</v>
      </c>
      <c r="I4" s="47"/>
      <c r="J4" s="46">
        <v>0.95</v>
      </c>
      <c r="K4" s="46">
        <v>0.8</v>
      </c>
    </row>
    <row r="5" spans="1:11" x14ac:dyDescent="0.25">
      <c r="A5" s="177" t="s">
        <v>51</v>
      </c>
      <c r="B5" s="178" t="s">
        <v>43</v>
      </c>
      <c r="C5" s="27" t="s">
        <v>39</v>
      </c>
      <c r="D5" s="101">
        <v>60</v>
      </c>
      <c r="E5" s="179">
        <f>D5+D6+D7</f>
        <v>438</v>
      </c>
      <c r="F5" s="47"/>
      <c r="G5" s="188">
        <f>E5*$G$4</f>
        <v>21.900000000000002</v>
      </c>
      <c r="H5" s="188">
        <f>E5*H4</f>
        <v>87.600000000000009</v>
      </c>
      <c r="I5" s="47"/>
      <c r="J5" s="188">
        <f>E5*J4</f>
        <v>416.09999999999997</v>
      </c>
      <c r="K5" s="188">
        <f>E5*K4</f>
        <v>350.40000000000003</v>
      </c>
    </row>
    <row r="6" spans="1:11" x14ac:dyDescent="0.25">
      <c r="A6" s="177"/>
      <c r="B6" s="178"/>
      <c r="C6" s="27" t="s">
        <v>40</v>
      </c>
      <c r="D6" s="101">
        <f>'მკურნალობაში ჩართვის ჯგუფები'!E6</f>
        <v>369</v>
      </c>
      <c r="E6" s="179"/>
      <c r="F6" s="47"/>
      <c r="G6" s="188"/>
      <c r="H6" s="188"/>
      <c r="I6" s="47"/>
      <c r="J6" s="188"/>
      <c r="K6" s="188"/>
    </row>
    <row r="7" spans="1:11" x14ac:dyDescent="0.25">
      <c r="A7" s="177"/>
      <c r="B7" s="178"/>
      <c r="C7" s="27" t="s">
        <v>42</v>
      </c>
      <c r="D7" s="101">
        <f>'მკურნალობაში ჩართვის ჯგუფები'!E8</f>
        <v>9</v>
      </c>
      <c r="E7" s="179"/>
      <c r="F7" s="47"/>
      <c r="G7" s="188"/>
      <c r="H7" s="188"/>
      <c r="I7" s="47"/>
      <c r="J7" s="188"/>
      <c r="K7" s="188"/>
    </row>
    <row r="8" spans="1:11" x14ac:dyDescent="0.25">
      <c r="A8" s="177"/>
      <c r="D8" s="106"/>
      <c r="E8" s="36"/>
      <c r="F8" s="47"/>
      <c r="I8" s="47"/>
    </row>
    <row r="9" spans="1:11" x14ac:dyDescent="0.25">
      <c r="A9" s="177"/>
      <c r="B9" s="178" t="s">
        <v>44</v>
      </c>
      <c r="C9" s="27" t="s">
        <v>39</v>
      </c>
      <c r="D9" s="101">
        <v>60</v>
      </c>
      <c r="E9" s="179">
        <f>D9+D10</f>
        <v>429</v>
      </c>
      <c r="F9" s="47"/>
      <c r="G9" s="188">
        <f>E9*G4</f>
        <v>21.450000000000003</v>
      </c>
      <c r="H9" s="188">
        <f>E9*H4</f>
        <v>85.800000000000011</v>
      </c>
      <c r="I9" s="47"/>
      <c r="J9" s="188">
        <f>E9*J4</f>
        <v>407.54999999999995</v>
      </c>
      <c r="K9" s="188">
        <f>E9*K4</f>
        <v>343.20000000000005</v>
      </c>
    </row>
    <row r="10" spans="1:11" x14ac:dyDescent="0.25">
      <c r="A10" s="177"/>
      <c r="B10" s="178"/>
      <c r="C10" s="27" t="s">
        <v>40</v>
      </c>
      <c r="D10" s="101">
        <f>'მკურნალობაში ჩართვის ჯგუფები'!E6</f>
        <v>369</v>
      </c>
      <c r="E10" s="179"/>
      <c r="F10" s="47"/>
      <c r="G10" s="188"/>
      <c r="H10" s="188"/>
      <c r="I10" s="47"/>
      <c r="J10" s="188"/>
      <c r="K10" s="188"/>
    </row>
    <row r="11" spans="1:11" x14ac:dyDescent="0.25">
      <c r="A11" s="177"/>
      <c r="D11" s="106"/>
      <c r="E11" s="36"/>
      <c r="F11" s="47"/>
      <c r="I11" s="47"/>
    </row>
    <row r="12" spans="1:11" x14ac:dyDescent="0.25">
      <c r="A12" s="177"/>
      <c r="B12" s="178" t="s">
        <v>45</v>
      </c>
      <c r="C12" s="27" t="s">
        <v>39</v>
      </c>
      <c r="D12" s="101">
        <v>60</v>
      </c>
      <c r="E12" s="179">
        <f>D12+D13+D14</f>
        <v>358</v>
      </c>
      <c r="F12" s="47"/>
      <c r="G12" s="188">
        <f>E12*G4</f>
        <v>17.900000000000002</v>
      </c>
      <c r="H12" s="188">
        <f>E12*H4</f>
        <v>71.600000000000009</v>
      </c>
      <c r="I12" s="47"/>
      <c r="J12" s="188">
        <f>E12*J4</f>
        <v>340.09999999999997</v>
      </c>
      <c r="K12" s="188">
        <f>E12*K4</f>
        <v>286.40000000000003</v>
      </c>
    </row>
    <row r="13" spans="1:11" x14ac:dyDescent="0.25">
      <c r="A13" s="177"/>
      <c r="B13" s="178"/>
      <c r="C13" s="27" t="s">
        <v>41</v>
      </c>
      <c r="D13" s="101">
        <f>'მკურნალობაში ჩართვის ჯგუფები'!E7</f>
        <v>289</v>
      </c>
      <c r="E13" s="179"/>
      <c r="F13" s="47"/>
      <c r="G13" s="188"/>
      <c r="H13" s="188"/>
      <c r="I13" s="47"/>
      <c r="J13" s="188"/>
      <c r="K13" s="188"/>
    </row>
    <row r="14" spans="1:11" x14ac:dyDescent="0.25">
      <c r="A14" s="177"/>
      <c r="B14" s="178"/>
      <c r="C14" s="27" t="s">
        <v>42</v>
      </c>
      <c r="D14" s="101">
        <f>'მკურნალობაში ჩართვის ჯგუფები'!E8</f>
        <v>9</v>
      </c>
      <c r="E14" s="179"/>
      <c r="F14" s="47"/>
      <c r="G14" s="188"/>
      <c r="H14" s="188"/>
      <c r="I14" s="47"/>
      <c r="J14" s="188"/>
      <c r="K14" s="188"/>
    </row>
    <row r="15" spans="1:11" x14ac:dyDescent="0.25">
      <c r="A15" s="177"/>
      <c r="D15" s="106"/>
      <c r="E15" s="36"/>
      <c r="F15" s="47"/>
      <c r="I15" s="47"/>
    </row>
    <row r="16" spans="1:11" x14ac:dyDescent="0.25">
      <c r="A16" s="177"/>
      <c r="B16" s="178" t="s">
        <v>46</v>
      </c>
      <c r="C16" s="27" t="s">
        <v>39</v>
      </c>
      <c r="D16" s="101">
        <v>60</v>
      </c>
      <c r="E16" s="179">
        <f>D16+D17</f>
        <v>349</v>
      </c>
      <c r="F16" s="47"/>
      <c r="G16" s="188">
        <f>E16*G4</f>
        <v>17.45</v>
      </c>
      <c r="H16" s="188">
        <f>E16*H4</f>
        <v>69.8</v>
      </c>
      <c r="I16" s="47"/>
      <c r="J16" s="188">
        <f>E16*J4</f>
        <v>331.55</v>
      </c>
      <c r="K16" s="188">
        <f>E16*K4</f>
        <v>279.2</v>
      </c>
    </row>
    <row r="17" spans="1:11" x14ac:dyDescent="0.25">
      <c r="A17" s="177"/>
      <c r="B17" s="178"/>
      <c r="C17" s="27" t="s">
        <v>41</v>
      </c>
      <c r="D17" s="101">
        <f>'მკურნალობაში ჩართვის ჯგუფები'!E7</f>
        <v>289</v>
      </c>
      <c r="E17" s="179"/>
      <c r="F17" s="47"/>
      <c r="G17" s="188"/>
      <c r="H17" s="188"/>
      <c r="I17" s="47"/>
      <c r="J17" s="188"/>
      <c r="K17" s="188"/>
    </row>
    <row r="18" spans="1:11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</row>
    <row r="19" spans="1:11" x14ac:dyDescent="0.25">
      <c r="A19" s="177" t="s">
        <v>54</v>
      </c>
      <c r="B19" s="178" t="s">
        <v>55</v>
      </c>
      <c r="C19" s="29" t="s">
        <v>33</v>
      </c>
      <c r="D19" s="101">
        <f>'მონიტორინგის კვლევების ჯგუფები'!E5</f>
        <v>236</v>
      </c>
      <c r="E19" s="179">
        <f>AVERAGE(D19:D21)</f>
        <v>227</v>
      </c>
      <c r="F19" s="47"/>
      <c r="G19" s="195">
        <f>E19*G4</f>
        <v>11.350000000000001</v>
      </c>
      <c r="H19" s="195">
        <f>E19*H4</f>
        <v>45.400000000000006</v>
      </c>
      <c r="I19" s="47"/>
      <c r="J19" s="195">
        <f>E19*J4</f>
        <v>215.64999999999998</v>
      </c>
      <c r="K19" s="195">
        <f>E19*K4</f>
        <v>181.60000000000002</v>
      </c>
    </row>
    <row r="20" spans="1:11" x14ac:dyDescent="0.25">
      <c r="A20" s="177"/>
      <c r="B20" s="178"/>
      <c r="C20" s="29" t="s">
        <v>31</v>
      </c>
      <c r="D20" s="101">
        <f>'მონიტორინგის კვლევების ჯგუფები'!E6</f>
        <v>227</v>
      </c>
      <c r="E20" s="179"/>
      <c r="F20" s="47"/>
      <c r="G20" s="196"/>
      <c r="H20" s="196"/>
      <c r="I20" s="47"/>
      <c r="J20" s="196"/>
      <c r="K20" s="196"/>
    </row>
    <row r="21" spans="1:11" x14ac:dyDescent="0.25">
      <c r="A21" s="177"/>
      <c r="B21" s="178"/>
      <c r="C21" s="37" t="s">
        <v>34</v>
      </c>
      <c r="D21" s="101">
        <f>'მონიტორინგის კვლევების ჯგუფები'!E7</f>
        <v>218</v>
      </c>
      <c r="E21" s="179"/>
      <c r="F21" s="47"/>
      <c r="G21" s="197"/>
      <c r="H21" s="197"/>
      <c r="I21" s="47"/>
      <c r="J21" s="197"/>
      <c r="K21" s="197"/>
    </row>
    <row r="22" spans="1:11" x14ac:dyDescent="0.25">
      <c r="A22" s="177"/>
      <c r="E22" s="36"/>
      <c r="F22" s="47"/>
      <c r="I22" s="47"/>
    </row>
    <row r="23" spans="1:11" x14ac:dyDescent="0.25">
      <c r="A23" s="177"/>
      <c r="B23" s="178" t="s">
        <v>56</v>
      </c>
      <c r="C23" s="29" t="s">
        <v>35</v>
      </c>
      <c r="D23" s="101">
        <f>'მონიტორინგის კვლევების ჯგუფები'!E8</f>
        <v>304</v>
      </c>
      <c r="E23" s="180">
        <f>AVERAGE(D23:D25)</f>
        <v>289</v>
      </c>
      <c r="F23" s="47"/>
      <c r="G23" s="188">
        <f>E23*G4</f>
        <v>14.450000000000001</v>
      </c>
      <c r="H23" s="195">
        <f>E23*H4</f>
        <v>57.800000000000004</v>
      </c>
      <c r="I23" s="47"/>
      <c r="J23" s="188">
        <f>E23*J4</f>
        <v>274.55</v>
      </c>
      <c r="K23" s="195">
        <f>E23*K4</f>
        <v>231.20000000000002</v>
      </c>
    </row>
    <row r="24" spans="1:11" x14ac:dyDescent="0.25">
      <c r="A24" s="177"/>
      <c r="B24" s="178"/>
      <c r="C24" s="29" t="s">
        <v>32</v>
      </c>
      <c r="D24" s="101">
        <f>'მონიტორინგის კვლევების ჯგუფები'!E9</f>
        <v>286</v>
      </c>
      <c r="E24" s="181"/>
      <c r="F24" s="47"/>
      <c r="G24" s="188"/>
      <c r="H24" s="196"/>
      <c r="I24" s="47"/>
      <c r="J24" s="188"/>
      <c r="K24" s="196"/>
    </row>
    <row r="25" spans="1:11" x14ac:dyDescent="0.25">
      <c r="A25" s="177"/>
      <c r="B25" s="178"/>
      <c r="C25" s="37" t="s">
        <v>36</v>
      </c>
      <c r="D25" s="101">
        <f>'მონიტორინგის კვლევების ჯგუფები'!E10</f>
        <v>277</v>
      </c>
      <c r="E25" s="182"/>
      <c r="F25" s="47"/>
      <c r="G25" s="188"/>
      <c r="H25" s="197"/>
      <c r="I25" s="47"/>
      <c r="J25" s="188"/>
      <c r="K25" s="197"/>
    </row>
    <row r="26" spans="1:11" x14ac:dyDescent="0.25">
      <c r="A26" s="177"/>
      <c r="E26" s="36"/>
      <c r="F26" s="47"/>
      <c r="I26" s="47"/>
    </row>
    <row r="27" spans="1:11" x14ac:dyDescent="0.25">
      <c r="A27" s="177"/>
      <c r="B27" s="104" t="s">
        <v>57</v>
      </c>
      <c r="C27" s="27" t="s">
        <v>53</v>
      </c>
      <c r="D27" s="38">
        <f>'მონიტორინგის კვლევების ჯგუფები'!E11</f>
        <v>130</v>
      </c>
      <c r="E27" s="102">
        <v>130</v>
      </c>
      <c r="F27" s="47"/>
      <c r="G27" s="101">
        <v>0</v>
      </c>
      <c r="H27" s="101">
        <v>0</v>
      </c>
      <c r="I27" s="47"/>
      <c r="J27" s="101">
        <f>E27</f>
        <v>130</v>
      </c>
      <c r="K27" s="101">
        <f>E27</f>
        <v>130</v>
      </c>
    </row>
    <row r="28" spans="1:11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5">
      <c r="A29" s="199" t="s">
        <v>66</v>
      </c>
      <c r="B29" s="178" t="s">
        <v>48</v>
      </c>
      <c r="C29" s="27" t="s">
        <v>58</v>
      </c>
      <c r="D29" s="101">
        <f>E5+E19+E27</f>
        <v>795</v>
      </c>
      <c r="E29" s="179">
        <f>AVERAGE(D29:D30)</f>
        <v>790.5</v>
      </c>
      <c r="F29" s="47"/>
      <c r="G29" s="188">
        <f>(E29-E27)*G4</f>
        <v>33.024999999999999</v>
      </c>
      <c r="H29" s="188">
        <f>(E29-E27)*H4</f>
        <v>132.1</v>
      </c>
      <c r="I29" s="47"/>
      <c r="J29" s="188">
        <f>(E29-E27)*J4+E27</f>
        <v>757.47500000000002</v>
      </c>
      <c r="K29" s="188">
        <f>(E29-E27)*K4+E27</f>
        <v>658.4</v>
      </c>
    </row>
    <row r="30" spans="1:11" x14ac:dyDescent="0.25">
      <c r="A30" s="200"/>
      <c r="B30" s="178"/>
      <c r="C30" s="27" t="s">
        <v>60</v>
      </c>
      <c r="D30" s="101">
        <f>E9+E19+E27</f>
        <v>786</v>
      </c>
      <c r="E30" s="179"/>
      <c r="F30" s="47"/>
      <c r="G30" s="188"/>
      <c r="H30" s="188"/>
      <c r="I30" s="47"/>
      <c r="J30" s="188"/>
      <c r="K30" s="188"/>
    </row>
    <row r="31" spans="1:11" x14ac:dyDescent="0.25">
      <c r="A31" s="200"/>
      <c r="B31" s="36"/>
      <c r="D31" s="106"/>
      <c r="E31" s="36"/>
      <c r="F31" s="47"/>
      <c r="I31" s="47"/>
    </row>
    <row r="32" spans="1:11" x14ac:dyDescent="0.25">
      <c r="A32" s="200"/>
      <c r="B32" s="178" t="s">
        <v>49</v>
      </c>
      <c r="C32" s="27" t="s">
        <v>59</v>
      </c>
      <c r="D32" s="101">
        <f>E5+E23+E27</f>
        <v>857</v>
      </c>
      <c r="E32" s="179">
        <f>AVERAGE(D32:D33)</f>
        <v>852.5</v>
      </c>
      <c r="F32" s="47"/>
      <c r="G32" s="188">
        <f>(E32-E27)*G4</f>
        <v>36.125</v>
      </c>
      <c r="H32" s="188">
        <f>(E32-E27)*H4</f>
        <v>144.5</v>
      </c>
      <c r="I32" s="47"/>
      <c r="J32" s="188">
        <f>(E32-E27)*J4+E27</f>
        <v>816.375</v>
      </c>
      <c r="K32" s="188">
        <f>(E32-E27)*K4+E27</f>
        <v>708</v>
      </c>
    </row>
    <row r="33" spans="1:11" x14ac:dyDescent="0.25">
      <c r="A33" s="200"/>
      <c r="B33" s="178"/>
      <c r="C33" s="27" t="s">
        <v>61</v>
      </c>
      <c r="D33" s="101">
        <f>E9+E23+E27</f>
        <v>848</v>
      </c>
      <c r="E33" s="179"/>
      <c r="F33" s="47"/>
      <c r="G33" s="188"/>
      <c r="H33" s="188"/>
      <c r="I33" s="47"/>
      <c r="J33" s="188"/>
      <c r="K33" s="188"/>
    </row>
    <row r="34" spans="1:11" x14ac:dyDescent="0.25">
      <c r="A34" s="200"/>
      <c r="B34" s="36"/>
      <c r="D34" s="106"/>
      <c r="E34" s="36"/>
      <c r="F34" s="47"/>
      <c r="I34" s="47"/>
    </row>
    <row r="35" spans="1:11" x14ac:dyDescent="0.25">
      <c r="A35" s="200"/>
      <c r="B35" s="178" t="s">
        <v>52</v>
      </c>
      <c r="C35" s="27" t="s">
        <v>62</v>
      </c>
      <c r="D35" s="101">
        <f>E12+E19+E27</f>
        <v>715</v>
      </c>
      <c r="E35" s="179">
        <f>AVERAGE(D35:D36)</f>
        <v>710.5</v>
      </c>
      <c r="F35" s="47"/>
      <c r="G35" s="188">
        <f>(E35-E27)*G4</f>
        <v>29.025000000000002</v>
      </c>
      <c r="H35" s="188">
        <f>(E35-E27)*H4</f>
        <v>116.10000000000001</v>
      </c>
      <c r="I35" s="47"/>
      <c r="J35" s="188">
        <f>(E35-E27)*J4+E27</f>
        <v>681.47500000000002</v>
      </c>
      <c r="K35" s="188">
        <f>(E35-E27)*K4+E27</f>
        <v>594.40000000000009</v>
      </c>
    </row>
    <row r="36" spans="1:11" x14ac:dyDescent="0.25">
      <c r="A36" s="200"/>
      <c r="B36" s="178"/>
      <c r="C36" s="27" t="s">
        <v>64</v>
      </c>
      <c r="D36" s="101">
        <f>E16+E19+E27</f>
        <v>706</v>
      </c>
      <c r="E36" s="179"/>
      <c r="F36" s="47"/>
      <c r="G36" s="188"/>
      <c r="H36" s="188"/>
      <c r="I36" s="47"/>
      <c r="J36" s="188"/>
      <c r="K36" s="188"/>
    </row>
    <row r="37" spans="1:11" x14ac:dyDescent="0.25">
      <c r="A37" s="200"/>
      <c r="B37" s="36"/>
      <c r="D37" s="106"/>
      <c r="E37" s="36"/>
      <c r="F37" s="47"/>
      <c r="I37" s="47"/>
    </row>
    <row r="38" spans="1:11" x14ac:dyDescent="0.25">
      <c r="A38" s="200"/>
      <c r="B38" s="183" t="s">
        <v>50</v>
      </c>
      <c r="C38" s="27" t="s">
        <v>63</v>
      </c>
      <c r="D38" s="101">
        <f>E12+E23+E27</f>
        <v>777</v>
      </c>
      <c r="E38" s="179">
        <f>AVERAGE(D38:D39)</f>
        <v>772.5</v>
      </c>
      <c r="F38" s="47"/>
      <c r="G38" s="188">
        <f>(E38-E27)*G4</f>
        <v>32.125</v>
      </c>
      <c r="H38" s="188">
        <f>(E38-E27)*H4</f>
        <v>128.5</v>
      </c>
      <c r="I38" s="47"/>
      <c r="J38" s="188">
        <f>(E38-E27)*J4+E27</f>
        <v>740.375</v>
      </c>
      <c r="K38" s="188">
        <f>(E38-E27)*K4+E27</f>
        <v>644</v>
      </c>
    </row>
    <row r="39" spans="1:11" x14ac:dyDescent="0.25">
      <c r="A39" s="201"/>
      <c r="B39" s="184"/>
      <c r="C39" s="27" t="s">
        <v>65</v>
      </c>
      <c r="D39" s="101">
        <f>E16+E23+E27</f>
        <v>768</v>
      </c>
      <c r="E39" s="179"/>
      <c r="F39" s="47"/>
      <c r="G39" s="188"/>
      <c r="H39" s="188"/>
      <c r="I39" s="47"/>
      <c r="J39" s="188"/>
      <c r="K39" s="188"/>
    </row>
    <row r="40" spans="1:11" x14ac:dyDescent="0.25">
      <c r="A40" s="48"/>
      <c r="B40" s="49"/>
      <c r="C40" s="50"/>
      <c r="D40" s="51"/>
      <c r="E40" s="49"/>
      <c r="F40" s="47"/>
      <c r="G40" s="51"/>
      <c r="H40" s="51"/>
      <c r="I40" s="47"/>
      <c r="J40" s="47"/>
      <c r="K40" s="47"/>
    </row>
    <row r="41" spans="1:11" x14ac:dyDescent="0.25">
      <c r="F41" s="47"/>
      <c r="G41" s="185" t="s">
        <v>75</v>
      </c>
      <c r="H41" s="185"/>
      <c r="I41" s="47"/>
      <c r="J41" s="185" t="s">
        <v>76</v>
      </c>
      <c r="K41" s="185"/>
    </row>
    <row r="42" spans="1:11" ht="13.5" customHeight="1" x14ac:dyDescent="0.25">
      <c r="F42" s="47"/>
      <c r="G42" s="103" t="s">
        <v>67</v>
      </c>
      <c r="H42" s="103" t="s">
        <v>47</v>
      </c>
      <c r="I42" s="47"/>
      <c r="J42" s="103" t="s">
        <v>67</v>
      </c>
      <c r="K42" s="103" t="s">
        <v>47</v>
      </c>
    </row>
    <row r="43" spans="1:11" ht="21" customHeight="1" x14ac:dyDescent="0.25">
      <c r="A43" s="198" t="s">
        <v>66</v>
      </c>
      <c r="B43" s="101" t="s">
        <v>48</v>
      </c>
      <c r="C43" s="186" t="s">
        <v>68</v>
      </c>
      <c r="D43" s="187"/>
      <c r="E43" s="101">
        <f>AVERAGE(E29,E35)</f>
        <v>750.5</v>
      </c>
      <c r="F43" s="47"/>
      <c r="G43" s="101">
        <f>(E43-E27)*G4</f>
        <v>31.025000000000002</v>
      </c>
      <c r="H43" s="101">
        <f>(E43-E27)*H4</f>
        <v>124.10000000000001</v>
      </c>
      <c r="I43" s="47"/>
      <c r="J43" s="101">
        <f>E43-G43</f>
        <v>719.47500000000002</v>
      </c>
      <c r="K43" s="101">
        <f>E43-H43</f>
        <v>626.4</v>
      </c>
    </row>
    <row r="44" spans="1:11" ht="29.25" customHeight="1" x14ac:dyDescent="0.25">
      <c r="A44" s="198"/>
      <c r="B44" s="101" t="s">
        <v>49</v>
      </c>
      <c r="C44" s="186" t="s">
        <v>69</v>
      </c>
      <c r="D44" s="187"/>
      <c r="E44" s="101">
        <f>AVERAGE(E32,E38)</f>
        <v>812.5</v>
      </c>
      <c r="F44" s="47"/>
      <c r="G44" s="101">
        <f>(E44-E27)*G4</f>
        <v>34.125</v>
      </c>
      <c r="H44" s="101">
        <f>(E44-E27)*H4</f>
        <v>136.5</v>
      </c>
      <c r="I44" s="47"/>
      <c r="J44" s="101">
        <f>E44-G44</f>
        <v>778.375</v>
      </c>
      <c r="K44" s="101">
        <f>E44-H44</f>
        <v>676</v>
      </c>
    </row>
    <row r="45" spans="1:11" x14ac:dyDescent="0.25">
      <c r="A45" s="48"/>
      <c r="B45" s="49"/>
      <c r="C45" s="50"/>
      <c r="D45" s="51"/>
      <c r="E45" s="49"/>
      <c r="F45" s="47"/>
      <c r="G45" s="51"/>
      <c r="H45" s="51"/>
      <c r="I45" s="47"/>
      <c r="J45" s="47"/>
      <c r="K45" s="47"/>
    </row>
    <row r="46" spans="1:11" x14ac:dyDescent="0.25">
      <c r="A46" s="192" t="s">
        <v>77</v>
      </c>
      <c r="B46" s="27"/>
      <c r="C46" s="42" t="s">
        <v>79</v>
      </c>
      <c r="D46" s="52" t="s">
        <v>67</v>
      </c>
      <c r="E46" s="42" t="s">
        <v>47</v>
      </c>
    </row>
    <row r="47" spans="1:11" ht="23.25" x14ac:dyDescent="0.25">
      <c r="A47" s="193"/>
      <c r="B47" s="53" t="s">
        <v>70</v>
      </c>
      <c r="C47" s="101">
        <v>25000</v>
      </c>
      <c r="D47" s="101">
        <f>C47*10%</f>
        <v>2500</v>
      </c>
      <c r="E47" s="101">
        <f>C47*90%</f>
        <v>22500</v>
      </c>
    </row>
    <row r="48" spans="1:11" ht="21" customHeight="1" x14ac:dyDescent="0.25">
      <c r="A48" s="193"/>
      <c r="B48" s="53" t="s">
        <v>68</v>
      </c>
      <c r="C48" s="101">
        <f>C47*90%</f>
        <v>22500</v>
      </c>
      <c r="D48" s="101">
        <f>D47*90%</f>
        <v>2250</v>
      </c>
      <c r="E48" s="101">
        <f>E47*90%</f>
        <v>20250</v>
      </c>
    </row>
    <row r="49" spans="1:5" ht="34.5" x14ac:dyDescent="0.25">
      <c r="A49" s="194"/>
      <c r="B49" s="53" t="s">
        <v>69</v>
      </c>
      <c r="C49" s="101">
        <f>C47*10%</f>
        <v>2500</v>
      </c>
      <c r="D49" s="101">
        <f>D47*10%</f>
        <v>250</v>
      </c>
      <c r="E49" s="101">
        <f>E47*10%</f>
        <v>2250</v>
      </c>
    </row>
    <row r="50" spans="1:5" x14ac:dyDescent="0.25">
      <c r="A50" s="47"/>
      <c r="B50" s="47"/>
      <c r="C50" s="47"/>
      <c r="D50" s="47"/>
      <c r="E50" s="47"/>
    </row>
    <row r="51" spans="1:5" x14ac:dyDescent="0.25">
      <c r="A51" s="177" t="s">
        <v>78</v>
      </c>
      <c r="C51" s="42" t="s">
        <v>109</v>
      </c>
      <c r="D51" s="52" t="s">
        <v>67</v>
      </c>
      <c r="E51" s="42" t="s">
        <v>47</v>
      </c>
    </row>
    <row r="52" spans="1:5" ht="34.5" x14ac:dyDescent="0.25">
      <c r="A52" s="177"/>
      <c r="B52" s="74" t="s">
        <v>68</v>
      </c>
      <c r="C52" s="43">
        <f>D52+E52</f>
        <v>2582831.25</v>
      </c>
      <c r="D52" s="44">
        <f>D48*G43</f>
        <v>69806.25</v>
      </c>
      <c r="E52" s="44">
        <f>E48*H43</f>
        <v>2513025</v>
      </c>
    </row>
    <row r="53" spans="1:5" ht="34.5" x14ac:dyDescent="0.25">
      <c r="A53" s="177"/>
      <c r="B53" s="74" t="s">
        <v>69</v>
      </c>
      <c r="C53" s="43">
        <f>D53+E53</f>
        <v>315656.25</v>
      </c>
      <c r="D53" s="44">
        <f>D49*G44</f>
        <v>8531.25</v>
      </c>
      <c r="E53" s="44">
        <f>E49*H44</f>
        <v>307125</v>
      </c>
    </row>
    <row r="54" spans="1:5" x14ac:dyDescent="0.25">
      <c r="A54" s="177"/>
      <c r="B54" s="75" t="s">
        <v>71</v>
      </c>
      <c r="C54" s="54">
        <f>C52+C53</f>
        <v>2898487.5</v>
      </c>
      <c r="D54" s="43">
        <f>D52+D53</f>
        <v>78337.5</v>
      </c>
      <c r="E54" s="43">
        <f>E52+E53</f>
        <v>2820150</v>
      </c>
    </row>
    <row r="55" spans="1:5" x14ac:dyDescent="0.25">
      <c r="A55" s="47"/>
      <c r="B55" s="47"/>
      <c r="C55" s="47"/>
      <c r="D55" s="47"/>
      <c r="E55" s="47"/>
    </row>
    <row r="56" spans="1:5" x14ac:dyDescent="0.25">
      <c r="A56" s="177" t="s">
        <v>80</v>
      </c>
      <c r="C56" s="42" t="s">
        <v>109</v>
      </c>
      <c r="D56" s="52" t="s">
        <v>67</v>
      </c>
      <c r="E56" s="42" t="s">
        <v>47</v>
      </c>
    </row>
    <row r="57" spans="1:5" ht="34.5" x14ac:dyDescent="0.25">
      <c r="A57" s="177"/>
      <c r="B57" s="74" t="s">
        <v>68</v>
      </c>
      <c r="C57" s="43">
        <f>D57+E57</f>
        <v>14303418.75</v>
      </c>
      <c r="D57" s="44">
        <f>D48*J43</f>
        <v>1618818.75</v>
      </c>
      <c r="E57" s="44">
        <f>E48*K43</f>
        <v>12684600</v>
      </c>
    </row>
    <row r="58" spans="1:5" ht="34.5" x14ac:dyDescent="0.25">
      <c r="A58" s="177"/>
      <c r="B58" s="74" t="s">
        <v>69</v>
      </c>
      <c r="C58" s="43">
        <f>D58+E58</f>
        <v>1715593.75</v>
      </c>
      <c r="D58" s="44">
        <f>D49*J44</f>
        <v>194593.75</v>
      </c>
      <c r="E58" s="44">
        <f>E49*K44</f>
        <v>1521000</v>
      </c>
    </row>
    <row r="59" spans="1:5" ht="23.25" x14ac:dyDescent="0.25">
      <c r="A59" s="177"/>
      <c r="B59" s="75" t="s">
        <v>99</v>
      </c>
      <c r="C59" s="54">
        <f>C57+C58</f>
        <v>16019012.5</v>
      </c>
      <c r="D59" s="43">
        <f>D57+D58</f>
        <v>1813412.5</v>
      </c>
      <c r="E59" s="43">
        <f>E57+E58</f>
        <v>14205600</v>
      </c>
    </row>
    <row r="60" spans="1:5" x14ac:dyDescent="0.25">
      <c r="A60" s="177"/>
      <c r="B60" s="75"/>
      <c r="C60" s="54"/>
      <c r="D60" s="43"/>
      <c r="E60" s="43"/>
    </row>
    <row r="61" spans="1:5" ht="23.25" x14ac:dyDescent="0.25">
      <c r="A61" s="177"/>
      <c r="B61" s="75" t="s">
        <v>100</v>
      </c>
      <c r="C61" s="54">
        <f>C47*50</f>
        <v>1250000</v>
      </c>
      <c r="D61" s="43"/>
      <c r="E61" s="43"/>
    </row>
    <row r="62" spans="1:5" ht="15.75" x14ac:dyDescent="0.25">
      <c r="A62" s="177"/>
      <c r="B62" s="75" t="s">
        <v>71</v>
      </c>
      <c r="C62" s="86">
        <f>C59+C61+E65</f>
        <v>17689012.5</v>
      </c>
      <c r="D62" s="43"/>
      <c r="E62" s="43"/>
    </row>
    <row r="63" spans="1:5" x14ac:dyDescent="0.25">
      <c r="A63" s="47"/>
      <c r="B63" s="47"/>
      <c r="C63" s="47"/>
      <c r="D63" s="47"/>
      <c r="E63" s="47"/>
    </row>
    <row r="65" spans="2:5" ht="23.25" x14ac:dyDescent="0.25">
      <c r="B65" s="73" t="s">
        <v>138</v>
      </c>
      <c r="C65">
        <f>32000-25000</f>
        <v>7000</v>
      </c>
      <c r="D65">
        <v>60</v>
      </c>
      <c r="E65">
        <f>C65*D65</f>
        <v>420000</v>
      </c>
    </row>
    <row r="67" spans="2:5" ht="18.75" x14ac:dyDescent="0.3">
      <c r="B67" s="55" t="s">
        <v>81</v>
      </c>
      <c r="C67" s="56">
        <f>C54+C62</f>
        <v>20587500</v>
      </c>
    </row>
  </sheetData>
  <mergeCells count="75">
    <mergeCell ref="A51:A54"/>
    <mergeCell ref="A56:A62"/>
    <mergeCell ref="G41:H41"/>
    <mergeCell ref="J41:K41"/>
    <mergeCell ref="A43:A44"/>
    <mergeCell ref="C43:D43"/>
    <mergeCell ref="C44:D44"/>
    <mergeCell ref="A46:A49"/>
    <mergeCell ref="J35:J36"/>
    <mergeCell ref="K35:K36"/>
    <mergeCell ref="B38:B39"/>
    <mergeCell ref="E38:E39"/>
    <mergeCell ref="G38:G39"/>
    <mergeCell ref="H38:H39"/>
    <mergeCell ref="J38:J39"/>
    <mergeCell ref="K38:K39"/>
    <mergeCell ref="K29:K30"/>
    <mergeCell ref="B32:B33"/>
    <mergeCell ref="E32:E33"/>
    <mergeCell ref="G32:G33"/>
    <mergeCell ref="H32:H33"/>
    <mergeCell ref="J32:J33"/>
    <mergeCell ref="K32:K33"/>
    <mergeCell ref="J29:J30"/>
    <mergeCell ref="A29:A39"/>
    <mergeCell ref="B29:B30"/>
    <mergeCell ref="E29:E30"/>
    <mergeCell ref="G29:G30"/>
    <mergeCell ref="H29:H30"/>
    <mergeCell ref="B35:B36"/>
    <mergeCell ref="E35:E36"/>
    <mergeCell ref="G35:G36"/>
    <mergeCell ref="H35:H36"/>
    <mergeCell ref="K19:K21"/>
    <mergeCell ref="B23:B25"/>
    <mergeCell ref="E23:E25"/>
    <mergeCell ref="G23:G25"/>
    <mergeCell ref="H23:H25"/>
    <mergeCell ref="J23:J25"/>
    <mergeCell ref="K23:K25"/>
    <mergeCell ref="J19:J21"/>
    <mergeCell ref="A19:A27"/>
    <mergeCell ref="B19:B21"/>
    <mergeCell ref="E19:E21"/>
    <mergeCell ref="G19:G21"/>
    <mergeCell ref="H19:H21"/>
    <mergeCell ref="K9:K10"/>
    <mergeCell ref="K16:K17"/>
    <mergeCell ref="B12:B14"/>
    <mergeCell ref="E12:E14"/>
    <mergeCell ref="G12:G14"/>
    <mergeCell ref="H12:H14"/>
    <mergeCell ref="J12:J14"/>
    <mergeCell ref="K12:K14"/>
    <mergeCell ref="B16:B17"/>
    <mergeCell ref="E16:E17"/>
    <mergeCell ref="G16:G17"/>
    <mergeCell ref="H16:H17"/>
    <mergeCell ref="J16:J17"/>
    <mergeCell ref="A1:K1"/>
    <mergeCell ref="G2:H2"/>
    <mergeCell ref="J2:K2"/>
    <mergeCell ref="D4:E4"/>
    <mergeCell ref="A5:A17"/>
    <mergeCell ref="B5:B7"/>
    <mergeCell ref="E5:E7"/>
    <mergeCell ref="G5:G7"/>
    <mergeCell ref="H5:H7"/>
    <mergeCell ref="J5:J7"/>
    <mergeCell ref="K5:K7"/>
    <mergeCell ref="B9:B10"/>
    <mergeCell ref="E9:E10"/>
    <mergeCell ref="G9:G10"/>
    <mergeCell ref="H9:H10"/>
    <mergeCell ref="J9:J10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opLeftCell="A55" workbookViewId="0">
      <selection activeCell="C62" sqref="C62"/>
    </sheetView>
  </sheetViews>
  <sheetFormatPr defaultRowHeight="15" x14ac:dyDescent="0.25"/>
  <cols>
    <col min="2" max="2" width="18.5703125" bestFit="1" customWidth="1"/>
    <col min="3" max="3" width="42.5703125" bestFit="1" customWidth="1"/>
    <col min="4" max="4" width="17.42578125" customWidth="1"/>
    <col min="5" max="5" width="18.140625" customWidth="1"/>
    <col min="6" max="6" width="4" customWidth="1"/>
    <col min="7" max="7" width="14.5703125" bestFit="1" customWidth="1"/>
    <col min="8" max="8" width="10.42578125" customWidth="1"/>
    <col min="9" max="9" width="4" customWidth="1"/>
    <col min="10" max="10" width="14.5703125" bestFit="1" customWidth="1"/>
    <col min="11" max="11" width="10" customWidth="1"/>
    <col min="12" max="12" width="17" customWidth="1"/>
    <col min="13" max="13" width="15.5703125" customWidth="1"/>
  </cols>
  <sheetData>
    <row r="1" spans="1:11" x14ac:dyDescent="0.25">
      <c r="A1" s="202" t="s">
        <v>82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x14ac:dyDescent="0.25">
      <c r="F2" s="47"/>
      <c r="G2" s="189" t="s">
        <v>73</v>
      </c>
      <c r="H2" s="189"/>
      <c r="I2" s="47"/>
      <c r="J2" s="189" t="s">
        <v>72</v>
      </c>
      <c r="K2" s="189"/>
    </row>
    <row r="3" spans="1:11" x14ac:dyDescent="0.25">
      <c r="F3" s="47"/>
      <c r="G3" s="45" t="s">
        <v>67</v>
      </c>
      <c r="H3" s="45" t="s">
        <v>47</v>
      </c>
      <c r="I3" s="47"/>
      <c r="J3" s="45" t="s">
        <v>67</v>
      </c>
      <c r="K3" s="45" t="s">
        <v>47</v>
      </c>
    </row>
    <row r="4" spans="1:11" ht="34.5" customHeight="1" x14ac:dyDescent="0.25">
      <c r="D4" s="190" t="s">
        <v>74</v>
      </c>
      <c r="E4" s="191"/>
      <c r="F4" s="47"/>
      <c r="G4" s="46">
        <v>0</v>
      </c>
      <c r="H4" s="46">
        <v>0</v>
      </c>
      <c r="I4" s="47"/>
      <c r="J4" s="46">
        <v>1</v>
      </c>
      <c r="K4" s="46">
        <v>1</v>
      </c>
    </row>
    <row r="5" spans="1:11" x14ac:dyDescent="0.25">
      <c r="A5" s="177" t="s">
        <v>51</v>
      </c>
      <c r="B5" s="178" t="s">
        <v>43</v>
      </c>
      <c r="C5" s="27" t="s">
        <v>39</v>
      </c>
      <c r="D5" s="89">
        <v>60</v>
      </c>
      <c r="E5" s="179">
        <f>D5+D6+D7</f>
        <v>438</v>
      </c>
      <c r="F5" s="47"/>
      <c r="G5" s="188">
        <f>E5*$G$4</f>
        <v>0</v>
      </c>
      <c r="H5" s="188">
        <f>E5*H4</f>
        <v>0</v>
      </c>
      <c r="I5" s="47"/>
      <c r="J5" s="188">
        <f>E5*J4</f>
        <v>438</v>
      </c>
      <c r="K5" s="188">
        <f>E5*K4</f>
        <v>438</v>
      </c>
    </row>
    <row r="6" spans="1:11" x14ac:dyDescent="0.25">
      <c r="A6" s="177"/>
      <c r="B6" s="178"/>
      <c r="C6" s="27" t="s">
        <v>40</v>
      </c>
      <c r="D6" s="89">
        <f>'მკურნალობაში ჩართვის ჯგუფები'!E6</f>
        <v>369</v>
      </c>
      <c r="E6" s="179"/>
      <c r="F6" s="47"/>
      <c r="G6" s="188"/>
      <c r="H6" s="188"/>
      <c r="I6" s="47"/>
      <c r="J6" s="188"/>
      <c r="K6" s="188"/>
    </row>
    <row r="7" spans="1:11" x14ac:dyDescent="0.25">
      <c r="A7" s="177"/>
      <c r="B7" s="178"/>
      <c r="C7" s="27" t="s">
        <v>42</v>
      </c>
      <c r="D7" s="89">
        <f>'მკურნალობაში ჩართვის ჯგუფები'!E8</f>
        <v>9</v>
      </c>
      <c r="E7" s="179"/>
      <c r="F7" s="47"/>
      <c r="G7" s="188"/>
      <c r="H7" s="188"/>
      <c r="I7" s="47"/>
      <c r="J7" s="188"/>
      <c r="K7" s="188"/>
    </row>
    <row r="8" spans="1:11" x14ac:dyDescent="0.25">
      <c r="A8" s="177"/>
      <c r="D8" s="35"/>
      <c r="E8" s="36"/>
      <c r="F8" s="47"/>
      <c r="I8" s="47"/>
    </row>
    <row r="9" spans="1:11" x14ac:dyDescent="0.25">
      <c r="A9" s="177"/>
      <c r="B9" s="178" t="s">
        <v>44</v>
      </c>
      <c r="C9" s="27" t="s">
        <v>39</v>
      </c>
      <c r="D9" s="89">
        <v>60</v>
      </c>
      <c r="E9" s="179">
        <f>D9+D10</f>
        <v>429</v>
      </c>
      <c r="F9" s="47"/>
      <c r="G9" s="188">
        <f>E9*G4</f>
        <v>0</v>
      </c>
      <c r="H9" s="188">
        <f>E9*H4</f>
        <v>0</v>
      </c>
      <c r="I9" s="47"/>
      <c r="J9" s="188">
        <f>E9*J4</f>
        <v>429</v>
      </c>
      <c r="K9" s="188">
        <f>E9*K4</f>
        <v>429</v>
      </c>
    </row>
    <row r="10" spans="1:11" x14ac:dyDescent="0.25">
      <c r="A10" s="177"/>
      <c r="B10" s="178"/>
      <c r="C10" s="27" t="s">
        <v>40</v>
      </c>
      <c r="D10" s="89">
        <f>'მკურნალობაში ჩართვის ჯგუფები'!E6</f>
        <v>369</v>
      </c>
      <c r="E10" s="179"/>
      <c r="F10" s="47"/>
      <c r="G10" s="188"/>
      <c r="H10" s="188"/>
      <c r="I10" s="47"/>
      <c r="J10" s="188"/>
      <c r="K10" s="188"/>
    </row>
    <row r="11" spans="1:11" x14ac:dyDescent="0.25">
      <c r="A11" s="177"/>
      <c r="D11" s="35"/>
      <c r="E11" s="36"/>
      <c r="F11" s="47"/>
      <c r="I11" s="47"/>
    </row>
    <row r="12" spans="1:11" x14ac:dyDescent="0.25">
      <c r="A12" s="177"/>
      <c r="B12" s="178" t="s">
        <v>45</v>
      </c>
      <c r="C12" s="27" t="s">
        <v>39</v>
      </c>
      <c r="D12" s="89">
        <v>60</v>
      </c>
      <c r="E12" s="179">
        <f>D12+D13+D14</f>
        <v>358</v>
      </c>
      <c r="F12" s="47"/>
      <c r="G12" s="188">
        <f>E12*G4</f>
        <v>0</v>
      </c>
      <c r="H12" s="188">
        <f>E12*H4</f>
        <v>0</v>
      </c>
      <c r="I12" s="47"/>
      <c r="J12" s="188">
        <f>E12*J4</f>
        <v>358</v>
      </c>
      <c r="K12" s="188">
        <f>E12*K4</f>
        <v>358</v>
      </c>
    </row>
    <row r="13" spans="1:11" x14ac:dyDescent="0.25">
      <c r="A13" s="177"/>
      <c r="B13" s="178"/>
      <c r="C13" s="27" t="s">
        <v>41</v>
      </c>
      <c r="D13" s="89">
        <f>'მკურნალობაში ჩართვის ჯგუფები'!E7</f>
        <v>289</v>
      </c>
      <c r="E13" s="179"/>
      <c r="F13" s="47"/>
      <c r="G13" s="188"/>
      <c r="H13" s="188"/>
      <c r="I13" s="47"/>
      <c r="J13" s="188"/>
      <c r="K13" s="188"/>
    </row>
    <row r="14" spans="1:11" x14ac:dyDescent="0.25">
      <c r="A14" s="177"/>
      <c r="B14" s="178"/>
      <c r="C14" s="27" t="s">
        <v>42</v>
      </c>
      <c r="D14" s="89">
        <f>'მკურნალობაში ჩართვის ჯგუფები'!E8</f>
        <v>9</v>
      </c>
      <c r="E14" s="179"/>
      <c r="F14" s="47"/>
      <c r="G14" s="188"/>
      <c r="H14" s="188"/>
      <c r="I14" s="47"/>
      <c r="J14" s="188"/>
      <c r="K14" s="188"/>
    </row>
    <row r="15" spans="1:11" x14ac:dyDescent="0.25">
      <c r="A15" s="177"/>
      <c r="D15" s="35"/>
      <c r="E15" s="36"/>
      <c r="F15" s="47"/>
      <c r="I15" s="47"/>
    </row>
    <row r="16" spans="1:11" x14ac:dyDescent="0.25">
      <c r="A16" s="177"/>
      <c r="B16" s="178" t="s">
        <v>46</v>
      </c>
      <c r="C16" s="27" t="s">
        <v>39</v>
      </c>
      <c r="D16" s="89">
        <v>60</v>
      </c>
      <c r="E16" s="179">
        <f>D16+D17</f>
        <v>349</v>
      </c>
      <c r="F16" s="47"/>
      <c r="G16" s="188">
        <f>E16*G4</f>
        <v>0</v>
      </c>
      <c r="H16" s="188">
        <f>E16*H4</f>
        <v>0</v>
      </c>
      <c r="I16" s="47"/>
      <c r="J16" s="188">
        <f>E16*J4</f>
        <v>349</v>
      </c>
      <c r="K16" s="188">
        <f>E16*K4</f>
        <v>349</v>
      </c>
    </row>
    <row r="17" spans="1:11" x14ac:dyDescent="0.25">
      <c r="A17" s="177"/>
      <c r="B17" s="178"/>
      <c r="C17" s="27" t="s">
        <v>41</v>
      </c>
      <c r="D17" s="89">
        <f>'მკურნალობაში ჩართვის ჯგუფები'!E7</f>
        <v>289</v>
      </c>
      <c r="E17" s="179"/>
      <c r="F17" s="47"/>
      <c r="G17" s="188"/>
      <c r="H17" s="188"/>
      <c r="I17" s="47"/>
      <c r="J17" s="188"/>
      <c r="K17" s="188"/>
    </row>
    <row r="18" spans="1:11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</row>
    <row r="19" spans="1:11" x14ac:dyDescent="0.25">
      <c r="A19" s="177" t="s">
        <v>54</v>
      </c>
      <c r="B19" s="178" t="s">
        <v>55</v>
      </c>
      <c r="C19" s="29" t="s">
        <v>33</v>
      </c>
      <c r="D19" s="89">
        <f>'მონიტორინგის კვლევების ჯგუფები'!E5</f>
        <v>236</v>
      </c>
      <c r="E19" s="179">
        <f>AVERAGE(D19:D21)</f>
        <v>227</v>
      </c>
      <c r="F19" s="47"/>
      <c r="G19" s="195">
        <f>E19*G4</f>
        <v>0</v>
      </c>
      <c r="H19" s="195">
        <f>E19*H4</f>
        <v>0</v>
      </c>
      <c r="I19" s="47"/>
      <c r="J19" s="195">
        <f>E19*J4</f>
        <v>227</v>
      </c>
      <c r="K19" s="195">
        <f>E19*K4</f>
        <v>227</v>
      </c>
    </row>
    <row r="20" spans="1:11" x14ac:dyDescent="0.25">
      <c r="A20" s="177"/>
      <c r="B20" s="178"/>
      <c r="C20" s="29" t="s">
        <v>31</v>
      </c>
      <c r="D20" s="89">
        <f>'მონიტორინგის კვლევების ჯგუფები'!E6</f>
        <v>227</v>
      </c>
      <c r="E20" s="179"/>
      <c r="F20" s="47"/>
      <c r="G20" s="196"/>
      <c r="H20" s="196"/>
      <c r="I20" s="47"/>
      <c r="J20" s="196"/>
      <c r="K20" s="196"/>
    </row>
    <row r="21" spans="1:11" x14ac:dyDescent="0.25">
      <c r="A21" s="177"/>
      <c r="B21" s="178"/>
      <c r="C21" s="37" t="s">
        <v>34</v>
      </c>
      <c r="D21" s="89">
        <f>'მონიტორინგის კვლევების ჯგუფები'!E7</f>
        <v>218</v>
      </c>
      <c r="E21" s="179"/>
      <c r="F21" s="47"/>
      <c r="G21" s="197"/>
      <c r="H21" s="197"/>
      <c r="I21" s="47"/>
      <c r="J21" s="197"/>
      <c r="K21" s="197"/>
    </row>
    <row r="22" spans="1:11" x14ac:dyDescent="0.25">
      <c r="A22" s="177"/>
      <c r="E22" s="36"/>
      <c r="F22" s="47"/>
      <c r="I22" s="47"/>
    </row>
    <row r="23" spans="1:11" x14ac:dyDescent="0.25">
      <c r="A23" s="177"/>
      <c r="B23" s="178" t="s">
        <v>56</v>
      </c>
      <c r="C23" s="29" t="s">
        <v>35</v>
      </c>
      <c r="D23" s="89">
        <f>'მონიტორინგის კვლევების ჯგუფები'!E8</f>
        <v>304</v>
      </c>
      <c r="E23" s="180">
        <f>AVERAGE(D23:D25)</f>
        <v>289</v>
      </c>
      <c r="F23" s="47"/>
      <c r="G23" s="188">
        <f>E23*G4</f>
        <v>0</v>
      </c>
      <c r="H23" s="195">
        <f>E23*H4</f>
        <v>0</v>
      </c>
      <c r="I23" s="47"/>
      <c r="J23" s="188">
        <f>E23*J4</f>
        <v>289</v>
      </c>
      <c r="K23" s="195">
        <f>E23*K4</f>
        <v>289</v>
      </c>
    </row>
    <row r="24" spans="1:11" x14ac:dyDescent="0.25">
      <c r="A24" s="177"/>
      <c r="B24" s="178"/>
      <c r="C24" s="29" t="s">
        <v>32</v>
      </c>
      <c r="D24" s="89">
        <f>'მონიტორინგის კვლევების ჯგუფები'!E9</f>
        <v>286</v>
      </c>
      <c r="E24" s="181"/>
      <c r="F24" s="47"/>
      <c r="G24" s="188"/>
      <c r="H24" s="196"/>
      <c r="I24" s="47"/>
      <c r="J24" s="188"/>
      <c r="K24" s="196"/>
    </row>
    <row r="25" spans="1:11" x14ac:dyDescent="0.25">
      <c r="A25" s="177"/>
      <c r="B25" s="178"/>
      <c r="C25" s="37" t="s">
        <v>36</v>
      </c>
      <c r="D25" s="89">
        <f>'მონიტორინგის კვლევების ჯგუფები'!E10</f>
        <v>277</v>
      </c>
      <c r="E25" s="182"/>
      <c r="F25" s="47"/>
      <c r="G25" s="188"/>
      <c r="H25" s="197"/>
      <c r="I25" s="47"/>
      <c r="J25" s="188"/>
      <c r="K25" s="197"/>
    </row>
    <row r="26" spans="1:11" x14ac:dyDescent="0.25">
      <c r="A26" s="177"/>
      <c r="E26" s="36"/>
      <c r="F26" s="47"/>
      <c r="I26" s="47"/>
    </row>
    <row r="27" spans="1:11" x14ac:dyDescent="0.25">
      <c r="A27" s="177"/>
      <c r="B27" s="87" t="s">
        <v>57</v>
      </c>
      <c r="C27" s="27" t="s">
        <v>53</v>
      </c>
      <c r="D27" s="38">
        <f>'მონიტორინგის კვლევების ჯგუფები'!E11</f>
        <v>130</v>
      </c>
      <c r="E27" s="90">
        <v>130</v>
      </c>
      <c r="F27" s="47"/>
      <c r="G27" s="89">
        <v>0</v>
      </c>
      <c r="H27" s="89">
        <v>0</v>
      </c>
      <c r="I27" s="47"/>
      <c r="J27" s="89">
        <f>E27</f>
        <v>130</v>
      </c>
      <c r="K27" s="89">
        <f>E27</f>
        <v>130</v>
      </c>
    </row>
    <row r="28" spans="1:11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5">
      <c r="A29" s="199" t="s">
        <v>66</v>
      </c>
      <c r="B29" s="178" t="s">
        <v>48</v>
      </c>
      <c r="C29" s="27" t="s">
        <v>58</v>
      </c>
      <c r="D29" s="89">
        <f>E5+E19+E27</f>
        <v>795</v>
      </c>
      <c r="E29" s="179">
        <f>AVERAGE(D29:D30)</f>
        <v>790.5</v>
      </c>
      <c r="F29" s="47"/>
      <c r="G29" s="188">
        <f>(E29-E27)*G4</f>
        <v>0</v>
      </c>
      <c r="H29" s="188">
        <f>(E29-E27)*H4</f>
        <v>0</v>
      </c>
      <c r="I29" s="47"/>
      <c r="J29" s="188">
        <f>(E29-E27)*J4+E27</f>
        <v>790.5</v>
      </c>
      <c r="K29" s="188">
        <f>(E29-E27)*K4+E27</f>
        <v>790.5</v>
      </c>
    </row>
    <row r="30" spans="1:11" x14ac:dyDescent="0.25">
      <c r="A30" s="200"/>
      <c r="B30" s="178"/>
      <c r="C30" s="27" t="s">
        <v>60</v>
      </c>
      <c r="D30" s="89">
        <f>E9+E19+E27</f>
        <v>786</v>
      </c>
      <c r="E30" s="179"/>
      <c r="F30" s="47"/>
      <c r="G30" s="188"/>
      <c r="H30" s="188"/>
      <c r="I30" s="47"/>
      <c r="J30" s="188"/>
      <c r="K30" s="188"/>
    </row>
    <row r="31" spans="1:11" x14ac:dyDescent="0.25">
      <c r="A31" s="200"/>
      <c r="B31" s="36"/>
      <c r="D31" s="35"/>
      <c r="E31" s="36"/>
      <c r="F31" s="47"/>
      <c r="I31" s="47"/>
    </row>
    <row r="32" spans="1:11" x14ac:dyDescent="0.25">
      <c r="A32" s="200"/>
      <c r="B32" s="178" t="s">
        <v>49</v>
      </c>
      <c r="C32" s="27" t="s">
        <v>59</v>
      </c>
      <c r="D32" s="89">
        <f>E5+E23+E27</f>
        <v>857</v>
      </c>
      <c r="E32" s="179">
        <f>AVERAGE(D32:D33)</f>
        <v>852.5</v>
      </c>
      <c r="F32" s="47"/>
      <c r="G32" s="188">
        <f>(E32-E27)*G4</f>
        <v>0</v>
      </c>
      <c r="H32" s="188">
        <f>(E32-E27)*H4</f>
        <v>0</v>
      </c>
      <c r="I32" s="47"/>
      <c r="J32" s="188">
        <f>(E32-E27)*J4+E27</f>
        <v>852.5</v>
      </c>
      <c r="K32" s="188">
        <f>(E32-E27)*K4+E27</f>
        <v>852.5</v>
      </c>
    </row>
    <row r="33" spans="1:11" x14ac:dyDescent="0.25">
      <c r="A33" s="200"/>
      <c r="B33" s="178"/>
      <c r="C33" s="27" t="s">
        <v>61</v>
      </c>
      <c r="D33" s="89">
        <f>E9+E23+E27</f>
        <v>848</v>
      </c>
      <c r="E33" s="179"/>
      <c r="F33" s="47"/>
      <c r="G33" s="188"/>
      <c r="H33" s="188"/>
      <c r="I33" s="47"/>
      <c r="J33" s="188"/>
      <c r="K33" s="188"/>
    </row>
    <row r="34" spans="1:11" x14ac:dyDescent="0.25">
      <c r="A34" s="200"/>
      <c r="B34" s="36"/>
      <c r="D34" s="35"/>
      <c r="E34" s="36"/>
      <c r="F34" s="47"/>
      <c r="I34" s="47"/>
    </row>
    <row r="35" spans="1:11" x14ac:dyDescent="0.25">
      <c r="A35" s="200"/>
      <c r="B35" s="178" t="s">
        <v>52</v>
      </c>
      <c r="C35" s="27" t="s">
        <v>62</v>
      </c>
      <c r="D35" s="89">
        <f>E12+E19+E27</f>
        <v>715</v>
      </c>
      <c r="E35" s="179">
        <f>AVERAGE(D35:D36)</f>
        <v>710.5</v>
      </c>
      <c r="F35" s="47"/>
      <c r="G35" s="188">
        <f>(E35-E27)*G4</f>
        <v>0</v>
      </c>
      <c r="H35" s="188">
        <f>(E35-E27)*H4</f>
        <v>0</v>
      </c>
      <c r="I35" s="47"/>
      <c r="J35" s="188">
        <f>(E35-E27)*J4+E27</f>
        <v>710.5</v>
      </c>
      <c r="K35" s="188">
        <f>(E35-E27)*K4+E27</f>
        <v>710.5</v>
      </c>
    </row>
    <row r="36" spans="1:11" x14ac:dyDescent="0.25">
      <c r="A36" s="200"/>
      <c r="B36" s="178"/>
      <c r="C36" s="27" t="s">
        <v>64</v>
      </c>
      <c r="D36" s="89">
        <f>E16+E19+E27</f>
        <v>706</v>
      </c>
      <c r="E36" s="179"/>
      <c r="F36" s="47"/>
      <c r="G36" s="188"/>
      <c r="H36" s="188"/>
      <c r="I36" s="47"/>
      <c r="J36" s="188"/>
      <c r="K36" s="188"/>
    </row>
    <row r="37" spans="1:11" x14ac:dyDescent="0.25">
      <c r="A37" s="200"/>
      <c r="B37" s="36"/>
      <c r="D37" s="35"/>
      <c r="E37" s="36"/>
      <c r="F37" s="47"/>
      <c r="I37" s="47"/>
    </row>
    <row r="38" spans="1:11" x14ac:dyDescent="0.25">
      <c r="A38" s="200"/>
      <c r="B38" s="183" t="s">
        <v>50</v>
      </c>
      <c r="C38" s="27" t="s">
        <v>63</v>
      </c>
      <c r="D38" s="89">
        <f>E12+E23+E27</f>
        <v>777</v>
      </c>
      <c r="E38" s="179">
        <f>AVERAGE(D38:D39)</f>
        <v>772.5</v>
      </c>
      <c r="F38" s="47"/>
      <c r="G38" s="188">
        <f>(E38-E27)*G4</f>
        <v>0</v>
      </c>
      <c r="H38" s="188">
        <f>(E38-E27)*H4</f>
        <v>0</v>
      </c>
      <c r="I38" s="47"/>
      <c r="J38" s="188">
        <f>(E38-E27)*J4+E27</f>
        <v>772.5</v>
      </c>
      <c r="K38" s="188">
        <f>(E38-E27)*K4+E27</f>
        <v>772.5</v>
      </c>
    </row>
    <row r="39" spans="1:11" x14ac:dyDescent="0.25">
      <c r="A39" s="201"/>
      <c r="B39" s="184"/>
      <c r="C39" s="27" t="s">
        <v>65</v>
      </c>
      <c r="D39" s="89">
        <f>E16+E23+E27</f>
        <v>768</v>
      </c>
      <c r="E39" s="179"/>
      <c r="F39" s="47"/>
      <c r="G39" s="188"/>
      <c r="H39" s="188"/>
      <c r="I39" s="47"/>
      <c r="J39" s="188"/>
      <c r="K39" s="188"/>
    </row>
    <row r="40" spans="1:11" x14ac:dyDescent="0.25">
      <c r="A40" s="48"/>
      <c r="B40" s="49"/>
      <c r="C40" s="50"/>
      <c r="D40" s="51"/>
      <c r="E40" s="49"/>
      <c r="F40" s="47"/>
      <c r="G40" s="51"/>
      <c r="H40" s="51"/>
      <c r="I40" s="47"/>
      <c r="J40" s="47"/>
      <c r="K40" s="47"/>
    </row>
    <row r="41" spans="1:11" x14ac:dyDescent="0.25">
      <c r="F41" s="47"/>
      <c r="G41" s="185" t="s">
        <v>75</v>
      </c>
      <c r="H41" s="185"/>
      <c r="I41" s="47"/>
      <c r="J41" s="185" t="s">
        <v>76</v>
      </c>
      <c r="K41" s="185"/>
    </row>
    <row r="42" spans="1:11" ht="13.5" customHeight="1" x14ac:dyDescent="0.25">
      <c r="F42" s="47"/>
      <c r="G42" s="88" t="s">
        <v>67</v>
      </c>
      <c r="H42" s="88" t="s">
        <v>47</v>
      </c>
      <c r="I42" s="47"/>
      <c r="J42" s="88" t="s">
        <v>67</v>
      </c>
      <c r="K42" s="88" t="s">
        <v>47</v>
      </c>
    </row>
    <row r="43" spans="1:11" ht="21" customHeight="1" x14ac:dyDescent="0.25">
      <c r="A43" s="198" t="s">
        <v>66</v>
      </c>
      <c r="B43" s="89" t="s">
        <v>48</v>
      </c>
      <c r="C43" s="186" t="s">
        <v>68</v>
      </c>
      <c r="D43" s="187"/>
      <c r="E43" s="89">
        <f>AVERAGE(E29,E35)</f>
        <v>750.5</v>
      </c>
      <c r="F43" s="47"/>
      <c r="G43" s="89">
        <v>50</v>
      </c>
      <c r="H43" s="89">
        <v>100</v>
      </c>
      <c r="I43" s="47"/>
      <c r="J43" s="89">
        <f>E43-G43</f>
        <v>700.5</v>
      </c>
      <c r="K43" s="89">
        <f>E43-H43</f>
        <v>650.5</v>
      </c>
    </row>
    <row r="44" spans="1:11" ht="29.25" customHeight="1" x14ac:dyDescent="0.25">
      <c r="A44" s="198"/>
      <c r="B44" s="89" t="s">
        <v>49</v>
      </c>
      <c r="C44" s="186" t="s">
        <v>69</v>
      </c>
      <c r="D44" s="187"/>
      <c r="E44" s="89">
        <f>AVERAGE(E32,E38)</f>
        <v>812.5</v>
      </c>
      <c r="F44" s="47"/>
      <c r="G44" s="89">
        <v>100</v>
      </c>
      <c r="H44" s="89">
        <v>200</v>
      </c>
      <c r="I44" s="47"/>
      <c r="J44" s="89">
        <f>E44-G44</f>
        <v>712.5</v>
      </c>
      <c r="K44" s="89">
        <f>E44-H44</f>
        <v>612.5</v>
      </c>
    </row>
    <row r="45" spans="1:11" x14ac:dyDescent="0.25">
      <c r="A45" s="48"/>
      <c r="B45" s="49"/>
      <c r="C45" s="50"/>
      <c r="D45" s="51"/>
      <c r="E45" s="49"/>
      <c r="F45" s="47"/>
      <c r="G45" s="51"/>
      <c r="H45" s="51"/>
      <c r="I45" s="47"/>
      <c r="J45" s="47"/>
      <c r="K45" s="47"/>
    </row>
    <row r="46" spans="1:11" x14ac:dyDescent="0.25">
      <c r="A46" s="192" t="s">
        <v>77</v>
      </c>
      <c r="B46" s="27"/>
      <c r="C46" s="42" t="s">
        <v>79</v>
      </c>
      <c r="D46" s="52" t="s">
        <v>67</v>
      </c>
      <c r="E46" s="42" t="s">
        <v>47</v>
      </c>
    </row>
    <row r="47" spans="1:11" ht="23.25" x14ac:dyDescent="0.25">
      <c r="A47" s="193"/>
      <c r="B47" s="53" t="s">
        <v>70</v>
      </c>
      <c r="C47" s="89">
        <v>8000</v>
      </c>
      <c r="D47" s="89">
        <f>C47*10%</f>
        <v>800</v>
      </c>
      <c r="E47" s="89">
        <f>C47*90%</f>
        <v>7200</v>
      </c>
    </row>
    <row r="48" spans="1:11" ht="21" customHeight="1" x14ac:dyDescent="0.25">
      <c r="A48" s="193"/>
      <c r="B48" s="53" t="s">
        <v>68</v>
      </c>
      <c r="C48" s="89">
        <f>C47*90%</f>
        <v>7200</v>
      </c>
      <c r="D48" s="89">
        <f>D47*90%</f>
        <v>720</v>
      </c>
      <c r="E48" s="89">
        <f>E47*90%</f>
        <v>6480</v>
      </c>
    </row>
    <row r="49" spans="1:5" ht="34.5" x14ac:dyDescent="0.25">
      <c r="A49" s="194"/>
      <c r="B49" s="53" t="s">
        <v>69</v>
      </c>
      <c r="C49" s="89">
        <f>C47*10%</f>
        <v>800</v>
      </c>
      <c r="D49" s="89">
        <f>D47*10%</f>
        <v>80</v>
      </c>
      <c r="E49" s="89">
        <f>E47*10%</f>
        <v>720</v>
      </c>
    </row>
    <row r="50" spans="1:5" x14ac:dyDescent="0.25">
      <c r="A50" s="47"/>
      <c r="B50" s="47"/>
      <c r="C50" s="47"/>
      <c r="D50" s="47"/>
      <c r="E50" s="47"/>
    </row>
    <row r="51" spans="1:5" x14ac:dyDescent="0.25">
      <c r="A51" s="177" t="s">
        <v>78</v>
      </c>
      <c r="C51" s="42" t="s">
        <v>109</v>
      </c>
      <c r="D51" s="52" t="s">
        <v>67</v>
      </c>
      <c r="E51" s="42" t="s">
        <v>47</v>
      </c>
    </row>
    <row r="52" spans="1:5" ht="34.5" x14ac:dyDescent="0.25">
      <c r="A52" s="177"/>
      <c r="B52" s="74" t="s">
        <v>68</v>
      </c>
      <c r="C52" s="43">
        <f>D52+E52</f>
        <v>684000</v>
      </c>
      <c r="D52" s="44">
        <f>D48*G43</f>
        <v>36000</v>
      </c>
      <c r="E52" s="44">
        <f>E48*H43</f>
        <v>648000</v>
      </c>
    </row>
    <row r="53" spans="1:5" ht="34.5" x14ac:dyDescent="0.25">
      <c r="A53" s="177"/>
      <c r="B53" s="74" t="s">
        <v>69</v>
      </c>
      <c r="C53" s="43">
        <f>D53+E53</f>
        <v>152000</v>
      </c>
      <c r="D53" s="44">
        <f>D49*G44</f>
        <v>8000</v>
      </c>
      <c r="E53" s="44">
        <f>E49*H44</f>
        <v>144000</v>
      </c>
    </row>
    <row r="54" spans="1:5" x14ac:dyDescent="0.25">
      <c r="A54" s="177"/>
      <c r="B54" s="75" t="s">
        <v>71</v>
      </c>
      <c r="C54" s="54">
        <f>C52+C53</f>
        <v>836000</v>
      </c>
      <c r="D54" s="43">
        <f>D52+D53</f>
        <v>44000</v>
      </c>
      <c r="E54" s="43">
        <f>E52+E53</f>
        <v>792000</v>
      </c>
    </row>
    <row r="55" spans="1:5" x14ac:dyDescent="0.25">
      <c r="A55" s="47"/>
      <c r="B55" s="47"/>
      <c r="C55" s="47"/>
      <c r="D55" s="47"/>
      <c r="E55" s="47"/>
    </row>
    <row r="56" spans="1:5" x14ac:dyDescent="0.25">
      <c r="A56" s="177" t="s">
        <v>80</v>
      </c>
      <c r="C56" s="42" t="s">
        <v>109</v>
      </c>
      <c r="D56" s="52" t="s">
        <v>67</v>
      </c>
      <c r="E56" s="42" t="s">
        <v>47</v>
      </c>
    </row>
    <row r="57" spans="1:5" ht="34.5" x14ac:dyDescent="0.25">
      <c r="A57" s="177"/>
      <c r="B57" s="74" t="s">
        <v>68</v>
      </c>
      <c r="C57" s="43">
        <f>D57+E57</f>
        <v>4719600</v>
      </c>
      <c r="D57" s="44">
        <f>D48*J43</f>
        <v>504360</v>
      </c>
      <c r="E57" s="44">
        <f>E48*K43</f>
        <v>4215240</v>
      </c>
    </row>
    <row r="58" spans="1:5" ht="34.5" x14ac:dyDescent="0.25">
      <c r="A58" s="177"/>
      <c r="B58" s="74" t="s">
        <v>69</v>
      </c>
      <c r="C58" s="43">
        <f>D58+E58</f>
        <v>498000</v>
      </c>
      <c r="D58" s="44">
        <f>D49*J44</f>
        <v>57000</v>
      </c>
      <c r="E58" s="44">
        <f>E49*K44</f>
        <v>441000</v>
      </c>
    </row>
    <row r="59" spans="1:5" ht="23.25" x14ac:dyDescent="0.25">
      <c r="A59" s="177"/>
      <c r="B59" s="75" t="s">
        <v>99</v>
      </c>
      <c r="C59" s="54">
        <f>C57+C58</f>
        <v>5217600</v>
      </c>
      <c r="D59" s="43">
        <f>D57+D58</f>
        <v>561360</v>
      </c>
      <c r="E59" s="43">
        <f>E57+E58</f>
        <v>4656240</v>
      </c>
    </row>
    <row r="60" spans="1:5" x14ac:dyDescent="0.25">
      <c r="A60" s="177"/>
      <c r="B60" s="75"/>
      <c r="C60" s="54"/>
      <c r="D60" s="43"/>
      <c r="E60" s="43"/>
    </row>
    <row r="61" spans="1:5" ht="23.25" x14ac:dyDescent="0.25">
      <c r="A61" s="177"/>
      <c r="B61" s="75" t="s">
        <v>100</v>
      </c>
      <c r="C61" s="54">
        <f>C47*50</f>
        <v>400000</v>
      </c>
      <c r="D61" s="43"/>
      <c r="E61" s="43"/>
    </row>
    <row r="62" spans="1:5" ht="15.75" x14ac:dyDescent="0.25">
      <c r="A62" s="177"/>
      <c r="B62" s="75" t="s">
        <v>71</v>
      </c>
      <c r="C62" s="86">
        <f>C59+C61</f>
        <v>5617600</v>
      </c>
      <c r="D62" s="43"/>
      <c r="E62" s="43"/>
    </row>
    <row r="63" spans="1:5" x14ac:dyDescent="0.25">
      <c r="A63" s="47"/>
      <c r="B63" s="47"/>
      <c r="C63" s="47"/>
      <c r="D63" s="47"/>
      <c r="E63" s="47"/>
    </row>
    <row r="65" spans="2:5" ht="23.25" x14ac:dyDescent="0.25">
      <c r="B65" s="73" t="s">
        <v>138</v>
      </c>
      <c r="C65">
        <f>32000-25000</f>
        <v>7000</v>
      </c>
      <c r="D65">
        <v>60</v>
      </c>
      <c r="E65">
        <f>C65*D65</f>
        <v>420000</v>
      </c>
    </row>
    <row r="67" spans="2:5" ht="18.75" x14ac:dyDescent="0.3">
      <c r="B67" s="55" t="s">
        <v>81</v>
      </c>
      <c r="C67" s="56">
        <f>C54+C62</f>
        <v>6453600</v>
      </c>
    </row>
  </sheetData>
  <mergeCells count="75">
    <mergeCell ref="A1:K1"/>
    <mergeCell ref="G2:H2"/>
    <mergeCell ref="J2:K2"/>
    <mergeCell ref="D4:E4"/>
    <mergeCell ref="A5:A17"/>
    <mergeCell ref="B5:B7"/>
    <mergeCell ref="E5:E7"/>
    <mergeCell ref="G5:G7"/>
    <mergeCell ref="H5:H7"/>
    <mergeCell ref="J5:J7"/>
    <mergeCell ref="K5:K7"/>
    <mergeCell ref="B9:B10"/>
    <mergeCell ref="E9:E10"/>
    <mergeCell ref="G9:G10"/>
    <mergeCell ref="H9:H10"/>
    <mergeCell ref="J9:J10"/>
    <mergeCell ref="K9:K10"/>
    <mergeCell ref="K16:K17"/>
    <mergeCell ref="B12:B14"/>
    <mergeCell ref="E12:E14"/>
    <mergeCell ref="G12:G14"/>
    <mergeCell ref="H12:H14"/>
    <mergeCell ref="J12:J14"/>
    <mergeCell ref="K12:K14"/>
    <mergeCell ref="B16:B17"/>
    <mergeCell ref="E16:E17"/>
    <mergeCell ref="G16:G17"/>
    <mergeCell ref="H16:H17"/>
    <mergeCell ref="J16:J17"/>
    <mergeCell ref="A19:A27"/>
    <mergeCell ref="B19:B21"/>
    <mergeCell ref="E19:E21"/>
    <mergeCell ref="G19:G21"/>
    <mergeCell ref="H19:H21"/>
    <mergeCell ref="K19:K21"/>
    <mergeCell ref="B23:B25"/>
    <mergeCell ref="E23:E25"/>
    <mergeCell ref="G23:G25"/>
    <mergeCell ref="H23:H25"/>
    <mergeCell ref="J23:J25"/>
    <mergeCell ref="K23:K25"/>
    <mergeCell ref="J19:J21"/>
    <mergeCell ref="A29:A39"/>
    <mergeCell ref="B29:B30"/>
    <mergeCell ref="E29:E30"/>
    <mergeCell ref="G29:G30"/>
    <mergeCell ref="H29:H30"/>
    <mergeCell ref="B35:B36"/>
    <mergeCell ref="E35:E36"/>
    <mergeCell ref="G35:G36"/>
    <mergeCell ref="H35:H36"/>
    <mergeCell ref="K29:K30"/>
    <mergeCell ref="B32:B33"/>
    <mergeCell ref="E32:E33"/>
    <mergeCell ref="G32:G33"/>
    <mergeCell ref="H32:H33"/>
    <mergeCell ref="J32:J33"/>
    <mergeCell ref="K32:K33"/>
    <mergeCell ref="J29:J30"/>
    <mergeCell ref="J35:J36"/>
    <mergeCell ref="K35:K36"/>
    <mergeCell ref="B38:B39"/>
    <mergeCell ref="E38:E39"/>
    <mergeCell ref="G38:G39"/>
    <mergeCell ref="H38:H39"/>
    <mergeCell ref="J38:J39"/>
    <mergeCell ref="K38:K39"/>
    <mergeCell ref="A51:A54"/>
    <mergeCell ref="A56:A62"/>
    <mergeCell ref="G41:H41"/>
    <mergeCell ref="J41:K41"/>
    <mergeCell ref="A43:A44"/>
    <mergeCell ref="C43:D43"/>
    <mergeCell ref="C44:D44"/>
    <mergeCell ref="A46:A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opLeftCell="A52" workbookViewId="0">
      <selection activeCell="C48" sqref="C48"/>
    </sheetView>
  </sheetViews>
  <sheetFormatPr defaultRowHeight="15" x14ac:dyDescent="0.25"/>
  <cols>
    <col min="2" max="2" width="18.5703125" bestFit="1" customWidth="1"/>
    <col min="3" max="3" width="42.5703125" bestFit="1" customWidth="1"/>
    <col min="4" max="4" width="17.42578125" customWidth="1"/>
    <col min="5" max="5" width="18.140625" customWidth="1"/>
    <col min="6" max="6" width="4" customWidth="1"/>
    <col min="7" max="7" width="14.5703125" bestFit="1" customWidth="1"/>
    <col min="8" max="8" width="10.42578125" customWidth="1"/>
    <col min="9" max="9" width="4" customWidth="1"/>
    <col min="10" max="10" width="14.5703125" bestFit="1" customWidth="1"/>
    <col min="11" max="11" width="10" customWidth="1"/>
    <col min="12" max="12" width="17" customWidth="1"/>
    <col min="13" max="13" width="15.5703125" customWidth="1"/>
  </cols>
  <sheetData>
    <row r="1" spans="1:11" x14ac:dyDescent="0.25">
      <c r="A1" s="202" t="s">
        <v>82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x14ac:dyDescent="0.25">
      <c r="F2" s="47"/>
      <c r="G2" s="189" t="s">
        <v>73</v>
      </c>
      <c r="H2" s="189"/>
      <c r="I2" s="47"/>
      <c r="J2" s="189" t="s">
        <v>72</v>
      </c>
      <c r="K2" s="189"/>
    </row>
    <row r="3" spans="1:11" x14ac:dyDescent="0.25">
      <c r="F3" s="47"/>
      <c r="G3" s="45" t="s">
        <v>67</v>
      </c>
      <c r="H3" s="45" t="s">
        <v>47</v>
      </c>
      <c r="I3" s="47"/>
      <c r="J3" s="45" t="s">
        <v>67</v>
      </c>
      <c r="K3" s="45" t="s">
        <v>47</v>
      </c>
    </row>
    <row r="4" spans="1:11" ht="34.5" customHeight="1" x14ac:dyDescent="0.25">
      <c r="D4" s="190" t="s">
        <v>74</v>
      </c>
      <c r="E4" s="191"/>
      <c r="F4" s="47"/>
      <c r="G4" s="46">
        <v>0</v>
      </c>
      <c r="H4" s="46">
        <v>0</v>
      </c>
      <c r="I4" s="47"/>
      <c r="J4" s="46">
        <v>1</v>
      </c>
      <c r="K4" s="46">
        <v>1</v>
      </c>
    </row>
    <row r="5" spans="1:11" x14ac:dyDescent="0.25">
      <c r="A5" s="177" t="s">
        <v>51</v>
      </c>
      <c r="B5" s="178" t="s">
        <v>43</v>
      </c>
      <c r="C5" s="27" t="s">
        <v>39</v>
      </c>
      <c r="D5" s="167">
        <v>60</v>
      </c>
      <c r="E5" s="179">
        <f>D5+D6+D7</f>
        <v>438</v>
      </c>
      <c r="F5" s="47"/>
      <c r="G5" s="188">
        <f>E5*$G$4</f>
        <v>0</v>
      </c>
      <c r="H5" s="188">
        <f>E5*H4</f>
        <v>0</v>
      </c>
      <c r="I5" s="47"/>
      <c r="J5" s="188">
        <v>0</v>
      </c>
      <c r="K5" s="188">
        <f>E5*K4</f>
        <v>438</v>
      </c>
    </row>
    <row r="6" spans="1:11" x14ac:dyDescent="0.25">
      <c r="A6" s="177"/>
      <c r="B6" s="178"/>
      <c r="C6" s="27" t="s">
        <v>40</v>
      </c>
      <c r="D6" s="167">
        <f>'მკურნალობაში ჩართვის ჯგუფები'!E6</f>
        <v>369</v>
      </c>
      <c r="E6" s="179"/>
      <c r="F6" s="47"/>
      <c r="G6" s="188"/>
      <c r="H6" s="188"/>
      <c r="I6" s="47"/>
      <c r="J6" s="188"/>
      <c r="K6" s="188"/>
    </row>
    <row r="7" spans="1:11" x14ac:dyDescent="0.25">
      <c r="A7" s="177"/>
      <c r="B7" s="178"/>
      <c r="C7" s="27" t="s">
        <v>42</v>
      </c>
      <c r="D7" s="167">
        <f>'მკურნალობაში ჩართვის ჯგუფები'!E8</f>
        <v>9</v>
      </c>
      <c r="E7" s="179"/>
      <c r="F7" s="47"/>
      <c r="G7" s="188"/>
      <c r="H7" s="188"/>
      <c r="I7" s="47"/>
      <c r="J7" s="188"/>
      <c r="K7" s="188"/>
    </row>
    <row r="8" spans="1:11" x14ac:dyDescent="0.25">
      <c r="A8" s="177"/>
      <c r="D8" s="169"/>
      <c r="E8" s="36"/>
      <c r="F8" s="47"/>
      <c r="I8" s="47"/>
    </row>
    <row r="9" spans="1:11" x14ac:dyDescent="0.25">
      <c r="A9" s="177"/>
      <c r="B9" s="178" t="s">
        <v>44</v>
      </c>
      <c r="C9" s="27" t="s">
        <v>39</v>
      </c>
      <c r="D9" s="167">
        <v>60</v>
      </c>
      <c r="E9" s="179">
        <f>D9+D10</f>
        <v>429</v>
      </c>
      <c r="F9" s="47"/>
      <c r="G9" s="188">
        <f>E9*G4</f>
        <v>0</v>
      </c>
      <c r="H9" s="188">
        <f>E9*H4</f>
        <v>0</v>
      </c>
      <c r="I9" s="47"/>
      <c r="J9" s="188">
        <v>0</v>
      </c>
      <c r="K9" s="188">
        <f>E9*K4</f>
        <v>429</v>
      </c>
    </row>
    <row r="10" spans="1:11" x14ac:dyDescent="0.25">
      <c r="A10" s="177"/>
      <c r="B10" s="178"/>
      <c r="C10" s="27" t="s">
        <v>40</v>
      </c>
      <c r="D10" s="167">
        <f>'მკურნალობაში ჩართვის ჯგუფები'!E6</f>
        <v>369</v>
      </c>
      <c r="E10" s="179"/>
      <c r="F10" s="47"/>
      <c r="G10" s="188"/>
      <c r="H10" s="188"/>
      <c r="I10" s="47"/>
      <c r="J10" s="188"/>
      <c r="K10" s="188"/>
    </row>
    <row r="11" spans="1:11" x14ac:dyDescent="0.25">
      <c r="A11" s="177"/>
      <c r="D11" s="169"/>
      <c r="E11" s="36"/>
      <c r="F11" s="47"/>
      <c r="I11" s="47"/>
    </row>
    <row r="12" spans="1:11" x14ac:dyDescent="0.25">
      <c r="A12" s="177"/>
      <c r="B12" s="178" t="s">
        <v>45</v>
      </c>
      <c r="C12" s="27" t="s">
        <v>39</v>
      </c>
      <c r="D12" s="167">
        <v>60</v>
      </c>
      <c r="E12" s="179">
        <f>D12+D13+D14</f>
        <v>358</v>
      </c>
      <c r="F12" s="47"/>
      <c r="G12" s="188">
        <f>E12*G4</f>
        <v>0</v>
      </c>
      <c r="H12" s="188">
        <f>E12*H4</f>
        <v>0</v>
      </c>
      <c r="I12" s="47"/>
      <c r="J12" s="188">
        <v>0</v>
      </c>
      <c r="K12" s="188">
        <f>E12*K4</f>
        <v>358</v>
      </c>
    </row>
    <row r="13" spans="1:11" x14ac:dyDescent="0.25">
      <c r="A13" s="177"/>
      <c r="B13" s="178"/>
      <c r="C13" s="27" t="s">
        <v>41</v>
      </c>
      <c r="D13" s="167">
        <f>'მკურნალობაში ჩართვის ჯგუფები'!E7</f>
        <v>289</v>
      </c>
      <c r="E13" s="179"/>
      <c r="F13" s="47"/>
      <c r="G13" s="188"/>
      <c r="H13" s="188"/>
      <c r="I13" s="47"/>
      <c r="J13" s="188"/>
      <c r="K13" s="188"/>
    </row>
    <row r="14" spans="1:11" x14ac:dyDescent="0.25">
      <c r="A14" s="177"/>
      <c r="B14" s="178"/>
      <c r="C14" s="27" t="s">
        <v>42</v>
      </c>
      <c r="D14" s="167">
        <f>'მკურნალობაში ჩართვის ჯგუფები'!E8</f>
        <v>9</v>
      </c>
      <c r="E14" s="179"/>
      <c r="F14" s="47"/>
      <c r="G14" s="188"/>
      <c r="H14" s="188"/>
      <c r="I14" s="47"/>
      <c r="J14" s="188"/>
      <c r="K14" s="188"/>
    </row>
    <row r="15" spans="1:11" x14ac:dyDescent="0.25">
      <c r="A15" s="177"/>
      <c r="D15" s="169"/>
      <c r="E15" s="36"/>
      <c r="F15" s="47"/>
      <c r="I15" s="47"/>
    </row>
    <row r="16" spans="1:11" x14ac:dyDescent="0.25">
      <c r="A16" s="177"/>
      <c r="B16" s="178" t="s">
        <v>46</v>
      </c>
      <c r="C16" s="27" t="s">
        <v>39</v>
      </c>
      <c r="D16" s="167">
        <v>60</v>
      </c>
      <c r="E16" s="179">
        <f>D16+D17</f>
        <v>349</v>
      </c>
      <c r="F16" s="47"/>
      <c r="G16" s="188">
        <f>E16*G4</f>
        <v>0</v>
      </c>
      <c r="H16" s="188">
        <f>E16*H4</f>
        <v>0</v>
      </c>
      <c r="I16" s="47"/>
      <c r="J16" s="188">
        <v>0</v>
      </c>
      <c r="K16" s="188">
        <f>E16*K4</f>
        <v>349</v>
      </c>
    </row>
    <row r="17" spans="1:11" x14ac:dyDescent="0.25">
      <c r="A17" s="177"/>
      <c r="B17" s="178"/>
      <c r="C17" s="27" t="s">
        <v>41</v>
      </c>
      <c r="D17" s="167">
        <f>'მკურნალობაში ჩართვის ჯგუფები'!E7</f>
        <v>289</v>
      </c>
      <c r="E17" s="179"/>
      <c r="F17" s="47"/>
      <c r="G17" s="188"/>
      <c r="H17" s="188"/>
      <c r="I17" s="47"/>
      <c r="J17" s="188"/>
      <c r="K17" s="188"/>
    </row>
    <row r="18" spans="1:11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</row>
    <row r="19" spans="1:11" x14ac:dyDescent="0.25">
      <c r="A19" s="177" t="s">
        <v>54</v>
      </c>
      <c r="B19" s="178" t="s">
        <v>55</v>
      </c>
      <c r="C19" s="29" t="s">
        <v>33</v>
      </c>
      <c r="D19" s="167">
        <f>'მონიტორინგის კვლევების ჯგუფები'!E5</f>
        <v>236</v>
      </c>
      <c r="E19" s="179">
        <f>AVERAGE(D19:D21)</f>
        <v>227</v>
      </c>
      <c r="F19" s="47"/>
      <c r="G19" s="195">
        <f>E19*G4</f>
        <v>0</v>
      </c>
      <c r="H19" s="195">
        <f>E19*H4</f>
        <v>0</v>
      </c>
      <c r="I19" s="47"/>
      <c r="J19" s="195">
        <v>0</v>
      </c>
      <c r="K19" s="195">
        <f>E19*K4</f>
        <v>227</v>
      </c>
    </row>
    <row r="20" spans="1:11" x14ac:dyDescent="0.25">
      <c r="A20" s="177"/>
      <c r="B20" s="178"/>
      <c r="C20" s="29" t="s">
        <v>31</v>
      </c>
      <c r="D20" s="167">
        <f>'მონიტორინგის კვლევების ჯგუფები'!E6</f>
        <v>227</v>
      </c>
      <c r="E20" s="179"/>
      <c r="F20" s="47"/>
      <c r="G20" s="196"/>
      <c r="H20" s="196"/>
      <c r="I20" s="47"/>
      <c r="J20" s="196"/>
      <c r="K20" s="196"/>
    </row>
    <row r="21" spans="1:11" x14ac:dyDescent="0.25">
      <c r="A21" s="177"/>
      <c r="B21" s="178"/>
      <c r="C21" s="37" t="s">
        <v>34</v>
      </c>
      <c r="D21" s="167">
        <f>'მონიტორინგის კვლევების ჯგუფები'!E7</f>
        <v>218</v>
      </c>
      <c r="E21" s="179"/>
      <c r="F21" s="47"/>
      <c r="G21" s="197"/>
      <c r="H21" s="197"/>
      <c r="I21" s="47"/>
      <c r="J21" s="197"/>
      <c r="K21" s="197"/>
    </row>
    <row r="22" spans="1:11" x14ac:dyDescent="0.25">
      <c r="A22" s="177"/>
      <c r="E22" s="36"/>
      <c r="F22" s="47"/>
      <c r="I22" s="47"/>
    </row>
    <row r="23" spans="1:11" x14ac:dyDescent="0.25">
      <c r="A23" s="177"/>
      <c r="B23" s="178" t="s">
        <v>56</v>
      </c>
      <c r="C23" s="29" t="s">
        <v>35</v>
      </c>
      <c r="D23" s="167">
        <f>'მონიტორინგის კვლევების ჯგუფები'!E8</f>
        <v>304</v>
      </c>
      <c r="E23" s="180">
        <f>AVERAGE(D23:D25)</f>
        <v>289</v>
      </c>
      <c r="F23" s="47"/>
      <c r="G23" s="188">
        <f>E23*G4</f>
        <v>0</v>
      </c>
      <c r="H23" s="195">
        <f>E23*H4</f>
        <v>0</v>
      </c>
      <c r="I23" s="47"/>
      <c r="J23" s="188">
        <v>0</v>
      </c>
      <c r="K23" s="195">
        <f>E23*K4</f>
        <v>289</v>
      </c>
    </row>
    <row r="24" spans="1:11" x14ac:dyDescent="0.25">
      <c r="A24" s="177"/>
      <c r="B24" s="178"/>
      <c r="C24" s="29" t="s">
        <v>32</v>
      </c>
      <c r="D24" s="167">
        <f>'მონიტორინგის კვლევების ჯგუფები'!E9</f>
        <v>286</v>
      </c>
      <c r="E24" s="181"/>
      <c r="F24" s="47"/>
      <c r="G24" s="188"/>
      <c r="H24" s="196"/>
      <c r="I24" s="47"/>
      <c r="J24" s="188"/>
      <c r="K24" s="196"/>
    </row>
    <row r="25" spans="1:11" x14ac:dyDescent="0.25">
      <c r="A25" s="177"/>
      <c r="B25" s="178"/>
      <c r="C25" s="37" t="s">
        <v>36</v>
      </c>
      <c r="D25" s="167">
        <f>'მონიტორინგის კვლევების ჯგუფები'!E10</f>
        <v>277</v>
      </c>
      <c r="E25" s="182"/>
      <c r="F25" s="47"/>
      <c r="G25" s="188"/>
      <c r="H25" s="197"/>
      <c r="I25" s="47"/>
      <c r="J25" s="188"/>
      <c r="K25" s="197"/>
    </row>
    <row r="26" spans="1:11" x14ac:dyDescent="0.25">
      <c r="A26" s="177"/>
      <c r="E26" s="36"/>
      <c r="F26" s="47"/>
      <c r="I26" s="47"/>
    </row>
    <row r="27" spans="1:11" x14ac:dyDescent="0.25">
      <c r="A27" s="177"/>
      <c r="B27" s="165" t="s">
        <v>57</v>
      </c>
      <c r="C27" s="27" t="s">
        <v>53</v>
      </c>
      <c r="D27" s="38">
        <f>'მონიტორინგის კვლევების ჯგუფები'!E11</f>
        <v>130</v>
      </c>
      <c r="E27" s="168">
        <v>130</v>
      </c>
      <c r="F27" s="47"/>
      <c r="G27" s="167">
        <v>0</v>
      </c>
      <c r="H27" s="167">
        <v>0</v>
      </c>
      <c r="I27" s="47"/>
      <c r="J27" s="167">
        <v>0</v>
      </c>
      <c r="K27" s="167">
        <f>E27</f>
        <v>130</v>
      </c>
    </row>
    <row r="28" spans="1:11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5">
      <c r="A29" s="199" t="s">
        <v>66</v>
      </c>
      <c r="B29" s="178" t="s">
        <v>48</v>
      </c>
      <c r="C29" s="27" t="s">
        <v>58</v>
      </c>
      <c r="D29" s="167">
        <f>E5+E19+E27</f>
        <v>795</v>
      </c>
      <c r="E29" s="179">
        <f>AVERAGE(D29:D30)</f>
        <v>790.5</v>
      </c>
      <c r="F29" s="47"/>
      <c r="G29" s="188">
        <f>(E29-E27)*G4</f>
        <v>0</v>
      </c>
      <c r="H29" s="188">
        <f>(E29-E27)*H4</f>
        <v>0</v>
      </c>
      <c r="I29" s="47"/>
      <c r="J29" s="188">
        <v>0</v>
      </c>
      <c r="K29" s="188">
        <f>(E29-E27)*K4+E27</f>
        <v>790.5</v>
      </c>
    </row>
    <row r="30" spans="1:11" x14ac:dyDescent="0.25">
      <c r="A30" s="200"/>
      <c r="B30" s="178"/>
      <c r="C30" s="27" t="s">
        <v>60</v>
      </c>
      <c r="D30" s="167">
        <f>E9+E19+E27</f>
        <v>786</v>
      </c>
      <c r="E30" s="179"/>
      <c r="F30" s="47"/>
      <c r="G30" s="188"/>
      <c r="H30" s="188"/>
      <c r="I30" s="47"/>
      <c r="J30" s="188"/>
      <c r="K30" s="188"/>
    </row>
    <row r="31" spans="1:11" x14ac:dyDescent="0.25">
      <c r="A31" s="200"/>
      <c r="B31" s="36"/>
      <c r="D31" s="169"/>
      <c r="E31" s="36"/>
      <c r="F31" s="47"/>
      <c r="I31" s="47"/>
    </row>
    <row r="32" spans="1:11" x14ac:dyDescent="0.25">
      <c r="A32" s="200"/>
      <c r="B32" s="178" t="s">
        <v>49</v>
      </c>
      <c r="C32" s="27" t="s">
        <v>59</v>
      </c>
      <c r="D32" s="167">
        <f>E5+E23+E27</f>
        <v>857</v>
      </c>
      <c r="E32" s="179">
        <f>AVERAGE(D32:D33)</f>
        <v>852.5</v>
      </c>
      <c r="F32" s="47"/>
      <c r="G32" s="188">
        <f>(E32-E27)*G4</f>
        <v>0</v>
      </c>
      <c r="H32" s="188">
        <f>(E32-E27)*H4</f>
        <v>0</v>
      </c>
      <c r="I32" s="47"/>
      <c r="J32" s="188">
        <v>0</v>
      </c>
      <c r="K32" s="188">
        <f>(E32-E27)*K4+E27</f>
        <v>852.5</v>
      </c>
    </row>
    <row r="33" spans="1:11" x14ac:dyDescent="0.25">
      <c r="A33" s="200"/>
      <c r="B33" s="178"/>
      <c r="C33" s="27" t="s">
        <v>61</v>
      </c>
      <c r="D33" s="167">
        <f>E9+E23+E27</f>
        <v>848</v>
      </c>
      <c r="E33" s="179"/>
      <c r="F33" s="47"/>
      <c r="G33" s="188"/>
      <c r="H33" s="188"/>
      <c r="I33" s="47"/>
      <c r="J33" s="188"/>
      <c r="K33" s="188"/>
    </row>
    <row r="34" spans="1:11" x14ac:dyDescent="0.25">
      <c r="A34" s="200"/>
      <c r="B34" s="36"/>
      <c r="D34" s="169"/>
      <c r="E34" s="36"/>
      <c r="F34" s="47"/>
      <c r="I34" s="47"/>
    </row>
    <row r="35" spans="1:11" x14ac:dyDescent="0.25">
      <c r="A35" s="200"/>
      <c r="B35" s="178" t="s">
        <v>52</v>
      </c>
      <c r="C35" s="27" t="s">
        <v>62</v>
      </c>
      <c r="D35" s="167">
        <f>E12+E19+E27</f>
        <v>715</v>
      </c>
      <c r="E35" s="179">
        <f>AVERAGE(D35:D36)</f>
        <v>710.5</v>
      </c>
      <c r="F35" s="47"/>
      <c r="G35" s="188">
        <f>(E35-E27)*G4</f>
        <v>0</v>
      </c>
      <c r="H35" s="188">
        <f>(E35-E27)*H4</f>
        <v>0</v>
      </c>
      <c r="I35" s="47"/>
      <c r="J35" s="188">
        <v>0</v>
      </c>
      <c r="K35" s="188">
        <f>(E35-E27)*K4+E27</f>
        <v>710.5</v>
      </c>
    </row>
    <row r="36" spans="1:11" x14ac:dyDescent="0.25">
      <c r="A36" s="200"/>
      <c r="B36" s="178"/>
      <c r="C36" s="27" t="s">
        <v>64</v>
      </c>
      <c r="D36" s="167">
        <f>E16+E19+E27</f>
        <v>706</v>
      </c>
      <c r="E36" s="179"/>
      <c r="F36" s="47"/>
      <c r="G36" s="188"/>
      <c r="H36" s="188"/>
      <c r="I36" s="47"/>
      <c r="J36" s="188"/>
      <c r="K36" s="188"/>
    </row>
    <row r="37" spans="1:11" x14ac:dyDescent="0.25">
      <c r="A37" s="200"/>
      <c r="B37" s="36"/>
      <c r="D37" s="169"/>
      <c r="E37" s="36"/>
      <c r="F37" s="47"/>
      <c r="I37" s="47"/>
    </row>
    <row r="38" spans="1:11" x14ac:dyDescent="0.25">
      <c r="A38" s="200"/>
      <c r="B38" s="183" t="s">
        <v>50</v>
      </c>
      <c r="C38" s="27" t="s">
        <v>63</v>
      </c>
      <c r="D38" s="167">
        <f>E12+E23+E27</f>
        <v>777</v>
      </c>
      <c r="E38" s="179">
        <f>AVERAGE(D38:D39)</f>
        <v>772.5</v>
      </c>
      <c r="F38" s="47"/>
      <c r="G38" s="188">
        <f>(E38-E27)*G4</f>
        <v>0</v>
      </c>
      <c r="H38" s="188">
        <f>(E38-E27)*H4</f>
        <v>0</v>
      </c>
      <c r="I38" s="47"/>
      <c r="J38" s="188">
        <v>0</v>
      </c>
      <c r="K38" s="188">
        <f>(E38-E27)*K4+E27</f>
        <v>772.5</v>
      </c>
    </row>
    <row r="39" spans="1:11" x14ac:dyDescent="0.25">
      <c r="A39" s="201"/>
      <c r="B39" s="184"/>
      <c r="C39" s="27" t="s">
        <v>65</v>
      </c>
      <c r="D39" s="167">
        <f>E16+E23+E27</f>
        <v>768</v>
      </c>
      <c r="E39" s="179"/>
      <c r="F39" s="47"/>
      <c r="G39" s="188"/>
      <c r="H39" s="188"/>
      <c r="I39" s="47"/>
      <c r="J39" s="188"/>
      <c r="K39" s="188"/>
    </row>
    <row r="40" spans="1:11" x14ac:dyDescent="0.25">
      <c r="A40" s="48"/>
      <c r="B40" s="49"/>
      <c r="C40" s="50"/>
      <c r="D40" s="51"/>
      <c r="E40" s="49"/>
      <c r="F40" s="47"/>
      <c r="G40" s="51"/>
      <c r="H40" s="51"/>
      <c r="I40" s="47"/>
      <c r="J40" s="47"/>
      <c r="K40" s="47"/>
    </row>
    <row r="41" spans="1:11" x14ac:dyDescent="0.25">
      <c r="F41" s="47"/>
      <c r="G41" s="185" t="s">
        <v>75</v>
      </c>
      <c r="H41" s="185"/>
      <c r="I41" s="47"/>
      <c r="J41" s="185" t="s">
        <v>76</v>
      </c>
      <c r="K41" s="185"/>
    </row>
    <row r="42" spans="1:11" ht="13.5" customHeight="1" x14ac:dyDescent="0.25">
      <c r="F42" s="47"/>
      <c r="G42" s="166" t="s">
        <v>67</v>
      </c>
      <c r="H42" s="166" t="s">
        <v>47</v>
      </c>
      <c r="I42" s="47"/>
      <c r="J42" s="166" t="s">
        <v>67</v>
      </c>
      <c r="K42" s="166" t="s">
        <v>47</v>
      </c>
    </row>
    <row r="43" spans="1:11" ht="21" customHeight="1" x14ac:dyDescent="0.25">
      <c r="A43" s="198" t="s">
        <v>66</v>
      </c>
      <c r="B43" s="167" t="s">
        <v>48</v>
      </c>
      <c r="C43" s="186" t="s">
        <v>68</v>
      </c>
      <c r="D43" s="187"/>
      <c r="E43" s="167">
        <f>AVERAGE(E29,E35)</f>
        <v>750.5</v>
      </c>
      <c r="F43" s="47"/>
      <c r="G43" s="167">
        <v>0</v>
      </c>
      <c r="H43" s="167">
        <v>0</v>
      </c>
      <c r="I43" s="47"/>
      <c r="J43" s="167">
        <v>0</v>
      </c>
      <c r="K43" s="167">
        <f>E43-H43</f>
        <v>750.5</v>
      </c>
    </row>
    <row r="44" spans="1:11" ht="29.25" customHeight="1" x14ac:dyDescent="0.25">
      <c r="A44" s="198"/>
      <c r="B44" s="167" t="s">
        <v>49</v>
      </c>
      <c r="C44" s="186" t="s">
        <v>69</v>
      </c>
      <c r="D44" s="187"/>
      <c r="E44" s="167">
        <f>AVERAGE(E32,E38)</f>
        <v>812.5</v>
      </c>
      <c r="F44" s="47"/>
      <c r="G44" s="167">
        <v>0</v>
      </c>
      <c r="H44" s="167">
        <v>100</v>
      </c>
      <c r="I44" s="47"/>
      <c r="J44" s="167">
        <v>0</v>
      </c>
      <c r="K44" s="167">
        <f>E44-H44</f>
        <v>712.5</v>
      </c>
    </row>
    <row r="45" spans="1:11" x14ac:dyDescent="0.25">
      <c r="A45" s="48"/>
      <c r="B45" s="49"/>
      <c r="C45" s="50"/>
      <c r="D45" s="51"/>
      <c r="E45" s="49"/>
      <c r="F45" s="47"/>
      <c r="G45" s="51"/>
      <c r="H45" s="51"/>
      <c r="I45" s="47"/>
      <c r="J45" s="47"/>
      <c r="K45" s="47"/>
    </row>
    <row r="46" spans="1:11" x14ac:dyDescent="0.25">
      <c r="A46" s="192" t="s">
        <v>77</v>
      </c>
      <c r="B46" s="27"/>
      <c r="C46" s="42" t="s">
        <v>79</v>
      </c>
      <c r="D46" s="52" t="s">
        <v>67</v>
      </c>
      <c r="E46" s="42" t="s">
        <v>47</v>
      </c>
    </row>
    <row r="47" spans="1:11" ht="23.25" x14ac:dyDescent="0.25">
      <c r="A47" s="193"/>
      <c r="B47" s="53" t="s">
        <v>70</v>
      </c>
      <c r="C47" s="167">
        <v>3000</v>
      </c>
      <c r="D47" s="167">
        <f>C47*10%</f>
        <v>300</v>
      </c>
      <c r="E47" s="167">
        <f>C47*90%</f>
        <v>2700</v>
      </c>
    </row>
    <row r="48" spans="1:11" ht="21" customHeight="1" x14ac:dyDescent="0.25">
      <c r="A48" s="193"/>
      <c r="B48" s="53" t="s">
        <v>68</v>
      </c>
      <c r="C48" s="167">
        <f>C47*90%</f>
        <v>2700</v>
      </c>
      <c r="D48" s="167">
        <f>D47*90%</f>
        <v>270</v>
      </c>
      <c r="E48" s="167">
        <f>E47*90%</f>
        <v>2430</v>
      </c>
    </row>
    <row r="49" spans="1:5" ht="34.5" x14ac:dyDescent="0.25">
      <c r="A49" s="194"/>
      <c r="B49" s="53" t="s">
        <v>69</v>
      </c>
      <c r="C49" s="167">
        <f>C47*10%</f>
        <v>300</v>
      </c>
      <c r="D49" s="167">
        <f>D47*10%</f>
        <v>30</v>
      </c>
      <c r="E49" s="167">
        <f>E47*10%</f>
        <v>270</v>
      </c>
    </row>
    <row r="50" spans="1:5" x14ac:dyDescent="0.25">
      <c r="A50" s="47"/>
      <c r="B50" s="47"/>
      <c r="C50" s="47"/>
      <c r="D50" s="47"/>
      <c r="E50" s="47"/>
    </row>
    <row r="51" spans="1:5" x14ac:dyDescent="0.25">
      <c r="A51" s="177" t="s">
        <v>78</v>
      </c>
      <c r="C51" s="42" t="s">
        <v>109</v>
      </c>
      <c r="D51" s="52" t="s">
        <v>67</v>
      </c>
      <c r="E51" s="42" t="s">
        <v>47</v>
      </c>
    </row>
    <row r="52" spans="1:5" ht="34.5" x14ac:dyDescent="0.25">
      <c r="A52" s="177"/>
      <c r="B52" s="74" t="s">
        <v>68</v>
      </c>
      <c r="C52" s="43">
        <f>D52+E52</f>
        <v>0</v>
      </c>
      <c r="D52" s="44">
        <f>D48*G43</f>
        <v>0</v>
      </c>
      <c r="E52" s="44">
        <f>E48*H43</f>
        <v>0</v>
      </c>
    </row>
    <row r="53" spans="1:5" ht="34.5" x14ac:dyDescent="0.25">
      <c r="A53" s="177"/>
      <c r="B53" s="74" t="s">
        <v>69</v>
      </c>
      <c r="C53" s="43">
        <f>D53+E53</f>
        <v>27000</v>
      </c>
      <c r="D53" s="44">
        <f>D49*G44</f>
        <v>0</v>
      </c>
      <c r="E53" s="44">
        <f>E49*H44</f>
        <v>27000</v>
      </c>
    </row>
    <row r="54" spans="1:5" x14ac:dyDescent="0.25">
      <c r="A54" s="177"/>
      <c r="B54" s="75" t="s">
        <v>71</v>
      </c>
      <c r="C54" s="54">
        <f>C52+C53</f>
        <v>27000</v>
      </c>
      <c r="D54" s="43">
        <f>D52+D53</f>
        <v>0</v>
      </c>
      <c r="E54" s="43">
        <f>E52+E53</f>
        <v>27000</v>
      </c>
    </row>
    <row r="55" spans="1:5" x14ac:dyDescent="0.25">
      <c r="A55" s="47"/>
      <c r="B55" s="47"/>
      <c r="C55" s="47"/>
      <c r="D55" s="47"/>
      <c r="E55" s="47"/>
    </row>
    <row r="56" spans="1:5" x14ac:dyDescent="0.25">
      <c r="A56" s="177" t="s">
        <v>80</v>
      </c>
      <c r="C56" s="42" t="s">
        <v>109</v>
      </c>
      <c r="D56" s="52" t="s">
        <v>67</v>
      </c>
      <c r="E56" s="42" t="s">
        <v>47</v>
      </c>
    </row>
    <row r="57" spans="1:5" ht="34.5" x14ac:dyDescent="0.25">
      <c r="A57" s="177"/>
      <c r="B57" s="74" t="s">
        <v>68</v>
      </c>
      <c r="C57" s="43">
        <f>D57+E57</f>
        <v>1823715</v>
      </c>
      <c r="D57" s="44">
        <f>D48*J43</f>
        <v>0</v>
      </c>
      <c r="E57" s="44">
        <f>E48*K43</f>
        <v>1823715</v>
      </c>
    </row>
    <row r="58" spans="1:5" ht="34.5" x14ac:dyDescent="0.25">
      <c r="A58" s="177"/>
      <c r="B58" s="74" t="s">
        <v>69</v>
      </c>
      <c r="C58" s="43">
        <f>D58+E58</f>
        <v>192375</v>
      </c>
      <c r="D58" s="44">
        <f>D49*J44</f>
        <v>0</v>
      </c>
      <c r="E58" s="44">
        <f>E49*K44</f>
        <v>192375</v>
      </c>
    </row>
    <row r="59" spans="1:5" ht="23.25" x14ac:dyDescent="0.25">
      <c r="A59" s="177"/>
      <c r="B59" s="75" t="s">
        <v>99</v>
      </c>
      <c r="C59" s="54">
        <f>C57+C58</f>
        <v>2016090</v>
      </c>
      <c r="D59" s="43">
        <f>D57+D58</f>
        <v>0</v>
      </c>
      <c r="E59" s="43">
        <f>E57+E58</f>
        <v>2016090</v>
      </c>
    </row>
    <row r="60" spans="1:5" x14ac:dyDescent="0.25">
      <c r="A60" s="177"/>
      <c r="B60" s="75"/>
      <c r="C60" s="54"/>
      <c r="D60" s="43"/>
      <c r="E60" s="43"/>
    </row>
    <row r="61" spans="1:5" ht="23.25" x14ac:dyDescent="0.25">
      <c r="A61" s="177"/>
      <c r="B61" s="75" t="s">
        <v>100</v>
      </c>
      <c r="C61" s="54">
        <f>C47*50</f>
        <v>150000</v>
      </c>
      <c r="D61" s="43"/>
      <c r="E61" s="43"/>
    </row>
    <row r="62" spans="1:5" ht="15.75" x14ac:dyDescent="0.25">
      <c r="A62" s="177"/>
      <c r="B62" s="75" t="s">
        <v>71</v>
      </c>
      <c r="C62" s="86">
        <f>C59+C61+E65</f>
        <v>2551090</v>
      </c>
      <c r="D62" s="43"/>
      <c r="E62" s="43"/>
    </row>
    <row r="63" spans="1:5" x14ac:dyDescent="0.25">
      <c r="A63" s="47"/>
      <c r="B63" s="47"/>
      <c r="C63" s="47"/>
      <c r="D63" s="47"/>
      <c r="E63" s="47"/>
    </row>
    <row r="65" spans="2:5" ht="34.5" x14ac:dyDescent="0.25">
      <c r="B65" s="73" t="s">
        <v>137</v>
      </c>
      <c r="C65">
        <f>32000-25000</f>
        <v>7000</v>
      </c>
      <c r="D65">
        <v>55</v>
      </c>
      <c r="E65">
        <f>C65*D65</f>
        <v>385000</v>
      </c>
    </row>
    <row r="67" spans="2:5" ht="18.75" x14ac:dyDescent="0.3">
      <c r="B67" s="55" t="s">
        <v>81</v>
      </c>
      <c r="C67" s="56">
        <f>C54+C62</f>
        <v>2578090</v>
      </c>
    </row>
  </sheetData>
  <mergeCells count="75">
    <mergeCell ref="A1:K1"/>
    <mergeCell ref="G2:H2"/>
    <mergeCell ref="J2:K2"/>
    <mergeCell ref="D4:E4"/>
    <mergeCell ref="A5:A17"/>
    <mergeCell ref="B5:B7"/>
    <mergeCell ref="E5:E7"/>
    <mergeCell ref="G5:G7"/>
    <mergeCell ref="H5:H7"/>
    <mergeCell ref="J5:J7"/>
    <mergeCell ref="K5:K7"/>
    <mergeCell ref="B9:B10"/>
    <mergeCell ref="E9:E10"/>
    <mergeCell ref="G9:G10"/>
    <mergeCell ref="H9:H10"/>
    <mergeCell ref="J9:J10"/>
    <mergeCell ref="K9:K10"/>
    <mergeCell ref="K16:K17"/>
    <mergeCell ref="B12:B14"/>
    <mergeCell ref="E12:E14"/>
    <mergeCell ref="G12:G14"/>
    <mergeCell ref="H12:H14"/>
    <mergeCell ref="J12:J14"/>
    <mergeCell ref="K12:K14"/>
    <mergeCell ref="B16:B17"/>
    <mergeCell ref="E16:E17"/>
    <mergeCell ref="G16:G17"/>
    <mergeCell ref="H16:H17"/>
    <mergeCell ref="J16:J17"/>
    <mergeCell ref="A19:A27"/>
    <mergeCell ref="B19:B21"/>
    <mergeCell ref="E19:E21"/>
    <mergeCell ref="G19:G21"/>
    <mergeCell ref="H19:H21"/>
    <mergeCell ref="K19:K21"/>
    <mergeCell ref="B23:B25"/>
    <mergeCell ref="E23:E25"/>
    <mergeCell ref="G23:G25"/>
    <mergeCell ref="H23:H25"/>
    <mergeCell ref="J23:J25"/>
    <mergeCell ref="K23:K25"/>
    <mergeCell ref="J19:J21"/>
    <mergeCell ref="A29:A39"/>
    <mergeCell ref="B29:B30"/>
    <mergeCell ref="E29:E30"/>
    <mergeCell ref="G29:G30"/>
    <mergeCell ref="H29:H30"/>
    <mergeCell ref="B35:B36"/>
    <mergeCell ref="E35:E36"/>
    <mergeCell ref="G35:G36"/>
    <mergeCell ref="H35:H36"/>
    <mergeCell ref="K29:K30"/>
    <mergeCell ref="B32:B33"/>
    <mergeCell ref="E32:E33"/>
    <mergeCell ref="G32:G33"/>
    <mergeCell ref="H32:H33"/>
    <mergeCell ref="J32:J33"/>
    <mergeCell ref="K32:K33"/>
    <mergeCell ref="J29:J30"/>
    <mergeCell ref="J35:J36"/>
    <mergeCell ref="K35:K36"/>
    <mergeCell ref="B38:B39"/>
    <mergeCell ref="E38:E39"/>
    <mergeCell ref="G38:G39"/>
    <mergeCell ref="H38:H39"/>
    <mergeCell ref="J38:J39"/>
    <mergeCell ref="K38:K39"/>
    <mergeCell ref="A51:A54"/>
    <mergeCell ref="A56:A62"/>
    <mergeCell ref="G41:H41"/>
    <mergeCell ref="J41:K41"/>
    <mergeCell ref="A43:A44"/>
    <mergeCell ref="C43:D43"/>
    <mergeCell ref="C44:D44"/>
    <mergeCell ref="A46:A49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opLeftCell="A52" workbookViewId="0">
      <selection activeCell="B65" sqref="B65:E65"/>
    </sheetView>
  </sheetViews>
  <sheetFormatPr defaultRowHeight="15" x14ac:dyDescent="0.25"/>
  <cols>
    <col min="2" max="2" width="18.5703125" bestFit="1" customWidth="1"/>
    <col min="3" max="3" width="42.5703125" bestFit="1" customWidth="1"/>
    <col min="4" max="4" width="17.42578125" customWidth="1"/>
    <col min="5" max="5" width="18.140625" customWidth="1"/>
    <col min="6" max="6" width="4" customWidth="1"/>
    <col min="7" max="7" width="14.5703125" bestFit="1" customWidth="1"/>
    <col min="8" max="8" width="10.42578125" customWidth="1"/>
    <col min="9" max="9" width="4" customWidth="1"/>
    <col min="10" max="10" width="14.5703125" bestFit="1" customWidth="1"/>
    <col min="11" max="11" width="10" customWidth="1"/>
    <col min="12" max="12" width="17" customWidth="1"/>
    <col min="13" max="13" width="15.5703125" customWidth="1"/>
  </cols>
  <sheetData>
    <row r="1" spans="1:11" x14ac:dyDescent="0.25">
      <c r="A1" s="202" t="s">
        <v>82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x14ac:dyDescent="0.25">
      <c r="F2" s="47"/>
      <c r="G2" s="189" t="s">
        <v>73</v>
      </c>
      <c r="H2" s="189"/>
      <c r="I2" s="47"/>
      <c r="J2" s="189" t="s">
        <v>72</v>
      </c>
      <c r="K2" s="189"/>
    </row>
    <row r="3" spans="1:11" x14ac:dyDescent="0.25">
      <c r="F3" s="47"/>
      <c r="G3" s="45" t="s">
        <v>67</v>
      </c>
      <c r="H3" s="45" t="s">
        <v>47</v>
      </c>
      <c r="I3" s="47"/>
      <c r="J3" s="45" t="s">
        <v>67</v>
      </c>
      <c r="K3" s="45" t="s">
        <v>47</v>
      </c>
    </row>
    <row r="4" spans="1:11" ht="34.5" customHeight="1" x14ac:dyDescent="0.25">
      <c r="D4" s="190" t="s">
        <v>74</v>
      </c>
      <c r="E4" s="191"/>
      <c r="F4" s="47"/>
      <c r="G4" s="46">
        <v>0</v>
      </c>
      <c r="H4" s="46">
        <v>0</v>
      </c>
      <c r="I4" s="47"/>
      <c r="J4" s="46">
        <v>1</v>
      </c>
      <c r="K4" s="46">
        <v>1</v>
      </c>
    </row>
    <row r="5" spans="1:11" x14ac:dyDescent="0.25">
      <c r="A5" s="177" t="s">
        <v>51</v>
      </c>
      <c r="B5" s="178" t="s">
        <v>43</v>
      </c>
      <c r="C5" s="27" t="s">
        <v>39</v>
      </c>
      <c r="D5" s="89">
        <v>60</v>
      </c>
      <c r="E5" s="179">
        <f>D5+D6+D7</f>
        <v>438</v>
      </c>
      <c r="F5" s="47"/>
      <c r="G5" s="188">
        <f>E5*$G$4</f>
        <v>0</v>
      </c>
      <c r="H5" s="188">
        <f>E5*H4</f>
        <v>0</v>
      </c>
      <c r="I5" s="47"/>
      <c r="J5" s="188">
        <f>E5*J4</f>
        <v>438</v>
      </c>
      <c r="K5" s="188">
        <f>E5*K4</f>
        <v>438</v>
      </c>
    </row>
    <row r="6" spans="1:11" x14ac:dyDescent="0.25">
      <c r="A6" s="177"/>
      <c r="B6" s="178"/>
      <c r="C6" s="27" t="s">
        <v>40</v>
      </c>
      <c r="D6" s="89">
        <f>'მკურნალობაში ჩართვის ჯგუფები'!E6</f>
        <v>369</v>
      </c>
      <c r="E6" s="179"/>
      <c r="F6" s="47"/>
      <c r="G6" s="188"/>
      <c r="H6" s="188"/>
      <c r="I6" s="47"/>
      <c r="J6" s="188"/>
      <c r="K6" s="188"/>
    </row>
    <row r="7" spans="1:11" x14ac:dyDescent="0.25">
      <c r="A7" s="177"/>
      <c r="B7" s="178"/>
      <c r="C7" s="27" t="s">
        <v>42</v>
      </c>
      <c r="D7" s="89">
        <f>'მკურნალობაში ჩართვის ჯგუფები'!E8</f>
        <v>9</v>
      </c>
      <c r="E7" s="179"/>
      <c r="F7" s="47"/>
      <c r="G7" s="188"/>
      <c r="H7" s="188"/>
      <c r="I7" s="47"/>
      <c r="J7" s="188"/>
      <c r="K7" s="188"/>
    </row>
    <row r="8" spans="1:11" x14ac:dyDescent="0.25">
      <c r="A8" s="177"/>
      <c r="D8" s="35"/>
      <c r="E8" s="36"/>
      <c r="F8" s="47"/>
      <c r="I8" s="47"/>
    </row>
    <row r="9" spans="1:11" x14ac:dyDescent="0.25">
      <c r="A9" s="177"/>
      <c r="B9" s="178" t="s">
        <v>44</v>
      </c>
      <c r="C9" s="27" t="s">
        <v>39</v>
      </c>
      <c r="D9" s="89">
        <v>60</v>
      </c>
      <c r="E9" s="179">
        <f>D9+D10</f>
        <v>429</v>
      </c>
      <c r="F9" s="47"/>
      <c r="G9" s="188">
        <f>E9*G4</f>
        <v>0</v>
      </c>
      <c r="H9" s="188">
        <f>E9*H4</f>
        <v>0</v>
      </c>
      <c r="I9" s="47"/>
      <c r="J9" s="188">
        <f>E9*J4</f>
        <v>429</v>
      </c>
      <c r="K9" s="188">
        <f>E9*K4</f>
        <v>429</v>
      </c>
    </row>
    <row r="10" spans="1:11" x14ac:dyDescent="0.25">
      <c r="A10" s="177"/>
      <c r="B10" s="178"/>
      <c r="C10" s="27" t="s">
        <v>40</v>
      </c>
      <c r="D10" s="89">
        <f>'მკურნალობაში ჩართვის ჯგუფები'!E6</f>
        <v>369</v>
      </c>
      <c r="E10" s="179"/>
      <c r="F10" s="47"/>
      <c r="G10" s="188"/>
      <c r="H10" s="188"/>
      <c r="I10" s="47"/>
      <c r="J10" s="188"/>
      <c r="K10" s="188"/>
    </row>
    <row r="11" spans="1:11" x14ac:dyDescent="0.25">
      <c r="A11" s="177"/>
      <c r="D11" s="35"/>
      <c r="E11" s="36"/>
      <c r="F11" s="47"/>
      <c r="I11" s="47"/>
    </row>
    <row r="12" spans="1:11" x14ac:dyDescent="0.25">
      <c r="A12" s="177"/>
      <c r="B12" s="178" t="s">
        <v>45</v>
      </c>
      <c r="C12" s="27" t="s">
        <v>39</v>
      </c>
      <c r="D12" s="89">
        <v>60</v>
      </c>
      <c r="E12" s="179">
        <f>D12+D13+D14</f>
        <v>358</v>
      </c>
      <c r="F12" s="47"/>
      <c r="G12" s="188">
        <f>E12*G4</f>
        <v>0</v>
      </c>
      <c r="H12" s="188">
        <f>E12*H4</f>
        <v>0</v>
      </c>
      <c r="I12" s="47"/>
      <c r="J12" s="188">
        <f>E12*J4</f>
        <v>358</v>
      </c>
      <c r="K12" s="188">
        <f>E12*K4</f>
        <v>358</v>
      </c>
    </row>
    <row r="13" spans="1:11" x14ac:dyDescent="0.25">
      <c r="A13" s="177"/>
      <c r="B13" s="178"/>
      <c r="C13" s="27" t="s">
        <v>41</v>
      </c>
      <c r="D13" s="89">
        <f>'მკურნალობაში ჩართვის ჯგუფები'!E7</f>
        <v>289</v>
      </c>
      <c r="E13" s="179"/>
      <c r="F13" s="47"/>
      <c r="G13" s="188"/>
      <c r="H13" s="188"/>
      <c r="I13" s="47"/>
      <c r="J13" s="188"/>
      <c r="K13" s="188"/>
    </row>
    <row r="14" spans="1:11" x14ac:dyDescent="0.25">
      <c r="A14" s="177"/>
      <c r="B14" s="178"/>
      <c r="C14" s="27" t="s">
        <v>42</v>
      </c>
      <c r="D14" s="89">
        <f>'მკურნალობაში ჩართვის ჯგუფები'!E8</f>
        <v>9</v>
      </c>
      <c r="E14" s="179"/>
      <c r="F14" s="47"/>
      <c r="G14" s="188"/>
      <c r="H14" s="188"/>
      <c r="I14" s="47"/>
      <c r="J14" s="188"/>
      <c r="K14" s="188"/>
    </row>
    <row r="15" spans="1:11" x14ac:dyDescent="0.25">
      <c r="A15" s="177"/>
      <c r="D15" s="35"/>
      <c r="E15" s="36"/>
      <c r="F15" s="47"/>
      <c r="I15" s="47"/>
    </row>
    <row r="16" spans="1:11" x14ac:dyDescent="0.25">
      <c r="A16" s="177"/>
      <c r="B16" s="178" t="s">
        <v>46</v>
      </c>
      <c r="C16" s="27" t="s">
        <v>39</v>
      </c>
      <c r="D16" s="89">
        <v>60</v>
      </c>
      <c r="E16" s="179">
        <f>D16+D17</f>
        <v>349</v>
      </c>
      <c r="F16" s="47"/>
      <c r="G16" s="188">
        <f>E16*G4</f>
        <v>0</v>
      </c>
      <c r="H16" s="188">
        <f>E16*H4</f>
        <v>0</v>
      </c>
      <c r="I16" s="47"/>
      <c r="J16" s="188">
        <f>E16*J4</f>
        <v>349</v>
      </c>
      <c r="K16" s="188">
        <f>E16*K4</f>
        <v>349</v>
      </c>
    </row>
    <row r="17" spans="1:11" x14ac:dyDescent="0.25">
      <c r="A17" s="177"/>
      <c r="B17" s="178"/>
      <c r="C17" s="27" t="s">
        <v>41</v>
      </c>
      <c r="D17" s="89">
        <f>'მკურნალობაში ჩართვის ჯგუფები'!E7</f>
        <v>289</v>
      </c>
      <c r="E17" s="179"/>
      <c r="F17" s="47"/>
      <c r="G17" s="188"/>
      <c r="H17" s="188"/>
      <c r="I17" s="47"/>
      <c r="J17" s="188"/>
      <c r="K17" s="188"/>
    </row>
    <row r="18" spans="1:11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</row>
    <row r="19" spans="1:11" x14ac:dyDescent="0.25">
      <c r="A19" s="177" t="s">
        <v>54</v>
      </c>
      <c r="B19" s="178" t="s">
        <v>55</v>
      </c>
      <c r="C19" s="29" t="s">
        <v>33</v>
      </c>
      <c r="D19" s="89">
        <f>'მონიტორინგის კვლევების ჯგუფები'!E5</f>
        <v>236</v>
      </c>
      <c r="E19" s="179">
        <f>AVERAGE(D19:D21)</f>
        <v>227</v>
      </c>
      <c r="F19" s="47"/>
      <c r="G19" s="195">
        <f>E19*G4</f>
        <v>0</v>
      </c>
      <c r="H19" s="195">
        <f>E19*H4</f>
        <v>0</v>
      </c>
      <c r="I19" s="47"/>
      <c r="J19" s="195">
        <f>E19*J4</f>
        <v>227</v>
      </c>
      <c r="K19" s="195">
        <f>E19*K4</f>
        <v>227</v>
      </c>
    </row>
    <row r="20" spans="1:11" x14ac:dyDescent="0.25">
      <c r="A20" s="177"/>
      <c r="B20" s="178"/>
      <c r="C20" s="29" t="s">
        <v>31</v>
      </c>
      <c r="D20" s="89">
        <f>'მონიტორინგის კვლევების ჯგუფები'!E6</f>
        <v>227</v>
      </c>
      <c r="E20" s="179"/>
      <c r="F20" s="47"/>
      <c r="G20" s="196"/>
      <c r="H20" s="196"/>
      <c r="I20" s="47"/>
      <c r="J20" s="196"/>
      <c r="K20" s="196"/>
    </row>
    <row r="21" spans="1:11" x14ac:dyDescent="0.25">
      <c r="A21" s="177"/>
      <c r="B21" s="178"/>
      <c r="C21" s="37" t="s">
        <v>34</v>
      </c>
      <c r="D21" s="89">
        <f>'მონიტორინგის კვლევების ჯგუფები'!E7</f>
        <v>218</v>
      </c>
      <c r="E21" s="179"/>
      <c r="F21" s="47"/>
      <c r="G21" s="197"/>
      <c r="H21" s="197"/>
      <c r="I21" s="47"/>
      <c r="J21" s="197"/>
      <c r="K21" s="197"/>
    </row>
    <row r="22" spans="1:11" x14ac:dyDescent="0.25">
      <c r="A22" s="177"/>
      <c r="E22" s="36"/>
      <c r="F22" s="47"/>
      <c r="I22" s="47"/>
    </row>
    <row r="23" spans="1:11" x14ac:dyDescent="0.25">
      <c r="A23" s="177"/>
      <c r="B23" s="178" t="s">
        <v>56</v>
      </c>
      <c r="C23" s="29" t="s">
        <v>35</v>
      </c>
      <c r="D23" s="89">
        <f>'მონიტორინგის კვლევების ჯგუფები'!E8</f>
        <v>304</v>
      </c>
      <c r="E23" s="180">
        <f>AVERAGE(D23:D25)</f>
        <v>289</v>
      </c>
      <c r="F23" s="47"/>
      <c r="G23" s="188">
        <f>E23*G4</f>
        <v>0</v>
      </c>
      <c r="H23" s="195">
        <f>E23*H4</f>
        <v>0</v>
      </c>
      <c r="I23" s="47"/>
      <c r="J23" s="188">
        <f>E23*J4</f>
        <v>289</v>
      </c>
      <c r="K23" s="195">
        <f>E23*K4</f>
        <v>289</v>
      </c>
    </row>
    <row r="24" spans="1:11" x14ac:dyDescent="0.25">
      <c r="A24" s="177"/>
      <c r="B24" s="178"/>
      <c r="C24" s="29" t="s">
        <v>32</v>
      </c>
      <c r="D24" s="89">
        <f>'მონიტორინგის კვლევების ჯგუფები'!E9</f>
        <v>286</v>
      </c>
      <c r="E24" s="181"/>
      <c r="F24" s="47"/>
      <c r="G24" s="188"/>
      <c r="H24" s="196"/>
      <c r="I24" s="47"/>
      <c r="J24" s="188"/>
      <c r="K24" s="196"/>
    </row>
    <row r="25" spans="1:11" x14ac:dyDescent="0.25">
      <c r="A25" s="177"/>
      <c r="B25" s="178"/>
      <c r="C25" s="37" t="s">
        <v>36</v>
      </c>
      <c r="D25" s="89">
        <f>'მონიტორინგის კვლევების ჯგუფები'!E10</f>
        <v>277</v>
      </c>
      <c r="E25" s="182"/>
      <c r="F25" s="47"/>
      <c r="G25" s="188"/>
      <c r="H25" s="197"/>
      <c r="I25" s="47"/>
      <c r="J25" s="188"/>
      <c r="K25" s="197"/>
    </row>
    <row r="26" spans="1:11" x14ac:dyDescent="0.25">
      <c r="A26" s="177"/>
      <c r="E26" s="36"/>
      <c r="F26" s="47"/>
      <c r="I26" s="47"/>
    </row>
    <row r="27" spans="1:11" x14ac:dyDescent="0.25">
      <c r="A27" s="177"/>
      <c r="B27" s="87" t="s">
        <v>57</v>
      </c>
      <c r="C27" s="27" t="s">
        <v>53</v>
      </c>
      <c r="D27" s="38">
        <f>'მონიტორინგის კვლევების ჯგუფები'!E11</f>
        <v>130</v>
      </c>
      <c r="E27" s="90">
        <v>130</v>
      </c>
      <c r="F27" s="47"/>
      <c r="G27" s="89">
        <v>0</v>
      </c>
      <c r="H27" s="89">
        <v>0</v>
      </c>
      <c r="I27" s="47"/>
      <c r="J27" s="89">
        <f>E27</f>
        <v>130</v>
      </c>
      <c r="K27" s="89">
        <f>E27</f>
        <v>130</v>
      </c>
    </row>
    <row r="28" spans="1:11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5">
      <c r="A29" s="199" t="s">
        <v>66</v>
      </c>
      <c r="B29" s="178" t="s">
        <v>48</v>
      </c>
      <c r="C29" s="27" t="s">
        <v>58</v>
      </c>
      <c r="D29" s="89">
        <f>E5+E19+E27</f>
        <v>795</v>
      </c>
      <c r="E29" s="179">
        <f>AVERAGE(D29:D30)</f>
        <v>790.5</v>
      </c>
      <c r="F29" s="47"/>
      <c r="G29" s="188">
        <f>(E29-E27)*G4</f>
        <v>0</v>
      </c>
      <c r="H29" s="188">
        <f>(E29-E27)*H4</f>
        <v>0</v>
      </c>
      <c r="I29" s="47"/>
      <c r="J29" s="188">
        <f>(E29-E27)*J4+E27</f>
        <v>790.5</v>
      </c>
      <c r="K29" s="188">
        <f>(E29-E27)*K4+E27</f>
        <v>790.5</v>
      </c>
    </row>
    <row r="30" spans="1:11" x14ac:dyDescent="0.25">
      <c r="A30" s="200"/>
      <c r="B30" s="178"/>
      <c r="C30" s="27" t="s">
        <v>60</v>
      </c>
      <c r="D30" s="89">
        <f>E9+E19+E27</f>
        <v>786</v>
      </c>
      <c r="E30" s="179"/>
      <c r="F30" s="47"/>
      <c r="G30" s="188"/>
      <c r="H30" s="188"/>
      <c r="I30" s="47"/>
      <c r="J30" s="188"/>
      <c r="K30" s="188"/>
    </row>
    <row r="31" spans="1:11" x14ac:dyDescent="0.25">
      <c r="A31" s="200"/>
      <c r="B31" s="36"/>
      <c r="D31" s="35"/>
      <c r="E31" s="36"/>
      <c r="F31" s="47"/>
      <c r="I31" s="47"/>
    </row>
    <row r="32" spans="1:11" x14ac:dyDescent="0.25">
      <c r="A32" s="200"/>
      <c r="B32" s="178" t="s">
        <v>49</v>
      </c>
      <c r="C32" s="27" t="s">
        <v>59</v>
      </c>
      <c r="D32" s="89">
        <f>E5+E23+E27</f>
        <v>857</v>
      </c>
      <c r="E32" s="179">
        <f>AVERAGE(D32:D33)</f>
        <v>852.5</v>
      </c>
      <c r="F32" s="47"/>
      <c r="G32" s="188">
        <f>(E32-E27)*G4</f>
        <v>0</v>
      </c>
      <c r="H32" s="188">
        <f>(E32-E27)*H4</f>
        <v>0</v>
      </c>
      <c r="I32" s="47"/>
      <c r="J32" s="188">
        <f>(E32-E27)*J4+E27</f>
        <v>852.5</v>
      </c>
      <c r="K32" s="188">
        <f>(E32-E27)*K4+E27</f>
        <v>852.5</v>
      </c>
    </row>
    <row r="33" spans="1:11" x14ac:dyDescent="0.25">
      <c r="A33" s="200"/>
      <c r="B33" s="178"/>
      <c r="C33" s="27" t="s">
        <v>61</v>
      </c>
      <c r="D33" s="89">
        <f>E9+E23+E27</f>
        <v>848</v>
      </c>
      <c r="E33" s="179"/>
      <c r="F33" s="47"/>
      <c r="G33" s="188"/>
      <c r="H33" s="188"/>
      <c r="I33" s="47"/>
      <c r="J33" s="188"/>
      <c r="K33" s="188"/>
    </row>
    <row r="34" spans="1:11" x14ac:dyDescent="0.25">
      <c r="A34" s="200"/>
      <c r="B34" s="36"/>
      <c r="D34" s="35"/>
      <c r="E34" s="36"/>
      <c r="F34" s="47"/>
      <c r="I34" s="47"/>
    </row>
    <row r="35" spans="1:11" x14ac:dyDescent="0.25">
      <c r="A35" s="200"/>
      <c r="B35" s="178" t="s">
        <v>52</v>
      </c>
      <c r="C35" s="27" t="s">
        <v>62</v>
      </c>
      <c r="D35" s="89">
        <f>E12+E19+E27</f>
        <v>715</v>
      </c>
      <c r="E35" s="179">
        <f>AVERAGE(D35:D36)</f>
        <v>710.5</v>
      </c>
      <c r="F35" s="47"/>
      <c r="G35" s="188">
        <f>(E35-E27)*G4</f>
        <v>0</v>
      </c>
      <c r="H35" s="188">
        <f>(E35-E27)*H4</f>
        <v>0</v>
      </c>
      <c r="I35" s="47"/>
      <c r="J35" s="188">
        <f>(E35-E27)*J4+E27</f>
        <v>710.5</v>
      </c>
      <c r="K35" s="188">
        <f>(E35-E27)*K4+E27</f>
        <v>710.5</v>
      </c>
    </row>
    <row r="36" spans="1:11" x14ac:dyDescent="0.25">
      <c r="A36" s="200"/>
      <c r="B36" s="178"/>
      <c r="C36" s="27" t="s">
        <v>64</v>
      </c>
      <c r="D36" s="89">
        <f>E16+E19+E27</f>
        <v>706</v>
      </c>
      <c r="E36" s="179"/>
      <c r="F36" s="47"/>
      <c r="G36" s="188"/>
      <c r="H36" s="188"/>
      <c r="I36" s="47"/>
      <c r="J36" s="188"/>
      <c r="K36" s="188"/>
    </row>
    <row r="37" spans="1:11" x14ac:dyDescent="0.25">
      <c r="A37" s="200"/>
      <c r="B37" s="36"/>
      <c r="D37" s="35"/>
      <c r="E37" s="36"/>
      <c r="F37" s="47"/>
      <c r="I37" s="47"/>
    </row>
    <row r="38" spans="1:11" x14ac:dyDescent="0.25">
      <c r="A38" s="200"/>
      <c r="B38" s="183" t="s">
        <v>50</v>
      </c>
      <c r="C38" s="27" t="s">
        <v>63</v>
      </c>
      <c r="D38" s="89">
        <f>E12+E23+E27</f>
        <v>777</v>
      </c>
      <c r="E38" s="179">
        <f>AVERAGE(D38:D39)</f>
        <v>772.5</v>
      </c>
      <c r="F38" s="47"/>
      <c r="G38" s="188">
        <f>(E38-E27)*G4</f>
        <v>0</v>
      </c>
      <c r="H38" s="188">
        <f>(E38-E27)*H4</f>
        <v>0</v>
      </c>
      <c r="I38" s="47"/>
      <c r="J38" s="188">
        <f>(E38-E27)*J4+E27</f>
        <v>772.5</v>
      </c>
      <c r="K38" s="188">
        <f>(E38-E27)*K4+E27</f>
        <v>772.5</v>
      </c>
    </row>
    <row r="39" spans="1:11" x14ac:dyDescent="0.25">
      <c r="A39" s="201"/>
      <c r="B39" s="184"/>
      <c r="C39" s="27" t="s">
        <v>65</v>
      </c>
      <c r="D39" s="89">
        <f>E16+E23+E27</f>
        <v>768</v>
      </c>
      <c r="E39" s="179"/>
      <c r="F39" s="47"/>
      <c r="G39" s="188"/>
      <c r="H39" s="188"/>
      <c r="I39" s="47"/>
      <c r="J39" s="188"/>
      <c r="K39" s="188"/>
    </row>
    <row r="40" spans="1:11" x14ac:dyDescent="0.25">
      <c r="A40" s="48"/>
      <c r="B40" s="49"/>
      <c r="C40" s="50"/>
      <c r="D40" s="51"/>
      <c r="E40" s="49"/>
      <c r="F40" s="47"/>
      <c r="G40" s="51"/>
      <c r="H40" s="51"/>
      <c r="I40" s="47"/>
      <c r="J40" s="47"/>
      <c r="K40" s="47"/>
    </row>
    <row r="41" spans="1:11" x14ac:dyDescent="0.25">
      <c r="F41" s="47"/>
      <c r="G41" s="185" t="s">
        <v>75</v>
      </c>
      <c r="H41" s="185"/>
      <c r="I41" s="47"/>
      <c r="J41" s="185" t="s">
        <v>76</v>
      </c>
      <c r="K41" s="185"/>
    </row>
    <row r="42" spans="1:11" ht="13.5" customHeight="1" x14ac:dyDescent="0.25">
      <c r="F42" s="47"/>
      <c r="G42" s="88" t="s">
        <v>67</v>
      </c>
      <c r="H42" s="88" t="s">
        <v>47</v>
      </c>
      <c r="I42" s="47"/>
      <c r="J42" s="88" t="s">
        <v>67</v>
      </c>
      <c r="K42" s="88" t="s">
        <v>47</v>
      </c>
    </row>
    <row r="43" spans="1:11" ht="21" customHeight="1" x14ac:dyDescent="0.25">
      <c r="A43" s="198" t="s">
        <v>66</v>
      </c>
      <c r="B43" s="89" t="s">
        <v>48</v>
      </c>
      <c r="C43" s="186" t="s">
        <v>68</v>
      </c>
      <c r="D43" s="187"/>
      <c r="E43" s="89">
        <f>AVERAGE(E29,E35)</f>
        <v>750.5</v>
      </c>
      <c r="F43" s="47"/>
      <c r="G43" s="89">
        <v>0</v>
      </c>
      <c r="H43" s="89">
        <v>50</v>
      </c>
      <c r="I43" s="47"/>
      <c r="J43" s="89">
        <f>E43-G43</f>
        <v>750.5</v>
      </c>
      <c r="K43" s="89">
        <f>E43-H43</f>
        <v>700.5</v>
      </c>
    </row>
    <row r="44" spans="1:11" ht="29.25" customHeight="1" x14ac:dyDescent="0.25">
      <c r="A44" s="198"/>
      <c r="B44" s="89" t="s">
        <v>49</v>
      </c>
      <c r="C44" s="186" t="s">
        <v>69</v>
      </c>
      <c r="D44" s="187"/>
      <c r="E44" s="89">
        <f>AVERAGE(E32,E38)</f>
        <v>812.5</v>
      </c>
      <c r="F44" s="47"/>
      <c r="G44" s="89">
        <v>0</v>
      </c>
      <c r="H44" s="89">
        <v>100</v>
      </c>
      <c r="I44" s="47"/>
      <c r="J44" s="89">
        <f>E44-G44</f>
        <v>812.5</v>
      </c>
      <c r="K44" s="89">
        <f>E44-H44</f>
        <v>712.5</v>
      </c>
    </row>
    <row r="45" spans="1:11" x14ac:dyDescent="0.25">
      <c r="A45" s="48"/>
      <c r="B45" s="49"/>
      <c r="C45" s="50"/>
      <c r="D45" s="51"/>
      <c r="E45" s="49"/>
      <c r="F45" s="47"/>
      <c r="G45" s="51"/>
      <c r="H45" s="51"/>
      <c r="I45" s="47"/>
      <c r="J45" s="47"/>
      <c r="K45" s="47"/>
    </row>
    <row r="46" spans="1:11" x14ac:dyDescent="0.25">
      <c r="A46" s="192" t="s">
        <v>77</v>
      </c>
      <c r="B46" s="27"/>
      <c r="C46" s="42" t="s">
        <v>79</v>
      </c>
      <c r="D46" s="52" t="s">
        <v>67</v>
      </c>
      <c r="E46" s="42" t="s">
        <v>47</v>
      </c>
    </row>
    <row r="47" spans="1:11" ht="23.25" x14ac:dyDescent="0.25">
      <c r="A47" s="193"/>
      <c r="B47" s="53" t="s">
        <v>70</v>
      </c>
      <c r="C47" s="89">
        <v>8000</v>
      </c>
      <c r="D47" s="89">
        <f>C47*10%</f>
        <v>800</v>
      </c>
      <c r="E47" s="89">
        <f>C47*90%</f>
        <v>7200</v>
      </c>
    </row>
    <row r="48" spans="1:11" ht="21" customHeight="1" x14ac:dyDescent="0.25">
      <c r="A48" s="193"/>
      <c r="B48" s="53" t="s">
        <v>68</v>
      </c>
      <c r="C48" s="89">
        <f>C47*90%</f>
        <v>7200</v>
      </c>
      <c r="D48" s="89">
        <f>D47*90%</f>
        <v>720</v>
      </c>
      <c r="E48" s="89">
        <f>E47*90%</f>
        <v>6480</v>
      </c>
    </row>
    <row r="49" spans="1:5" ht="34.5" x14ac:dyDescent="0.25">
      <c r="A49" s="194"/>
      <c r="B49" s="53" t="s">
        <v>69</v>
      </c>
      <c r="C49" s="89">
        <f>C47*10%</f>
        <v>800</v>
      </c>
      <c r="D49" s="89">
        <f>D47*10%</f>
        <v>80</v>
      </c>
      <c r="E49" s="89">
        <f>E47*10%</f>
        <v>720</v>
      </c>
    </row>
    <row r="50" spans="1:5" x14ac:dyDescent="0.25">
      <c r="A50" s="47"/>
      <c r="B50" s="47"/>
      <c r="C50" s="47"/>
      <c r="D50" s="47"/>
      <c r="E50" s="47"/>
    </row>
    <row r="51" spans="1:5" x14ac:dyDescent="0.25">
      <c r="A51" s="177" t="s">
        <v>78</v>
      </c>
      <c r="C51" s="42" t="s">
        <v>109</v>
      </c>
      <c r="D51" s="52" t="s">
        <v>67</v>
      </c>
      <c r="E51" s="42" t="s">
        <v>47</v>
      </c>
    </row>
    <row r="52" spans="1:5" ht="34.5" x14ac:dyDescent="0.25">
      <c r="A52" s="177"/>
      <c r="B52" s="74" t="s">
        <v>68</v>
      </c>
      <c r="C52" s="43">
        <f>D52+E52</f>
        <v>324000</v>
      </c>
      <c r="D52" s="44">
        <f>D48*G43</f>
        <v>0</v>
      </c>
      <c r="E52" s="44">
        <f>E48*H43</f>
        <v>324000</v>
      </c>
    </row>
    <row r="53" spans="1:5" ht="34.5" x14ac:dyDescent="0.25">
      <c r="A53" s="177"/>
      <c r="B53" s="74" t="s">
        <v>69</v>
      </c>
      <c r="C53" s="43">
        <f>D53+E53</f>
        <v>72000</v>
      </c>
      <c r="D53" s="44">
        <f>D49*G44</f>
        <v>0</v>
      </c>
      <c r="E53" s="44">
        <f>E49*H44</f>
        <v>72000</v>
      </c>
    </row>
    <row r="54" spans="1:5" x14ac:dyDescent="0.25">
      <c r="A54" s="177"/>
      <c r="B54" s="75" t="s">
        <v>71</v>
      </c>
      <c r="C54" s="54">
        <f>C52+C53</f>
        <v>396000</v>
      </c>
      <c r="D54" s="43">
        <f>D52+D53</f>
        <v>0</v>
      </c>
      <c r="E54" s="43">
        <f>E52+E53</f>
        <v>396000</v>
      </c>
    </row>
    <row r="55" spans="1:5" x14ac:dyDescent="0.25">
      <c r="A55" s="47"/>
      <c r="B55" s="47"/>
      <c r="C55" s="47"/>
      <c r="D55" s="47"/>
      <c r="E55" s="47"/>
    </row>
    <row r="56" spans="1:5" x14ac:dyDescent="0.25">
      <c r="A56" s="177" t="s">
        <v>80</v>
      </c>
      <c r="C56" s="42" t="s">
        <v>109</v>
      </c>
      <c r="D56" s="52" t="s">
        <v>67</v>
      </c>
      <c r="E56" s="42" t="s">
        <v>47</v>
      </c>
    </row>
    <row r="57" spans="1:5" ht="34.5" x14ac:dyDescent="0.25">
      <c r="A57" s="177"/>
      <c r="B57" s="74" t="s">
        <v>68</v>
      </c>
      <c r="C57" s="43">
        <f>D57+E57</f>
        <v>5079600</v>
      </c>
      <c r="D57" s="44">
        <f>D48*J43</f>
        <v>540360</v>
      </c>
      <c r="E57" s="44">
        <f>E48*K43</f>
        <v>4539240</v>
      </c>
    </row>
    <row r="58" spans="1:5" ht="34.5" x14ac:dyDescent="0.25">
      <c r="A58" s="177"/>
      <c r="B58" s="74" t="s">
        <v>69</v>
      </c>
      <c r="C58" s="43">
        <f>D58+E58</f>
        <v>578000</v>
      </c>
      <c r="D58" s="44">
        <f>D49*J44</f>
        <v>65000</v>
      </c>
      <c r="E58" s="44">
        <f>E49*K44</f>
        <v>513000</v>
      </c>
    </row>
    <row r="59" spans="1:5" ht="23.25" x14ac:dyDescent="0.25">
      <c r="A59" s="177"/>
      <c r="B59" s="75" t="s">
        <v>99</v>
      </c>
      <c r="C59" s="54">
        <f>C57+C58</f>
        <v>5657600</v>
      </c>
      <c r="D59" s="43">
        <f>D57+D58</f>
        <v>605360</v>
      </c>
      <c r="E59" s="43">
        <f>E57+E58</f>
        <v>5052240</v>
      </c>
    </row>
    <row r="60" spans="1:5" x14ac:dyDescent="0.25">
      <c r="A60" s="177"/>
      <c r="B60" s="75"/>
      <c r="C60" s="54"/>
      <c r="D60" s="43"/>
      <c r="E60" s="43"/>
    </row>
    <row r="61" spans="1:5" ht="23.25" x14ac:dyDescent="0.25">
      <c r="A61" s="177"/>
      <c r="B61" s="75" t="s">
        <v>100</v>
      </c>
      <c r="C61" s="54">
        <f>C47*50</f>
        <v>400000</v>
      </c>
      <c r="D61" s="43"/>
      <c r="E61" s="43"/>
    </row>
    <row r="62" spans="1:5" ht="15.75" x14ac:dyDescent="0.25">
      <c r="A62" s="177"/>
      <c r="B62" s="75" t="s">
        <v>71</v>
      </c>
      <c r="C62" s="86">
        <f>C59+C61</f>
        <v>6057600</v>
      </c>
      <c r="D62" s="43"/>
      <c r="E62" s="43"/>
    </row>
    <row r="63" spans="1:5" x14ac:dyDescent="0.25">
      <c r="A63" s="47"/>
      <c r="B63" s="47"/>
      <c r="C63" s="47"/>
      <c r="D63" s="47"/>
      <c r="E63" s="47"/>
    </row>
    <row r="65" spans="2:5" ht="23.25" x14ac:dyDescent="0.25">
      <c r="B65" s="73" t="s">
        <v>138</v>
      </c>
      <c r="C65">
        <f>32000-25000</f>
        <v>7000</v>
      </c>
      <c r="D65">
        <v>60</v>
      </c>
      <c r="E65">
        <f>C65*D65</f>
        <v>420000</v>
      </c>
    </row>
    <row r="67" spans="2:5" ht="18.75" x14ac:dyDescent="0.3">
      <c r="B67" s="55" t="s">
        <v>81</v>
      </c>
      <c r="C67" s="56">
        <f>C54+C62</f>
        <v>6453600</v>
      </c>
    </row>
  </sheetData>
  <mergeCells count="75">
    <mergeCell ref="A1:K1"/>
    <mergeCell ref="G2:H2"/>
    <mergeCell ref="J2:K2"/>
    <mergeCell ref="D4:E4"/>
    <mergeCell ref="A5:A17"/>
    <mergeCell ref="B5:B7"/>
    <mergeCell ref="E5:E7"/>
    <mergeCell ref="G5:G7"/>
    <mergeCell ref="H5:H7"/>
    <mergeCell ref="J5:J7"/>
    <mergeCell ref="K5:K7"/>
    <mergeCell ref="B9:B10"/>
    <mergeCell ref="E9:E10"/>
    <mergeCell ref="G9:G10"/>
    <mergeCell ref="H9:H10"/>
    <mergeCell ref="J9:J10"/>
    <mergeCell ref="K9:K10"/>
    <mergeCell ref="K16:K17"/>
    <mergeCell ref="B12:B14"/>
    <mergeCell ref="E12:E14"/>
    <mergeCell ref="G12:G14"/>
    <mergeCell ref="H12:H14"/>
    <mergeCell ref="J12:J14"/>
    <mergeCell ref="K12:K14"/>
    <mergeCell ref="B16:B17"/>
    <mergeCell ref="E16:E17"/>
    <mergeCell ref="G16:G17"/>
    <mergeCell ref="H16:H17"/>
    <mergeCell ref="J16:J17"/>
    <mergeCell ref="A19:A27"/>
    <mergeCell ref="B19:B21"/>
    <mergeCell ref="E19:E21"/>
    <mergeCell ref="G19:G21"/>
    <mergeCell ref="H19:H21"/>
    <mergeCell ref="K19:K21"/>
    <mergeCell ref="B23:B25"/>
    <mergeCell ref="E23:E25"/>
    <mergeCell ref="G23:G25"/>
    <mergeCell ref="H23:H25"/>
    <mergeCell ref="J23:J25"/>
    <mergeCell ref="K23:K25"/>
    <mergeCell ref="J19:J21"/>
    <mergeCell ref="A29:A39"/>
    <mergeCell ref="B29:B30"/>
    <mergeCell ref="E29:E30"/>
    <mergeCell ref="G29:G30"/>
    <mergeCell ref="H29:H30"/>
    <mergeCell ref="B35:B36"/>
    <mergeCell ref="E35:E36"/>
    <mergeCell ref="G35:G36"/>
    <mergeCell ref="H35:H36"/>
    <mergeCell ref="K29:K30"/>
    <mergeCell ref="B32:B33"/>
    <mergeCell ref="E32:E33"/>
    <mergeCell ref="G32:G33"/>
    <mergeCell ref="H32:H33"/>
    <mergeCell ref="J32:J33"/>
    <mergeCell ref="K32:K33"/>
    <mergeCell ref="J29:J30"/>
    <mergeCell ref="J35:J36"/>
    <mergeCell ref="K35:K36"/>
    <mergeCell ref="B38:B39"/>
    <mergeCell ref="E38:E39"/>
    <mergeCell ref="G38:G39"/>
    <mergeCell ref="H38:H39"/>
    <mergeCell ref="J38:J39"/>
    <mergeCell ref="K38:K39"/>
    <mergeCell ref="A51:A54"/>
    <mergeCell ref="A56:A62"/>
    <mergeCell ref="G41:H41"/>
    <mergeCell ref="J41:K41"/>
    <mergeCell ref="A43:A44"/>
    <mergeCell ref="C43:D43"/>
    <mergeCell ref="C44:D44"/>
    <mergeCell ref="A46:A49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opLeftCell="A52" workbookViewId="0">
      <selection activeCell="B65" sqref="B65:E65"/>
    </sheetView>
  </sheetViews>
  <sheetFormatPr defaultRowHeight="15" x14ac:dyDescent="0.25"/>
  <cols>
    <col min="2" max="2" width="18.5703125" bestFit="1" customWidth="1"/>
    <col min="3" max="3" width="42.5703125" bestFit="1" customWidth="1"/>
    <col min="4" max="4" width="17.42578125" customWidth="1"/>
    <col min="5" max="5" width="18.140625" customWidth="1"/>
    <col min="6" max="6" width="4" customWidth="1"/>
    <col min="7" max="7" width="14.5703125" bestFit="1" customWidth="1"/>
    <col min="8" max="8" width="10.42578125" customWidth="1"/>
    <col min="9" max="9" width="4" customWidth="1"/>
    <col min="10" max="10" width="14.5703125" bestFit="1" customWidth="1"/>
    <col min="11" max="11" width="10" customWidth="1"/>
    <col min="12" max="12" width="17" customWidth="1"/>
    <col min="13" max="13" width="15.5703125" customWidth="1"/>
  </cols>
  <sheetData>
    <row r="1" spans="1:11" x14ac:dyDescent="0.25">
      <c r="A1" s="202" t="s">
        <v>82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x14ac:dyDescent="0.25">
      <c r="F2" s="47"/>
      <c r="G2" s="189" t="s">
        <v>73</v>
      </c>
      <c r="H2" s="189"/>
      <c r="I2" s="47"/>
      <c r="J2" s="189" t="s">
        <v>72</v>
      </c>
      <c r="K2" s="189"/>
    </row>
    <row r="3" spans="1:11" x14ac:dyDescent="0.25">
      <c r="F3" s="47"/>
      <c r="G3" s="45" t="s">
        <v>67</v>
      </c>
      <c r="H3" s="45" t="s">
        <v>47</v>
      </c>
      <c r="I3" s="47"/>
      <c r="J3" s="45" t="s">
        <v>67</v>
      </c>
      <c r="K3" s="45" t="s">
        <v>47</v>
      </c>
    </row>
    <row r="4" spans="1:11" ht="34.5" customHeight="1" x14ac:dyDescent="0.25">
      <c r="D4" s="190" t="s">
        <v>74</v>
      </c>
      <c r="E4" s="191"/>
      <c r="F4" s="47"/>
      <c r="G4" s="46">
        <v>0</v>
      </c>
      <c r="H4" s="46">
        <v>0</v>
      </c>
      <c r="I4" s="47"/>
      <c r="J4" s="46">
        <v>1</v>
      </c>
      <c r="K4" s="46">
        <v>1</v>
      </c>
    </row>
    <row r="5" spans="1:11" x14ac:dyDescent="0.25">
      <c r="A5" s="177" t="s">
        <v>51</v>
      </c>
      <c r="B5" s="178" t="s">
        <v>43</v>
      </c>
      <c r="C5" s="27" t="s">
        <v>39</v>
      </c>
      <c r="D5" s="89">
        <v>60</v>
      </c>
      <c r="E5" s="179">
        <f>D5+D6+D7</f>
        <v>438</v>
      </c>
      <c r="F5" s="47"/>
      <c r="G5" s="188">
        <f>E5*$G$4</f>
        <v>0</v>
      </c>
      <c r="H5" s="188">
        <f>E5*H4</f>
        <v>0</v>
      </c>
      <c r="I5" s="47"/>
      <c r="J5" s="188">
        <f>E5*J4</f>
        <v>438</v>
      </c>
      <c r="K5" s="188">
        <f>E5*K4</f>
        <v>438</v>
      </c>
    </row>
    <row r="6" spans="1:11" x14ac:dyDescent="0.25">
      <c r="A6" s="177"/>
      <c r="B6" s="178"/>
      <c r="C6" s="27" t="s">
        <v>40</v>
      </c>
      <c r="D6" s="89">
        <f>'მკურნალობაში ჩართვის ჯგუფები'!E6</f>
        <v>369</v>
      </c>
      <c r="E6" s="179"/>
      <c r="F6" s="47"/>
      <c r="G6" s="188"/>
      <c r="H6" s="188"/>
      <c r="I6" s="47"/>
      <c r="J6" s="188"/>
      <c r="K6" s="188"/>
    </row>
    <row r="7" spans="1:11" x14ac:dyDescent="0.25">
      <c r="A7" s="177"/>
      <c r="B7" s="178"/>
      <c r="C7" s="27" t="s">
        <v>42</v>
      </c>
      <c r="D7" s="89">
        <f>'მკურნალობაში ჩართვის ჯგუფები'!E8</f>
        <v>9</v>
      </c>
      <c r="E7" s="179"/>
      <c r="F7" s="47"/>
      <c r="G7" s="188"/>
      <c r="H7" s="188"/>
      <c r="I7" s="47"/>
      <c r="J7" s="188"/>
      <c r="K7" s="188"/>
    </row>
    <row r="8" spans="1:11" x14ac:dyDescent="0.25">
      <c r="A8" s="177"/>
      <c r="D8" s="35"/>
      <c r="E8" s="36"/>
      <c r="F8" s="47"/>
      <c r="I8" s="47"/>
    </row>
    <row r="9" spans="1:11" x14ac:dyDescent="0.25">
      <c r="A9" s="177"/>
      <c r="B9" s="178" t="s">
        <v>44</v>
      </c>
      <c r="C9" s="27" t="s">
        <v>39</v>
      </c>
      <c r="D9" s="89">
        <v>60</v>
      </c>
      <c r="E9" s="179">
        <f>D9+D10</f>
        <v>429</v>
      </c>
      <c r="F9" s="47"/>
      <c r="G9" s="188">
        <f>E9*G4</f>
        <v>0</v>
      </c>
      <c r="H9" s="188">
        <f>E9*H4</f>
        <v>0</v>
      </c>
      <c r="I9" s="47"/>
      <c r="J9" s="188">
        <f>E9*J4</f>
        <v>429</v>
      </c>
      <c r="K9" s="188">
        <f>E9*K4</f>
        <v>429</v>
      </c>
    </row>
    <row r="10" spans="1:11" x14ac:dyDescent="0.25">
      <c r="A10" s="177"/>
      <c r="B10" s="178"/>
      <c r="C10" s="27" t="s">
        <v>40</v>
      </c>
      <c r="D10" s="89">
        <f>'მკურნალობაში ჩართვის ჯგუფები'!E6</f>
        <v>369</v>
      </c>
      <c r="E10" s="179"/>
      <c r="F10" s="47"/>
      <c r="G10" s="188"/>
      <c r="H10" s="188"/>
      <c r="I10" s="47"/>
      <c r="J10" s="188"/>
      <c r="K10" s="188"/>
    </row>
    <row r="11" spans="1:11" x14ac:dyDescent="0.25">
      <c r="A11" s="177"/>
      <c r="D11" s="35"/>
      <c r="E11" s="36"/>
      <c r="F11" s="47"/>
      <c r="I11" s="47"/>
    </row>
    <row r="12" spans="1:11" x14ac:dyDescent="0.25">
      <c r="A12" s="177"/>
      <c r="B12" s="178" t="s">
        <v>45</v>
      </c>
      <c r="C12" s="27" t="s">
        <v>39</v>
      </c>
      <c r="D12" s="89">
        <v>60</v>
      </c>
      <c r="E12" s="179">
        <f>D12+D13+D14</f>
        <v>358</v>
      </c>
      <c r="F12" s="47"/>
      <c r="G12" s="188">
        <f>E12*G4</f>
        <v>0</v>
      </c>
      <c r="H12" s="188">
        <f>E12*H4</f>
        <v>0</v>
      </c>
      <c r="I12" s="47"/>
      <c r="J12" s="188">
        <f>E12*J4</f>
        <v>358</v>
      </c>
      <c r="K12" s="188">
        <f>E12*K4</f>
        <v>358</v>
      </c>
    </row>
    <row r="13" spans="1:11" x14ac:dyDescent="0.25">
      <c r="A13" s="177"/>
      <c r="B13" s="178"/>
      <c r="C13" s="27" t="s">
        <v>41</v>
      </c>
      <c r="D13" s="89">
        <f>'მკურნალობაში ჩართვის ჯგუფები'!E7</f>
        <v>289</v>
      </c>
      <c r="E13" s="179"/>
      <c r="F13" s="47"/>
      <c r="G13" s="188"/>
      <c r="H13" s="188"/>
      <c r="I13" s="47"/>
      <c r="J13" s="188"/>
      <c r="K13" s="188"/>
    </row>
    <row r="14" spans="1:11" x14ac:dyDescent="0.25">
      <c r="A14" s="177"/>
      <c r="B14" s="178"/>
      <c r="C14" s="27" t="s">
        <v>42</v>
      </c>
      <c r="D14" s="89">
        <f>'მკურნალობაში ჩართვის ჯგუფები'!E8</f>
        <v>9</v>
      </c>
      <c r="E14" s="179"/>
      <c r="F14" s="47"/>
      <c r="G14" s="188"/>
      <c r="H14" s="188"/>
      <c r="I14" s="47"/>
      <c r="J14" s="188"/>
      <c r="K14" s="188"/>
    </row>
    <row r="15" spans="1:11" x14ac:dyDescent="0.25">
      <c r="A15" s="177"/>
      <c r="D15" s="35"/>
      <c r="E15" s="36"/>
      <c r="F15" s="47"/>
      <c r="I15" s="47"/>
    </row>
    <row r="16" spans="1:11" x14ac:dyDescent="0.25">
      <c r="A16" s="177"/>
      <c r="B16" s="178" t="s">
        <v>46</v>
      </c>
      <c r="C16" s="27" t="s">
        <v>39</v>
      </c>
      <c r="D16" s="89">
        <v>60</v>
      </c>
      <c r="E16" s="179">
        <f>D16+D17</f>
        <v>349</v>
      </c>
      <c r="F16" s="47"/>
      <c r="G16" s="188">
        <f>E16*G4</f>
        <v>0</v>
      </c>
      <c r="H16" s="188">
        <f>E16*H4</f>
        <v>0</v>
      </c>
      <c r="I16" s="47"/>
      <c r="J16" s="188">
        <f>E16*J4</f>
        <v>349</v>
      </c>
      <c r="K16" s="188">
        <f>E16*K4</f>
        <v>349</v>
      </c>
    </row>
    <row r="17" spans="1:11" x14ac:dyDescent="0.25">
      <c r="A17" s="177"/>
      <c r="B17" s="178"/>
      <c r="C17" s="27" t="s">
        <v>41</v>
      </c>
      <c r="D17" s="89">
        <f>'მკურნალობაში ჩართვის ჯგუფები'!E7</f>
        <v>289</v>
      </c>
      <c r="E17" s="179"/>
      <c r="F17" s="47"/>
      <c r="G17" s="188"/>
      <c r="H17" s="188"/>
      <c r="I17" s="47"/>
      <c r="J17" s="188"/>
      <c r="K17" s="188"/>
    </row>
    <row r="18" spans="1:11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</row>
    <row r="19" spans="1:11" x14ac:dyDescent="0.25">
      <c r="A19" s="177" t="s">
        <v>54</v>
      </c>
      <c r="B19" s="178" t="s">
        <v>55</v>
      </c>
      <c r="C19" s="29" t="s">
        <v>33</v>
      </c>
      <c r="D19" s="89">
        <f>'მონიტორინგის კვლევების ჯგუფები'!E5</f>
        <v>236</v>
      </c>
      <c r="E19" s="179">
        <f>AVERAGE(D19:D21)</f>
        <v>227</v>
      </c>
      <c r="F19" s="47"/>
      <c r="G19" s="195">
        <f>E19*G4</f>
        <v>0</v>
      </c>
      <c r="H19" s="195">
        <f>E19*H4</f>
        <v>0</v>
      </c>
      <c r="I19" s="47"/>
      <c r="J19" s="195">
        <f>E19*J4</f>
        <v>227</v>
      </c>
      <c r="K19" s="195">
        <f>E19*K4</f>
        <v>227</v>
      </c>
    </row>
    <row r="20" spans="1:11" x14ac:dyDescent="0.25">
      <c r="A20" s="177"/>
      <c r="B20" s="178"/>
      <c r="C20" s="29" t="s">
        <v>31</v>
      </c>
      <c r="D20" s="89">
        <f>'მონიტორინგის კვლევების ჯგუფები'!E6</f>
        <v>227</v>
      </c>
      <c r="E20" s="179"/>
      <c r="F20" s="47"/>
      <c r="G20" s="196"/>
      <c r="H20" s="196"/>
      <c r="I20" s="47"/>
      <c r="J20" s="196"/>
      <c r="K20" s="196"/>
    </row>
    <row r="21" spans="1:11" x14ac:dyDescent="0.25">
      <c r="A21" s="177"/>
      <c r="B21" s="178"/>
      <c r="C21" s="37" t="s">
        <v>34</v>
      </c>
      <c r="D21" s="89">
        <f>'მონიტორინგის კვლევების ჯგუფები'!E7</f>
        <v>218</v>
      </c>
      <c r="E21" s="179"/>
      <c r="F21" s="47"/>
      <c r="G21" s="197"/>
      <c r="H21" s="197"/>
      <c r="I21" s="47"/>
      <c r="J21" s="197"/>
      <c r="K21" s="197"/>
    </row>
    <row r="22" spans="1:11" x14ac:dyDescent="0.25">
      <c r="A22" s="177"/>
      <c r="E22" s="36"/>
      <c r="F22" s="47"/>
      <c r="I22" s="47"/>
    </row>
    <row r="23" spans="1:11" x14ac:dyDescent="0.25">
      <c r="A23" s="177"/>
      <c r="B23" s="178" t="s">
        <v>56</v>
      </c>
      <c r="C23" s="29" t="s">
        <v>35</v>
      </c>
      <c r="D23" s="89">
        <f>'მონიტორინგის კვლევების ჯგუფები'!E8</f>
        <v>304</v>
      </c>
      <c r="E23" s="180">
        <f>AVERAGE(D23:D25)</f>
        <v>289</v>
      </c>
      <c r="F23" s="47"/>
      <c r="G23" s="188">
        <f>E23*G4</f>
        <v>0</v>
      </c>
      <c r="H23" s="195">
        <f>E23*H4</f>
        <v>0</v>
      </c>
      <c r="I23" s="47"/>
      <c r="J23" s="188">
        <f>E23*J4</f>
        <v>289</v>
      </c>
      <c r="K23" s="195">
        <f>E23*K4</f>
        <v>289</v>
      </c>
    </row>
    <row r="24" spans="1:11" x14ac:dyDescent="0.25">
      <c r="A24" s="177"/>
      <c r="B24" s="178"/>
      <c r="C24" s="29" t="s">
        <v>32</v>
      </c>
      <c r="D24" s="89">
        <f>'მონიტორინგის კვლევების ჯგუფები'!E9</f>
        <v>286</v>
      </c>
      <c r="E24" s="181"/>
      <c r="F24" s="47"/>
      <c r="G24" s="188"/>
      <c r="H24" s="196"/>
      <c r="I24" s="47"/>
      <c r="J24" s="188"/>
      <c r="K24" s="196"/>
    </row>
    <row r="25" spans="1:11" x14ac:dyDescent="0.25">
      <c r="A25" s="177"/>
      <c r="B25" s="178"/>
      <c r="C25" s="37" t="s">
        <v>36</v>
      </c>
      <c r="D25" s="89">
        <f>'მონიტორინგის კვლევების ჯგუფები'!E10</f>
        <v>277</v>
      </c>
      <c r="E25" s="182"/>
      <c r="F25" s="47"/>
      <c r="G25" s="188"/>
      <c r="H25" s="197"/>
      <c r="I25" s="47"/>
      <c r="J25" s="188"/>
      <c r="K25" s="197"/>
    </row>
    <row r="26" spans="1:11" x14ac:dyDescent="0.25">
      <c r="A26" s="177"/>
      <c r="E26" s="36"/>
      <c r="F26" s="47"/>
      <c r="I26" s="47"/>
    </row>
    <row r="27" spans="1:11" x14ac:dyDescent="0.25">
      <c r="A27" s="177"/>
      <c r="B27" s="87" t="s">
        <v>57</v>
      </c>
      <c r="C27" s="27" t="s">
        <v>53</v>
      </c>
      <c r="D27" s="38">
        <f>'მონიტორინგის კვლევების ჯგუფები'!E11</f>
        <v>130</v>
      </c>
      <c r="E27" s="90">
        <v>130</v>
      </c>
      <c r="F27" s="47"/>
      <c r="G27" s="89">
        <v>0</v>
      </c>
      <c r="H27" s="89">
        <v>0</v>
      </c>
      <c r="I27" s="47"/>
      <c r="J27" s="89">
        <f>E27</f>
        <v>130</v>
      </c>
      <c r="K27" s="89">
        <f>E27</f>
        <v>130</v>
      </c>
    </row>
    <row r="28" spans="1:11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5">
      <c r="A29" s="199" t="s">
        <v>66</v>
      </c>
      <c r="B29" s="178" t="s">
        <v>48</v>
      </c>
      <c r="C29" s="27" t="s">
        <v>58</v>
      </c>
      <c r="D29" s="89">
        <f>E5+E19+E27</f>
        <v>795</v>
      </c>
      <c r="E29" s="179">
        <f>AVERAGE(D29:D30)</f>
        <v>790.5</v>
      </c>
      <c r="F29" s="47"/>
      <c r="G29" s="188">
        <f>(E29-E27)*G4</f>
        <v>0</v>
      </c>
      <c r="H29" s="188">
        <f>(E29-E27)*H4</f>
        <v>0</v>
      </c>
      <c r="I29" s="47"/>
      <c r="J29" s="188">
        <f>(E29-E27)*J4+E27</f>
        <v>790.5</v>
      </c>
      <c r="K29" s="188">
        <f>(E29-E27)*K4+E27</f>
        <v>790.5</v>
      </c>
    </row>
    <row r="30" spans="1:11" x14ac:dyDescent="0.25">
      <c r="A30" s="200"/>
      <c r="B30" s="178"/>
      <c r="C30" s="27" t="s">
        <v>60</v>
      </c>
      <c r="D30" s="89">
        <f>E9+E19+E27</f>
        <v>786</v>
      </c>
      <c r="E30" s="179"/>
      <c r="F30" s="47"/>
      <c r="G30" s="188"/>
      <c r="H30" s="188"/>
      <c r="I30" s="47"/>
      <c r="J30" s="188"/>
      <c r="K30" s="188"/>
    </row>
    <row r="31" spans="1:11" x14ac:dyDescent="0.25">
      <c r="A31" s="200"/>
      <c r="B31" s="36"/>
      <c r="D31" s="35"/>
      <c r="E31" s="36"/>
      <c r="F31" s="47"/>
      <c r="I31" s="47"/>
    </row>
    <row r="32" spans="1:11" x14ac:dyDescent="0.25">
      <c r="A32" s="200"/>
      <c r="B32" s="178" t="s">
        <v>49</v>
      </c>
      <c r="C32" s="27" t="s">
        <v>59</v>
      </c>
      <c r="D32" s="89">
        <f>E5+E23+E27</f>
        <v>857</v>
      </c>
      <c r="E32" s="179">
        <f>AVERAGE(D32:D33)</f>
        <v>852.5</v>
      </c>
      <c r="F32" s="47"/>
      <c r="G32" s="188">
        <f>(E32-E27)*G4</f>
        <v>0</v>
      </c>
      <c r="H32" s="188">
        <f>(E32-E27)*H4</f>
        <v>0</v>
      </c>
      <c r="I32" s="47"/>
      <c r="J32" s="188">
        <f>(E32-E27)*J4+E27</f>
        <v>852.5</v>
      </c>
      <c r="K32" s="188">
        <f>(E32-E27)*K4+E27</f>
        <v>852.5</v>
      </c>
    </row>
    <row r="33" spans="1:11" x14ac:dyDescent="0.25">
      <c r="A33" s="200"/>
      <c r="B33" s="178"/>
      <c r="C33" s="27" t="s">
        <v>61</v>
      </c>
      <c r="D33" s="89">
        <f>E9+E23+E27</f>
        <v>848</v>
      </c>
      <c r="E33" s="179"/>
      <c r="F33" s="47"/>
      <c r="G33" s="188"/>
      <c r="H33" s="188"/>
      <c r="I33" s="47"/>
      <c r="J33" s="188"/>
      <c r="K33" s="188"/>
    </row>
    <row r="34" spans="1:11" x14ac:dyDescent="0.25">
      <c r="A34" s="200"/>
      <c r="B34" s="36"/>
      <c r="D34" s="35"/>
      <c r="E34" s="36"/>
      <c r="F34" s="47"/>
      <c r="I34" s="47"/>
    </row>
    <row r="35" spans="1:11" x14ac:dyDescent="0.25">
      <c r="A35" s="200"/>
      <c r="B35" s="178" t="s">
        <v>52</v>
      </c>
      <c r="C35" s="27" t="s">
        <v>62</v>
      </c>
      <c r="D35" s="89">
        <f>E12+E19+E27</f>
        <v>715</v>
      </c>
      <c r="E35" s="179">
        <f>AVERAGE(D35:D36)</f>
        <v>710.5</v>
      </c>
      <c r="F35" s="47"/>
      <c r="G35" s="188">
        <f>(E35-E27)*G4</f>
        <v>0</v>
      </c>
      <c r="H35" s="188">
        <f>(E35-E27)*H4</f>
        <v>0</v>
      </c>
      <c r="I35" s="47"/>
      <c r="J35" s="188">
        <f>(E35-E27)*J4+E27</f>
        <v>710.5</v>
      </c>
      <c r="K35" s="188">
        <f>(E35-E27)*K4+E27</f>
        <v>710.5</v>
      </c>
    </row>
    <row r="36" spans="1:11" x14ac:dyDescent="0.25">
      <c r="A36" s="200"/>
      <c r="B36" s="178"/>
      <c r="C36" s="27" t="s">
        <v>64</v>
      </c>
      <c r="D36" s="89">
        <f>E16+E19+E27</f>
        <v>706</v>
      </c>
      <c r="E36" s="179"/>
      <c r="F36" s="47"/>
      <c r="G36" s="188"/>
      <c r="H36" s="188"/>
      <c r="I36" s="47"/>
      <c r="J36" s="188"/>
      <c r="K36" s="188"/>
    </row>
    <row r="37" spans="1:11" x14ac:dyDescent="0.25">
      <c r="A37" s="200"/>
      <c r="B37" s="36"/>
      <c r="D37" s="35"/>
      <c r="E37" s="36"/>
      <c r="F37" s="47"/>
      <c r="I37" s="47"/>
    </row>
    <row r="38" spans="1:11" x14ac:dyDescent="0.25">
      <c r="A38" s="200"/>
      <c r="B38" s="183" t="s">
        <v>50</v>
      </c>
      <c r="C38" s="27" t="s">
        <v>63</v>
      </c>
      <c r="D38" s="89">
        <f>E12+E23+E27</f>
        <v>777</v>
      </c>
      <c r="E38" s="179">
        <f>AVERAGE(D38:D39)</f>
        <v>772.5</v>
      </c>
      <c r="F38" s="47"/>
      <c r="G38" s="188">
        <f>(E38-E27)*G4</f>
        <v>0</v>
      </c>
      <c r="H38" s="188">
        <f>(E38-E27)*H4</f>
        <v>0</v>
      </c>
      <c r="I38" s="47"/>
      <c r="J38" s="188">
        <f>(E38-E27)*J4+E27</f>
        <v>772.5</v>
      </c>
      <c r="K38" s="188">
        <f>(E38-E27)*K4+E27</f>
        <v>772.5</v>
      </c>
    </row>
    <row r="39" spans="1:11" x14ac:dyDescent="0.25">
      <c r="A39" s="201"/>
      <c r="B39" s="184"/>
      <c r="C39" s="27" t="s">
        <v>65</v>
      </c>
      <c r="D39" s="89">
        <f>E16+E23+E27</f>
        <v>768</v>
      </c>
      <c r="E39" s="179"/>
      <c r="F39" s="47"/>
      <c r="G39" s="188"/>
      <c r="H39" s="188"/>
      <c r="I39" s="47"/>
      <c r="J39" s="188"/>
      <c r="K39" s="188"/>
    </row>
    <row r="40" spans="1:11" x14ac:dyDescent="0.25">
      <c r="A40" s="48"/>
      <c r="B40" s="49"/>
      <c r="C40" s="50"/>
      <c r="D40" s="51"/>
      <c r="E40" s="49"/>
      <c r="F40" s="47"/>
      <c r="G40" s="51"/>
      <c r="H40" s="51"/>
      <c r="I40" s="47"/>
      <c r="J40" s="47"/>
      <c r="K40" s="47"/>
    </row>
    <row r="41" spans="1:11" x14ac:dyDescent="0.25">
      <c r="F41" s="47"/>
      <c r="G41" s="185" t="s">
        <v>75</v>
      </c>
      <c r="H41" s="185"/>
      <c r="I41" s="47"/>
      <c r="J41" s="185" t="s">
        <v>76</v>
      </c>
      <c r="K41" s="185"/>
    </row>
    <row r="42" spans="1:11" ht="13.5" customHeight="1" x14ac:dyDescent="0.25">
      <c r="F42" s="47"/>
      <c r="G42" s="88" t="s">
        <v>67</v>
      </c>
      <c r="H42" s="88" t="s">
        <v>47</v>
      </c>
      <c r="I42" s="47"/>
      <c r="J42" s="88" t="s">
        <v>67</v>
      </c>
      <c r="K42" s="88" t="s">
        <v>47</v>
      </c>
    </row>
    <row r="43" spans="1:11" ht="21" customHeight="1" x14ac:dyDescent="0.25">
      <c r="A43" s="198" t="s">
        <v>66</v>
      </c>
      <c r="B43" s="89" t="s">
        <v>48</v>
      </c>
      <c r="C43" s="186" t="s">
        <v>68</v>
      </c>
      <c r="D43" s="187"/>
      <c r="E43" s="89">
        <f>AVERAGE(E29,E35)</f>
        <v>750.5</v>
      </c>
      <c r="F43" s="47"/>
      <c r="G43" s="89">
        <v>0</v>
      </c>
      <c r="H43" s="89">
        <v>0</v>
      </c>
      <c r="I43" s="47"/>
      <c r="J43" s="89">
        <f>E43-G43</f>
        <v>750.5</v>
      </c>
      <c r="K43" s="89">
        <f>E43-H43</f>
        <v>750.5</v>
      </c>
    </row>
    <row r="44" spans="1:11" ht="29.25" customHeight="1" x14ac:dyDescent="0.25">
      <c r="A44" s="198"/>
      <c r="B44" s="89" t="s">
        <v>49</v>
      </c>
      <c r="C44" s="186" t="s">
        <v>69</v>
      </c>
      <c r="D44" s="187"/>
      <c r="E44" s="89">
        <f>AVERAGE(E32,E38)</f>
        <v>812.5</v>
      </c>
      <c r="F44" s="47"/>
      <c r="G44" s="89">
        <v>0</v>
      </c>
      <c r="H44" s="89">
        <v>0</v>
      </c>
      <c r="I44" s="47"/>
      <c r="J44" s="89">
        <f>E44-G44</f>
        <v>812.5</v>
      </c>
      <c r="K44" s="89">
        <f>E44-H44</f>
        <v>812.5</v>
      </c>
    </row>
    <row r="45" spans="1:11" x14ac:dyDescent="0.25">
      <c r="A45" s="48"/>
      <c r="B45" s="49"/>
      <c r="C45" s="50"/>
      <c r="D45" s="51"/>
      <c r="E45" s="49"/>
      <c r="F45" s="47"/>
      <c r="G45" s="51"/>
      <c r="H45" s="51"/>
      <c r="I45" s="47"/>
      <c r="J45" s="47"/>
      <c r="K45" s="47"/>
    </row>
    <row r="46" spans="1:11" x14ac:dyDescent="0.25">
      <c r="A46" s="192" t="s">
        <v>77</v>
      </c>
      <c r="B46" s="27"/>
      <c r="C46" s="42" t="s">
        <v>79</v>
      </c>
      <c r="D46" s="52" t="s">
        <v>67</v>
      </c>
      <c r="E46" s="42" t="s">
        <v>47</v>
      </c>
    </row>
    <row r="47" spans="1:11" ht="23.25" x14ac:dyDescent="0.25">
      <c r="A47" s="193"/>
      <c r="B47" s="53" t="s">
        <v>70</v>
      </c>
      <c r="C47" s="89">
        <v>8000</v>
      </c>
      <c r="D47" s="89">
        <f>C47*10%</f>
        <v>800</v>
      </c>
      <c r="E47" s="89">
        <f>C47*90%</f>
        <v>7200</v>
      </c>
    </row>
    <row r="48" spans="1:11" ht="21" customHeight="1" x14ac:dyDescent="0.25">
      <c r="A48" s="193"/>
      <c r="B48" s="53" t="s">
        <v>68</v>
      </c>
      <c r="C48" s="89">
        <f>C47*90%</f>
        <v>7200</v>
      </c>
      <c r="D48" s="89">
        <f>D47*90%</f>
        <v>720</v>
      </c>
      <c r="E48" s="89">
        <f>E47*90%</f>
        <v>6480</v>
      </c>
    </row>
    <row r="49" spans="1:5" ht="34.5" x14ac:dyDescent="0.25">
      <c r="A49" s="194"/>
      <c r="B49" s="53" t="s">
        <v>69</v>
      </c>
      <c r="C49" s="89">
        <f>C47*10%</f>
        <v>800</v>
      </c>
      <c r="D49" s="89">
        <f>D47*10%</f>
        <v>80</v>
      </c>
      <c r="E49" s="89">
        <f>E47*10%</f>
        <v>720</v>
      </c>
    </row>
    <row r="50" spans="1:5" x14ac:dyDescent="0.25">
      <c r="A50" s="47"/>
      <c r="B50" s="47"/>
      <c r="C50" s="47"/>
      <c r="D50" s="47"/>
      <c r="E50" s="47"/>
    </row>
    <row r="51" spans="1:5" x14ac:dyDescent="0.25">
      <c r="A51" s="177" t="s">
        <v>78</v>
      </c>
      <c r="C51" s="42" t="s">
        <v>109</v>
      </c>
      <c r="D51" s="52" t="s">
        <v>67</v>
      </c>
      <c r="E51" s="42" t="s">
        <v>47</v>
      </c>
    </row>
    <row r="52" spans="1:5" ht="34.5" x14ac:dyDescent="0.25">
      <c r="A52" s="177"/>
      <c r="B52" s="74" t="s">
        <v>68</v>
      </c>
      <c r="C52" s="43">
        <f>D52+E52</f>
        <v>0</v>
      </c>
      <c r="D52" s="44">
        <f>D48*G43</f>
        <v>0</v>
      </c>
      <c r="E52" s="44">
        <f>E48*H43</f>
        <v>0</v>
      </c>
    </row>
    <row r="53" spans="1:5" ht="34.5" x14ac:dyDescent="0.25">
      <c r="A53" s="177"/>
      <c r="B53" s="74" t="s">
        <v>69</v>
      </c>
      <c r="C53" s="43">
        <f>D53+E53</f>
        <v>0</v>
      </c>
      <c r="D53" s="44">
        <f>D49*G44</f>
        <v>0</v>
      </c>
      <c r="E53" s="44">
        <f>E49*H44</f>
        <v>0</v>
      </c>
    </row>
    <row r="54" spans="1:5" x14ac:dyDescent="0.25">
      <c r="A54" s="177"/>
      <c r="B54" s="75" t="s">
        <v>71</v>
      </c>
      <c r="C54" s="54">
        <f>C52+C53</f>
        <v>0</v>
      </c>
      <c r="D54" s="43">
        <f>D52+D53</f>
        <v>0</v>
      </c>
      <c r="E54" s="43">
        <f>E52+E53</f>
        <v>0</v>
      </c>
    </row>
    <row r="55" spans="1:5" x14ac:dyDescent="0.25">
      <c r="A55" s="47"/>
      <c r="B55" s="47"/>
      <c r="C55" s="47"/>
      <c r="D55" s="47"/>
      <c r="E55" s="47"/>
    </row>
    <row r="56" spans="1:5" x14ac:dyDescent="0.25">
      <c r="A56" s="177" t="s">
        <v>80</v>
      </c>
      <c r="C56" s="42" t="s">
        <v>109</v>
      </c>
      <c r="D56" s="52" t="s">
        <v>67</v>
      </c>
      <c r="E56" s="42" t="s">
        <v>47</v>
      </c>
    </row>
    <row r="57" spans="1:5" ht="34.5" x14ac:dyDescent="0.25">
      <c r="A57" s="177"/>
      <c r="B57" s="74" t="s">
        <v>68</v>
      </c>
      <c r="C57" s="43">
        <f>D57+E57</f>
        <v>5403600</v>
      </c>
      <c r="D57" s="44">
        <f>D48*J43</f>
        <v>540360</v>
      </c>
      <c r="E57" s="44">
        <f>E48*K43</f>
        <v>4863240</v>
      </c>
    </row>
    <row r="58" spans="1:5" ht="34.5" x14ac:dyDescent="0.25">
      <c r="A58" s="177"/>
      <c r="B58" s="74" t="s">
        <v>69</v>
      </c>
      <c r="C58" s="43">
        <f>D58+E58</f>
        <v>650000</v>
      </c>
      <c r="D58" s="44">
        <f>D49*J44</f>
        <v>65000</v>
      </c>
      <c r="E58" s="44">
        <f>E49*K44</f>
        <v>585000</v>
      </c>
    </row>
    <row r="59" spans="1:5" ht="23.25" x14ac:dyDescent="0.25">
      <c r="A59" s="177"/>
      <c r="B59" s="75" t="s">
        <v>99</v>
      </c>
      <c r="C59" s="54">
        <f>C57+C58</f>
        <v>6053600</v>
      </c>
      <c r="D59" s="43">
        <f>D57+D58</f>
        <v>605360</v>
      </c>
      <c r="E59" s="43">
        <f>E57+E58</f>
        <v>5448240</v>
      </c>
    </row>
    <row r="60" spans="1:5" x14ac:dyDescent="0.25">
      <c r="A60" s="177"/>
      <c r="B60" s="75"/>
      <c r="C60" s="54"/>
      <c r="D60" s="43"/>
      <c r="E60" s="43"/>
    </row>
    <row r="61" spans="1:5" ht="23.25" x14ac:dyDescent="0.25">
      <c r="A61" s="177"/>
      <c r="B61" s="75" t="s">
        <v>100</v>
      </c>
      <c r="C61" s="54">
        <f>C47*50</f>
        <v>400000</v>
      </c>
      <c r="D61" s="43"/>
      <c r="E61" s="43"/>
    </row>
    <row r="62" spans="1:5" ht="15.75" x14ac:dyDescent="0.25">
      <c r="A62" s="177"/>
      <c r="B62" s="75" t="s">
        <v>71</v>
      </c>
      <c r="C62" s="86">
        <f>C59+C61</f>
        <v>6453600</v>
      </c>
      <c r="D62" s="43"/>
      <c r="E62" s="43"/>
    </row>
    <row r="63" spans="1:5" x14ac:dyDescent="0.25">
      <c r="A63" s="47"/>
      <c r="B63" s="47"/>
      <c r="C63" s="47"/>
      <c r="D63" s="47"/>
      <c r="E63" s="47"/>
    </row>
    <row r="65" spans="2:5" ht="23.25" x14ac:dyDescent="0.25">
      <c r="B65" s="73" t="s">
        <v>138</v>
      </c>
      <c r="C65">
        <f>32000-25000</f>
        <v>7000</v>
      </c>
      <c r="D65">
        <v>60</v>
      </c>
      <c r="E65">
        <f>C65*D65</f>
        <v>420000</v>
      </c>
    </row>
    <row r="67" spans="2:5" ht="18.75" x14ac:dyDescent="0.3">
      <c r="B67" s="55" t="s">
        <v>81</v>
      </c>
      <c r="C67" s="56">
        <f>C54+C62</f>
        <v>6453600</v>
      </c>
    </row>
  </sheetData>
  <mergeCells count="75">
    <mergeCell ref="A1:K1"/>
    <mergeCell ref="G2:H2"/>
    <mergeCell ref="J2:K2"/>
    <mergeCell ref="D4:E4"/>
    <mergeCell ref="A5:A17"/>
    <mergeCell ref="B5:B7"/>
    <mergeCell ref="E5:E7"/>
    <mergeCell ref="G5:G7"/>
    <mergeCell ref="H5:H7"/>
    <mergeCell ref="J5:J7"/>
    <mergeCell ref="K5:K7"/>
    <mergeCell ref="B9:B10"/>
    <mergeCell ref="E9:E10"/>
    <mergeCell ref="G9:G10"/>
    <mergeCell ref="H9:H10"/>
    <mergeCell ref="J9:J10"/>
    <mergeCell ref="K9:K10"/>
    <mergeCell ref="K16:K17"/>
    <mergeCell ref="B12:B14"/>
    <mergeCell ref="E12:E14"/>
    <mergeCell ref="G12:G14"/>
    <mergeCell ref="H12:H14"/>
    <mergeCell ref="J12:J14"/>
    <mergeCell ref="K12:K14"/>
    <mergeCell ref="B16:B17"/>
    <mergeCell ref="E16:E17"/>
    <mergeCell ref="G16:G17"/>
    <mergeCell ref="H16:H17"/>
    <mergeCell ref="J16:J17"/>
    <mergeCell ref="A19:A27"/>
    <mergeCell ref="B19:B21"/>
    <mergeCell ref="E19:E21"/>
    <mergeCell ref="G19:G21"/>
    <mergeCell ref="H19:H21"/>
    <mergeCell ref="K19:K21"/>
    <mergeCell ref="B23:B25"/>
    <mergeCell ref="E23:E25"/>
    <mergeCell ref="G23:G25"/>
    <mergeCell ref="H23:H25"/>
    <mergeCell ref="J23:J25"/>
    <mergeCell ref="K23:K25"/>
    <mergeCell ref="J19:J21"/>
    <mergeCell ref="A29:A39"/>
    <mergeCell ref="B29:B30"/>
    <mergeCell ref="E29:E30"/>
    <mergeCell ref="G29:G30"/>
    <mergeCell ref="H29:H30"/>
    <mergeCell ref="B35:B36"/>
    <mergeCell ref="E35:E36"/>
    <mergeCell ref="G35:G36"/>
    <mergeCell ref="H35:H36"/>
    <mergeCell ref="K29:K30"/>
    <mergeCell ref="B32:B33"/>
    <mergeCell ref="E32:E33"/>
    <mergeCell ref="G32:G33"/>
    <mergeCell ref="H32:H33"/>
    <mergeCell ref="J32:J33"/>
    <mergeCell ref="K32:K33"/>
    <mergeCell ref="J29:J30"/>
    <mergeCell ref="J35:J36"/>
    <mergeCell ref="K35:K36"/>
    <mergeCell ref="B38:B39"/>
    <mergeCell ref="E38:E39"/>
    <mergeCell ref="G38:G39"/>
    <mergeCell ref="H38:H39"/>
    <mergeCell ref="J38:J39"/>
    <mergeCell ref="K38:K39"/>
    <mergeCell ref="A51:A54"/>
    <mergeCell ref="A56:A62"/>
    <mergeCell ref="G41:H41"/>
    <mergeCell ref="J41:K41"/>
    <mergeCell ref="A43:A44"/>
    <mergeCell ref="C43:D43"/>
    <mergeCell ref="C44:D44"/>
    <mergeCell ref="A46:A49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67"/>
  <sheetViews>
    <sheetView topLeftCell="A28" workbookViewId="0">
      <selection activeCell="G61" sqref="G61"/>
    </sheetView>
  </sheetViews>
  <sheetFormatPr defaultRowHeight="15" x14ac:dyDescent="0.25"/>
  <cols>
    <col min="2" max="2" width="18.5703125" bestFit="1" customWidth="1"/>
    <col min="3" max="3" width="42.5703125" bestFit="1" customWidth="1"/>
    <col min="4" max="4" width="17.42578125" customWidth="1"/>
    <col min="5" max="5" width="18.140625" customWidth="1"/>
    <col min="6" max="6" width="4" customWidth="1"/>
    <col min="7" max="7" width="14.5703125" bestFit="1" customWidth="1"/>
    <col min="8" max="8" width="10.42578125" customWidth="1"/>
    <col min="9" max="9" width="4" customWidth="1"/>
    <col min="10" max="10" width="14.5703125" bestFit="1" customWidth="1"/>
    <col min="11" max="11" width="10" customWidth="1"/>
    <col min="12" max="12" width="17" customWidth="1"/>
    <col min="13" max="13" width="15.5703125" customWidth="1"/>
  </cols>
  <sheetData>
    <row r="1" spans="1:11" x14ac:dyDescent="0.25">
      <c r="A1" s="202" t="s">
        <v>82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x14ac:dyDescent="0.25">
      <c r="F2" s="47"/>
      <c r="G2" s="189" t="s">
        <v>73</v>
      </c>
      <c r="H2" s="189"/>
      <c r="I2" s="47"/>
      <c r="J2" s="189" t="s">
        <v>72</v>
      </c>
      <c r="K2" s="189"/>
    </row>
    <row r="3" spans="1:11" x14ac:dyDescent="0.25">
      <c r="F3" s="47"/>
      <c r="G3" s="45" t="s">
        <v>67</v>
      </c>
      <c r="H3" s="45" t="s">
        <v>47</v>
      </c>
      <c r="I3" s="47"/>
      <c r="J3" s="45" t="s">
        <v>67</v>
      </c>
      <c r="K3" s="45" t="s">
        <v>47</v>
      </c>
    </row>
    <row r="4" spans="1:11" ht="34.5" customHeight="1" x14ac:dyDescent="0.25">
      <c r="D4" s="190" t="s">
        <v>74</v>
      </c>
      <c r="E4" s="191"/>
      <c r="F4" s="47"/>
      <c r="G4" s="46">
        <v>0.3</v>
      </c>
      <c r="H4" s="46">
        <v>0.7</v>
      </c>
      <c r="I4" s="47"/>
      <c r="J4" s="46">
        <v>0.7</v>
      </c>
      <c r="K4" s="46">
        <v>0.3</v>
      </c>
    </row>
    <row r="5" spans="1:11" x14ac:dyDescent="0.25">
      <c r="A5" s="177" t="s">
        <v>51</v>
      </c>
      <c r="B5" s="178" t="s">
        <v>43</v>
      </c>
      <c r="C5" s="27" t="s">
        <v>39</v>
      </c>
      <c r="D5" s="89">
        <v>110</v>
      </c>
      <c r="E5" s="179">
        <f>D5+D6+D7</f>
        <v>488</v>
      </c>
      <c r="F5" s="47"/>
      <c r="G5" s="188">
        <f>E5*$G$4</f>
        <v>146.4</v>
      </c>
      <c r="H5" s="188">
        <f>E5*H4</f>
        <v>341.59999999999997</v>
      </c>
      <c r="I5" s="47"/>
      <c r="J5" s="188">
        <f>E5*J4</f>
        <v>341.59999999999997</v>
      </c>
      <c r="K5" s="188">
        <f>E5*K4</f>
        <v>146.4</v>
      </c>
    </row>
    <row r="6" spans="1:11" x14ac:dyDescent="0.25">
      <c r="A6" s="177"/>
      <c r="B6" s="178"/>
      <c r="C6" s="27" t="s">
        <v>40</v>
      </c>
      <c r="D6" s="89">
        <f>'მკურნალობაში ჩართვის ჯგუფები'!E6</f>
        <v>369</v>
      </c>
      <c r="E6" s="179"/>
      <c r="F6" s="47"/>
      <c r="G6" s="188"/>
      <c r="H6" s="188"/>
      <c r="I6" s="47"/>
      <c r="J6" s="188"/>
      <c r="K6" s="188"/>
    </row>
    <row r="7" spans="1:11" x14ac:dyDescent="0.25">
      <c r="A7" s="177"/>
      <c r="B7" s="178"/>
      <c r="C7" s="27" t="s">
        <v>42</v>
      </c>
      <c r="D7" s="89">
        <f>'მკურნალობაში ჩართვის ჯგუფები'!E8</f>
        <v>9</v>
      </c>
      <c r="E7" s="179"/>
      <c r="F7" s="47"/>
      <c r="G7" s="188"/>
      <c r="H7" s="188"/>
      <c r="I7" s="47"/>
      <c r="J7" s="188"/>
      <c r="K7" s="188"/>
    </row>
    <row r="8" spans="1:11" x14ac:dyDescent="0.25">
      <c r="A8" s="177"/>
      <c r="D8" s="35"/>
      <c r="E8" s="36"/>
      <c r="F8" s="47"/>
      <c r="I8" s="47"/>
    </row>
    <row r="9" spans="1:11" x14ac:dyDescent="0.25">
      <c r="A9" s="177"/>
      <c r="B9" s="178" t="s">
        <v>44</v>
      </c>
      <c r="C9" s="27" t="s">
        <v>39</v>
      </c>
      <c r="D9" s="89">
        <v>110</v>
      </c>
      <c r="E9" s="179">
        <f>D9+D10</f>
        <v>479</v>
      </c>
      <c r="F9" s="47"/>
      <c r="G9" s="188">
        <f>E9*G4</f>
        <v>143.69999999999999</v>
      </c>
      <c r="H9" s="188">
        <f>E9*H4</f>
        <v>335.29999999999995</v>
      </c>
      <c r="I9" s="47"/>
      <c r="J9" s="188">
        <f>E9*J4</f>
        <v>335.29999999999995</v>
      </c>
      <c r="K9" s="188">
        <f>E9*K4</f>
        <v>143.69999999999999</v>
      </c>
    </row>
    <row r="10" spans="1:11" x14ac:dyDescent="0.25">
      <c r="A10" s="177"/>
      <c r="B10" s="178"/>
      <c r="C10" s="27" t="s">
        <v>40</v>
      </c>
      <c r="D10" s="89">
        <f>'მკურნალობაში ჩართვის ჯგუფები'!E6</f>
        <v>369</v>
      </c>
      <c r="E10" s="179"/>
      <c r="F10" s="47"/>
      <c r="G10" s="188"/>
      <c r="H10" s="188"/>
      <c r="I10" s="47"/>
      <c r="J10" s="188"/>
      <c r="K10" s="188"/>
    </row>
    <row r="11" spans="1:11" x14ac:dyDescent="0.25">
      <c r="A11" s="177"/>
      <c r="D11" s="35"/>
      <c r="E11" s="36"/>
      <c r="F11" s="47"/>
      <c r="I11" s="47"/>
    </row>
    <row r="12" spans="1:11" x14ac:dyDescent="0.25">
      <c r="A12" s="177"/>
      <c r="B12" s="178" t="s">
        <v>45</v>
      </c>
      <c r="C12" s="27" t="s">
        <v>39</v>
      </c>
      <c r="D12" s="89">
        <v>110</v>
      </c>
      <c r="E12" s="179">
        <f>D12+D13+D14</f>
        <v>408</v>
      </c>
      <c r="F12" s="47"/>
      <c r="G12" s="188">
        <f>E12*G4</f>
        <v>122.39999999999999</v>
      </c>
      <c r="H12" s="188">
        <f>E12*H4</f>
        <v>285.59999999999997</v>
      </c>
      <c r="I12" s="47"/>
      <c r="J12" s="188">
        <f>E12*J4</f>
        <v>285.59999999999997</v>
      </c>
      <c r="K12" s="188">
        <f>E12*K4</f>
        <v>122.39999999999999</v>
      </c>
    </row>
    <row r="13" spans="1:11" x14ac:dyDescent="0.25">
      <c r="A13" s="177"/>
      <c r="B13" s="178"/>
      <c r="C13" s="27" t="s">
        <v>41</v>
      </c>
      <c r="D13" s="89">
        <f>'მკურნალობაში ჩართვის ჯგუფები'!E7</f>
        <v>289</v>
      </c>
      <c r="E13" s="179"/>
      <c r="F13" s="47"/>
      <c r="G13" s="188"/>
      <c r="H13" s="188"/>
      <c r="I13" s="47"/>
      <c r="J13" s="188"/>
      <c r="K13" s="188"/>
    </row>
    <row r="14" spans="1:11" x14ac:dyDescent="0.25">
      <c r="A14" s="177"/>
      <c r="B14" s="178"/>
      <c r="C14" s="27" t="s">
        <v>42</v>
      </c>
      <c r="D14" s="89">
        <f>'მკურნალობაში ჩართვის ჯგუფები'!E8</f>
        <v>9</v>
      </c>
      <c r="E14" s="179"/>
      <c r="F14" s="47"/>
      <c r="G14" s="188"/>
      <c r="H14" s="188"/>
      <c r="I14" s="47"/>
      <c r="J14" s="188"/>
      <c r="K14" s="188"/>
    </row>
    <row r="15" spans="1:11" x14ac:dyDescent="0.25">
      <c r="A15" s="177"/>
      <c r="D15" s="35"/>
      <c r="E15" s="36"/>
      <c r="F15" s="47"/>
      <c r="I15" s="47"/>
    </row>
    <row r="16" spans="1:11" x14ac:dyDescent="0.25">
      <c r="A16" s="177"/>
      <c r="B16" s="178" t="s">
        <v>46</v>
      </c>
      <c r="C16" s="27" t="s">
        <v>39</v>
      </c>
      <c r="D16" s="89">
        <v>110</v>
      </c>
      <c r="E16" s="179">
        <f>D16+D17</f>
        <v>399</v>
      </c>
      <c r="F16" s="47"/>
      <c r="G16" s="188">
        <f>E16*G4</f>
        <v>119.69999999999999</v>
      </c>
      <c r="H16" s="188">
        <f>E16*H4</f>
        <v>279.29999999999995</v>
      </c>
      <c r="I16" s="47"/>
      <c r="J16" s="188">
        <f>E16*J4</f>
        <v>279.29999999999995</v>
      </c>
      <c r="K16" s="188">
        <f>E16*K4</f>
        <v>119.69999999999999</v>
      </c>
    </row>
    <row r="17" spans="1:11" x14ac:dyDescent="0.25">
      <c r="A17" s="177"/>
      <c r="B17" s="178"/>
      <c r="C17" s="27" t="s">
        <v>41</v>
      </c>
      <c r="D17" s="89">
        <f>'მკურნალობაში ჩართვის ჯგუფები'!E7</f>
        <v>289</v>
      </c>
      <c r="E17" s="179"/>
      <c r="F17" s="47"/>
      <c r="G17" s="188"/>
      <c r="H17" s="188"/>
      <c r="I17" s="47"/>
      <c r="J17" s="188"/>
      <c r="K17" s="188"/>
    </row>
    <row r="18" spans="1:11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</row>
    <row r="19" spans="1:11" x14ac:dyDescent="0.25">
      <c r="A19" s="177" t="s">
        <v>54</v>
      </c>
      <c r="B19" s="178" t="s">
        <v>55</v>
      </c>
      <c r="C19" s="29" t="s">
        <v>33</v>
      </c>
      <c r="D19" s="89">
        <f>'მონიტორინგის კვლევების ჯგუფები'!E5</f>
        <v>236</v>
      </c>
      <c r="E19" s="179">
        <f>AVERAGE(D19:D21)</f>
        <v>227</v>
      </c>
      <c r="F19" s="47"/>
      <c r="G19" s="195">
        <f>E19*G4</f>
        <v>68.099999999999994</v>
      </c>
      <c r="H19" s="195">
        <f>E19*H4</f>
        <v>158.89999999999998</v>
      </c>
      <c r="I19" s="47"/>
      <c r="J19" s="195">
        <f>E19*J4</f>
        <v>158.89999999999998</v>
      </c>
      <c r="K19" s="195">
        <f>E19*K4</f>
        <v>68.099999999999994</v>
      </c>
    </row>
    <row r="20" spans="1:11" x14ac:dyDescent="0.25">
      <c r="A20" s="177"/>
      <c r="B20" s="178"/>
      <c r="C20" s="29" t="s">
        <v>31</v>
      </c>
      <c r="D20" s="89">
        <f>'მონიტორინგის კვლევების ჯგუფები'!E6</f>
        <v>227</v>
      </c>
      <c r="E20" s="179"/>
      <c r="F20" s="47"/>
      <c r="G20" s="196"/>
      <c r="H20" s="196"/>
      <c r="I20" s="47"/>
      <c r="J20" s="196"/>
      <c r="K20" s="196"/>
    </row>
    <row r="21" spans="1:11" x14ac:dyDescent="0.25">
      <c r="A21" s="177"/>
      <c r="B21" s="178"/>
      <c r="C21" s="37" t="s">
        <v>34</v>
      </c>
      <c r="D21" s="89">
        <f>'მონიტორინგის კვლევების ჯგუფები'!E7</f>
        <v>218</v>
      </c>
      <c r="E21" s="179"/>
      <c r="F21" s="47"/>
      <c r="G21" s="197"/>
      <c r="H21" s="197"/>
      <c r="I21" s="47"/>
      <c r="J21" s="197"/>
      <c r="K21" s="197"/>
    </row>
    <row r="22" spans="1:11" x14ac:dyDescent="0.25">
      <c r="A22" s="177"/>
      <c r="E22" s="36"/>
      <c r="F22" s="47"/>
      <c r="I22" s="47"/>
    </row>
    <row r="23" spans="1:11" x14ac:dyDescent="0.25">
      <c r="A23" s="177"/>
      <c r="B23" s="178" t="s">
        <v>56</v>
      </c>
      <c r="C23" s="29" t="s">
        <v>35</v>
      </c>
      <c r="D23" s="89">
        <f>'მონიტორინგის კვლევების ჯგუფები'!E8</f>
        <v>304</v>
      </c>
      <c r="E23" s="180">
        <f>AVERAGE(D23:D25)</f>
        <v>289</v>
      </c>
      <c r="F23" s="47"/>
      <c r="G23" s="188">
        <f>E23*G4</f>
        <v>86.7</v>
      </c>
      <c r="H23" s="195">
        <f>E23*H4</f>
        <v>202.29999999999998</v>
      </c>
      <c r="I23" s="47"/>
      <c r="J23" s="188">
        <f>E23*J4</f>
        <v>202.29999999999998</v>
      </c>
      <c r="K23" s="195">
        <f>E23*K4</f>
        <v>86.7</v>
      </c>
    </row>
    <row r="24" spans="1:11" x14ac:dyDescent="0.25">
      <c r="A24" s="177"/>
      <c r="B24" s="178"/>
      <c r="C24" s="29" t="s">
        <v>32</v>
      </c>
      <c r="D24" s="89">
        <f>'მონიტორინგის კვლევების ჯგუფები'!E9</f>
        <v>286</v>
      </c>
      <c r="E24" s="181"/>
      <c r="F24" s="47"/>
      <c r="G24" s="188"/>
      <c r="H24" s="196"/>
      <c r="I24" s="47"/>
      <c r="J24" s="188"/>
      <c r="K24" s="196"/>
    </row>
    <row r="25" spans="1:11" x14ac:dyDescent="0.25">
      <c r="A25" s="177"/>
      <c r="B25" s="178"/>
      <c r="C25" s="37" t="s">
        <v>36</v>
      </c>
      <c r="D25" s="89">
        <f>'მონიტორინგის კვლევების ჯგუფები'!E10</f>
        <v>277</v>
      </c>
      <c r="E25" s="182"/>
      <c r="F25" s="47"/>
      <c r="G25" s="188"/>
      <c r="H25" s="197"/>
      <c r="I25" s="47"/>
      <c r="J25" s="188"/>
      <c r="K25" s="197"/>
    </row>
    <row r="26" spans="1:11" x14ac:dyDescent="0.25">
      <c r="A26" s="177"/>
      <c r="E26" s="36"/>
      <c r="F26" s="47"/>
      <c r="I26" s="47"/>
    </row>
    <row r="27" spans="1:11" x14ac:dyDescent="0.25">
      <c r="A27" s="177"/>
      <c r="B27" s="87" t="s">
        <v>57</v>
      </c>
      <c r="C27" s="27" t="s">
        <v>53</v>
      </c>
      <c r="D27" s="38">
        <f>'მონიტორინგის კვლევების ჯგუფები'!E11</f>
        <v>130</v>
      </c>
      <c r="E27" s="90">
        <v>130</v>
      </c>
      <c r="F27" s="47"/>
      <c r="G27" s="89">
        <v>0</v>
      </c>
      <c r="H27" s="89">
        <v>0</v>
      </c>
      <c r="I27" s="47"/>
      <c r="J27" s="89">
        <f>E27</f>
        <v>130</v>
      </c>
      <c r="K27" s="89">
        <f>E27</f>
        <v>130</v>
      </c>
    </row>
    <row r="28" spans="1:11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5">
      <c r="A29" s="199" t="s">
        <v>66</v>
      </c>
      <c r="B29" s="178" t="s">
        <v>48</v>
      </c>
      <c r="C29" s="27" t="s">
        <v>58</v>
      </c>
      <c r="D29" s="89">
        <f>E5+E19+E27</f>
        <v>845</v>
      </c>
      <c r="E29" s="179">
        <f>AVERAGE(D29:D30)</f>
        <v>840.5</v>
      </c>
      <c r="F29" s="47"/>
      <c r="G29" s="188">
        <f>(E29-E27)*G4</f>
        <v>213.15</v>
      </c>
      <c r="H29" s="188">
        <f>(E29-E27)*H4</f>
        <v>497.34999999999997</v>
      </c>
      <c r="I29" s="47"/>
      <c r="J29" s="188">
        <f>(E29-E27)*J4+E27</f>
        <v>627.34999999999991</v>
      </c>
      <c r="K29" s="188">
        <f>(E29-E27)*K4+E27</f>
        <v>343.15</v>
      </c>
    </row>
    <row r="30" spans="1:11" x14ac:dyDescent="0.25">
      <c r="A30" s="200"/>
      <c r="B30" s="178"/>
      <c r="C30" s="27" t="s">
        <v>60</v>
      </c>
      <c r="D30" s="89">
        <f>E9+E19+E27</f>
        <v>836</v>
      </c>
      <c r="E30" s="179"/>
      <c r="F30" s="47"/>
      <c r="G30" s="188"/>
      <c r="H30" s="188"/>
      <c r="I30" s="47"/>
      <c r="J30" s="188"/>
      <c r="K30" s="188"/>
    </row>
    <row r="31" spans="1:11" x14ac:dyDescent="0.25">
      <c r="A31" s="200"/>
      <c r="B31" s="36"/>
      <c r="D31" s="35"/>
      <c r="E31" s="36"/>
      <c r="F31" s="47"/>
      <c r="I31" s="47"/>
    </row>
    <row r="32" spans="1:11" x14ac:dyDescent="0.25">
      <c r="A32" s="200"/>
      <c r="B32" s="178" t="s">
        <v>49</v>
      </c>
      <c r="C32" s="27" t="s">
        <v>59</v>
      </c>
      <c r="D32" s="89">
        <f>E5+E23+E27</f>
        <v>907</v>
      </c>
      <c r="E32" s="179">
        <f>AVERAGE(D32:D33)</f>
        <v>902.5</v>
      </c>
      <c r="F32" s="47"/>
      <c r="G32" s="188">
        <f>(E32-E27)*G4</f>
        <v>231.75</v>
      </c>
      <c r="H32" s="188">
        <f>(E32-E27)*H4</f>
        <v>540.75</v>
      </c>
      <c r="I32" s="47"/>
      <c r="J32" s="188">
        <f>(E32-E27)*J4+E27</f>
        <v>670.75</v>
      </c>
      <c r="K32" s="188">
        <f>(E32-E27)*K4+E27</f>
        <v>361.75</v>
      </c>
    </row>
    <row r="33" spans="1:11" x14ac:dyDescent="0.25">
      <c r="A33" s="200"/>
      <c r="B33" s="178"/>
      <c r="C33" s="27" t="s">
        <v>61</v>
      </c>
      <c r="D33" s="89">
        <f>E9+E23+E27</f>
        <v>898</v>
      </c>
      <c r="E33" s="179"/>
      <c r="F33" s="47"/>
      <c r="G33" s="188"/>
      <c r="H33" s="188"/>
      <c r="I33" s="47"/>
      <c r="J33" s="188"/>
      <c r="K33" s="188"/>
    </row>
    <row r="34" spans="1:11" x14ac:dyDescent="0.25">
      <c r="A34" s="200"/>
      <c r="B34" s="36"/>
      <c r="D34" s="35"/>
      <c r="E34" s="36"/>
      <c r="F34" s="47"/>
      <c r="I34" s="47"/>
    </row>
    <row r="35" spans="1:11" x14ac:dyDescent="0.25">
      <c r="A35" s="200"/>
      <c r="B35" s="178" t="s">
        <v>52</v>
      </c>
      <c r="C35" s="27" t="s">
        <v>62</v>
      </c>
      <c r="D35" s="89">
        <f>E12+E19+E27</f>
        <v>765</v>
      </c>
      <c r="E35" s="179">
        <f>AVERAGE(D35:D36)</f>
        <v>760.5</v>
      </c>
      <c r="F35" s="47"/>
      <c r="G35" s="188">
        <f>(E35-E27)*G4</f>
        <v>189.15</v>
      </c>
      <c r="H35" s="188">
        <f>(E35-E27)*H4</f>
        <v>441.34999999999997</v>
      </c>
      <c r="I35" s="47"/>
      <c r="J35" s="188">
        <f>(E35-E27)*J4+E27</f>
        <v>571.34999999999991</v>
      </c>
      <c r="K35" s="188">
        <f>(E35-E27)*K4+E27</f>
        <v>319.14999999999998</v>
      </c>
    </row>
    <row r="36" spans="1:11" x14ac:dyDescent="0.25">
      <c r="A36" s="200"/>
      <c r="B36" s="178"/>
      <c r="C36" s="27" t="s">
        <v>64</v>
      </c>
      <c r="D36" s="89">
        <f>E16+E19+E27</f>
        <v>756</v>
      </c>
      <c r="E36" s="179"/>
      <c r="F36" s="47"/>
      <c r="G36" s="188"/>
      <c r="H36" s="188"/>
      <c r="I36" s="47"/>
      <c r="J36" s="188"/>
      <c r="K36" s="188"/>
    </row>
    <row r="37" spans="1:11" x14ac:dyDescent="0.25">
      <c r="A37" s="200"/>
      <c r="B37" s="36"/>
      <c r="D37" s="35"/>
      <c r="E37" s="36"/>
      <c r="F37" s="47"/>
      <c r="I37" s="47"/>
    </row>
    <row r="38" spans="1:11" x14ac:dyDescent="0.25">
      <c r="A38" s="200"/>
      <c r="B38" s="183" t="s">
        <v>50</v>
      </c>
      <c r="C38" s="27" t="s">
        <v>63</v>
      </c>
      <c r="D38" s="89">
        <f>E12+E23+E27</f>
        <v>827</v>
      </c>
      <c r="E38" s="179">
        <f>AVERAGE(D38:D39)</f>
        <v>822.5</v>
      </c>
      <c r="F38" s="47"/>
      <c r="G38" s="188">
        <f>(E38-E27)*G4</f>
        <v>207.75</v>
      </c>
      <c r="H38" s="188">
        <f>(E38-E27)*H4</f>
        <v>484.74999999999994</v>
      </c>
      <c r="I38" s="47"/>
      <c r="J38" s="188">
        <f>(E38-E27)*J4+E27</f>
        <v>614.75</v>
      </c>
      <c r="K38" s="188">
        <f>(E38-E27)*K4+E27</f>
        <v>337.75</v>
      </c>
    </row>
    <row r="39" spans="1:11" x14ac:dyDescent="0.25">
      <c r="A39" s="201"/>
      <c r="B39" s="184"/>
      <c r="C39" s="27" t="s">
        <v>65</v>
      </c>
      <c r="D39" s="89">
        <f>E16+E23+E27</f>
        <v>818</v>
      </c>
      <c r="E39" s="179"/>
      <c r="F39" s="47"/>
      <c r="G39" s="188"/>
      <c r="H39" s="188"/>
      <c r="I39" s="47"/>
      <c r="J39" s="188"/>
      <c r="K39" s="188"/>
    </row>
    <row r="40" spans="1:11" x14ac:dyDescent="0.25">
      <c r="A40" s="48"/>
      <c r="B40" s="49"/>
      <c r="C40" s="50"/>
      <c r="D40" s="51"/>
      <c r="E40" s="49"/>
      <c r="F40" s="47"/>
      <c r="G40" s="51"/>
      <c r="H40" s="51"/>
      <c r="I40" s="47"/>
      <c r="J40" s="47"/>
      <c r="K40" s="47"/>
    </row>
    <row r="41" spans="1:11" x14ac:dyDescent="0.25">
      <c r="F41" s="47"/>
      <c r="G41" s="185" t="s">
        <v>75</v>
      </c>
      <c r="H41" s="185"/>
      <c r="I41" s="47"/>
      <c r="J41" s="185" t="s">
        <v>76</v>
      </c>
      <c r="K41" s="185"/>
    </row>
    <row r="42" spans="1:11" ht="13.5" customHeight="1" x14ac:dyDescent="0.25">
      <c r="F42" s="47"/>
      <c r="G42" s="88" t="s">
        <v>67</v>
      </c>
      <c r="H42" s="88" t="s">
        <v>47</v>
      </c>
      <c r="I42" s="47"/>
      <c r="J42" s="88" t="s">
        <v>67</v>
      </c>
      <c r="K42" s="88" t="s">
        <v>47</v>
      </c>
    </row>
    <row r="43" spans="1:11" ht="21" customHeight="1" x14ac:dyDescent="0.25">
      <c r="A43" s="198" t="s">
        <v>66</v>
      </c>
      <c r="B43" s="89" t="s">
        <v>48</v>
      </c>
      <c r="C43" s="186" t="s">
        <v>68</v>
      </c>
      <c r="D43" s="187"/>
      <c r="E43" s="89">
        <f>AVERAGE(E29,E35)</f>
        <v>800.5</v>
      </c>
      <c r="F43" s="47"/>
      <c r="G43" s="89">
        <f>(E43-E27)*G4</f>
        <v>201.15</v>
      </c>
      <c r="H43" s="89">
        <f>(E43-E27)*H4</f>
        <v>469.34999999999997</v>
      </c>
      <c r="I43" s="47"/>
      <c r="J43" s="89">
        <f>E43-G43</f>
        <v>599.35</v>
      </c>
      <c r="K43" s="89">
        <f>E43-H43</f>
        <v>331.15000000000003</v>
      </c>
    </row>
    <row r="44" spans="1:11" ht="29.25" customHeight="1" x14ac:dyDescent="0.25">
      <c r="A44" s="198"/>
      <c r="B44" s="89" t="s">
        <v>49</v>
      </c>
      <c r="C44" s="186" t="s">
        <v>69</v>
      </c>
      <c r="D44" s="187"/>
      <c r="E44" s="89">
        <f>AVERAGE(E32,E38)</f>
        <v>862.5</v>
      </c>
      <c r="F44" s="47"/>
      <c r="G44" s="89">
        <f>(E44-E27)*G4</f>
        <v>219.75</v>
      </c>
      <c r="H44" s="89">
        <f>(E44-E27)*H4</f>
        <v>512.75</v>
      </c>
      <c r="I44" s="47"/>
      <c r="J44" s="89">
        <f>E44-G44</f>
        <v>642.75</v>
      </c>
      <c r="K44" s="89">
        <f>E44-H44</f>
        <v>349.75</v>
      </c>
    </row>
    <row r="45" spans="1:11" x14ac:dyDescent="0.25">
      <c r="A45" s="48"/>
      <c r="B45" s="49"/>
      <c r="C45" s="50"/>
      <c r="D45" s="51"/>
      <c r="E45" s="49"/>
      <c r="F45" s="47"/>
      <c r="G45" s="51"/>
      <c r="H45" s="51"/>
      <c r="I45" s="47"/>
      <c r="J45" s="47"/>
      <c r="K45" s="47"/>
    </row>
    <row r="46" spans="1:11" x14ac:dyDescent="0.25">
      <c r="A46" s="192" t="s">
        <v>77</v>
      </c>
      <c r="B46" s="27"/>
      <c r="C46" s="42" t="s">
        <v>79</v>
      </c>
      <c r="D46" s="52" t="s">
        <v>67</v>
      </c>
      <c r="E46" s="42" t="s">
        <v>47</v>
      </c>
    </row>
    <row r="47" spans="1:11" ht="23.25" x14ac:dyDescent="0.25">
      <c r="A47" s="193"/>
      <c r="B47" s="53" t="s">
        <v>70</v>
      </c>
      <c r="C47" s="89">
        <v>8000</v>
      </c>
      <c r="D47" s="89">
        <f>C47*10%</f>
        <v>800</v>
      </c>
      <c r="E47" s="89">
        <f>C47*90%</f>
        <v>7200</v>
      </c>
    </row>
    <row r="48" spans="1:11" ht="21" customHeight="1" x14ac:dyDescent="0.25">
      <c r="A48" s="193"/>
      <c r="B48" s="53" t="s">
        <v>68</v>
      </c>
      <c r="C48" s="89">
        <f>C47*90%</f>
        <v>7200</v>
      </c>
      <c r="D48" s="89">
        <f>D47*90%</f>
        <v>720</v>
      </c>
      <c r="E48" s="89">
        <f>E47*90%</f>
        <v>6480</v>
      </c>
    </row>
    <row r="49" spans="1:7" ht="34.5" x14ac:dyDescent="0.25">
      <c r="A49" s="194"/>
      <c r="B49" s="53" t="s">
        <v>69</v>
      </c>
      <c r="C49" s="89">
        <f>C47*10%</f>
        <v>800</v>
      </c>
      <c r="D49" s="89">
        <f>D47*10%</f>
        <v>80</v>
      </c>
      <c r="E49" s="89">
        <f>E47*10%</f>
        <v>720</v>
      </c>
    </row>
    <row r="50" spans="1:7" x14ac:dyDescent="0.25">
      <c r="A50" s="47"/>
      <c r="B50" s="47"/>
      <c r="C50" s="47"/>
      <c r="D50" s="47"/>
      <c r="E50" s="47"/>
    </row>
    <row r="51" spans="1:7" x14ac:dyDescent="0.25">
      <c r="A51" s="177" t="s">
        <v>78</v>
      </c>
      <c r="C51" s="42" t="s">
        <v>109</v>
      </c>
      <c r="D51" s="52" t="s">
        <v>67</v>
      </c>
      <c r="E51" s="42" t="s">
        <v>47</v>
      </c>
    </row>
    <row r="52" spans="1:7" ht="34.5" x14ac:dyDescent="0.25">
      <c r="A52" s="177"/>
      <c r="B52" s="74" t="s">
        <v>68</v>
      </c>
      <c r="C52" s="43">
        <f>D52+E52</f>
        <v>3186216</v>
      </c>
      <c r="D52" s="44">
        <f>D48*G43</f>
        <v>144828</v>
      </c>
      <c r="E52" s="44">
        <f>E48*H43</f>
        <v>3041388</v>
      </c>
    </row>
    <row r="53" spans="1:7" ht="34.5" x14ac:dyDescent="0.25">
      <c r="A53" s="177"/>
      <c r="B53" s="74" t="s">
        <v>69</v>
      </c>
      <c r="C53" s="43">
        <f>D53+E53</f>
        <v>386760</v>
      </c>
      <c r="D53" s="44">
        <f>D49*G44</f>
        <v>17580</v>
      </c>
      <c r="E53" s="44">
        <f>E49*H44</f>
        <v>369180</v>
      </c>
    </row>
    <row r="54" spans="1:7" x14ac:dyDescent="0.25">
      <c r="A54" s="177"/>
      <c r="B54" s="75" t="s">
        <v>71</v>
      </c>
      <c r="C54" s="54">
        <f>C52+C53</f>
        <v>3572976</v>
      </c>
      <c r="D54" s="43">
        <f>D52+D53</f>
        <v>162408</v>
      </c>
      <c r="E54" s="43">
        <f>E52+E53</f>
        <v>3410568</v>
      </c>
    </row>
    <row r="55" spans="1:7" x14ac:dyDescent="0.25">
      <c r="A55" s="47"/>
      <c r="B55" s="47"/>
      <c r="C55" s="47"/>
      <c r="D55" s="47"/>
      <c r="E55" s="47"/>
    </row>
    <row r="56" spans="1:7" x14ac:dyDescent="0.25">
      <c r="A56" s="177" t="s">
        <v>80</v>
      </c>
      <c r="C56" s="42" t="s">
        <v>109</v>
      </c>
      <c r="D56" s="52" t="s">
        <v>67</v>
      </c>
      <c r="E56" s="42" t="s">
        <v>47</v>
      </c>
    </row>
    <row r="57" spans="1:7" ht="34.5" x14ac:dyDescent="0.25">
      <c r="A57" s="177"/>
      <c r="B57" s="74" t="s">
        <v>68</v>
      </c>
      <c r="C57" s="43">
        <f>D57+E57</f>
        <v>2577384</v>
      </c>
      <c r="D57" s="44">
        <f>D48*J43</f>
        <v>431532</v>
      </c>
      <c r="E57" s="44">
        <f>E48*K43</f>
        <v>2145852</v>
      </c>
    </row>
    <row r="58" spans="1:7" ht="34.5" x14ac:dyDescent="0.25">
      <c r="A58" s="177"/>
      <c r="B58" s="74" t="s">
        <v>69</v>
      </c>
      <c r="C58" s="43">
        <f>D58+E58</f>
        <v>303240</v>
      </c>
      <c r="D58" s="44">
        <f>D49*J44</f>
        <v>51420</v>
      </c>
      <c r="E58" s="44">
        <f>E49*K44</f>
        <v>251820</v>
      </c>
    </row>
    <row r="59" spans="1:7" ht="23.25" x14ac:dyDescent="0.25">
      <c r="A59" s="177"/>
      <c r="B59" s="75" t="s">
        <v>99</v>
      </c>
      <c r="C59" s="54">
        <f>C57+C58</f>
        <v>2880624</v>
      </c>
      <c r="D59" s="43">
        <f>D57+D58</f>
        <v>482952</v>
      </c>
      <c r="E59" s="43">
        <f>E57+E58</f>
        <v>2397672</v>
      </c>
    </row>
    <row r="60" spans="1:7" x14ac:dyDescent="0.25">
      <c r="A60" s="177"/>
      <c r="B60" s="75"/>
      <c r="C60" s="54"/>
      <c r="D60" s="43"/>
      <c r="E60" s="43"/>
    </row>
    <row r="61" spans="1:7" ht="23.25" x14ac:dyDescent="0.25">
      <c r="A61" s="177"/>
      <c r="B61" s="75" t="s">
        <v>100</v>
      </c>
      <c r="C61" s="54">
        <f>C47*50</f>
        <v>400000</v>
      </c>
      <c r="D61" s="43"/>
      <c r="E61" s="43"/>
    </row>
    <row r="62" spans="1:7" ht="15.75" x14ac:dyDescent="0.25">
      <c r="A62" s="177"/>
      <c r="B62" s="75" t="s">
        <v>71</v>
      </c>
      <c r="C62" s="86">
        <f>C59+C61</f>
        <v>3280624</v>
      </c>
      <c r="D62" s="43"/>
      <c r="E62" s="43"/>
      <c r="G62" s="33"/>
    </row>
    <row r="63" spans="1:7" x14ac:dyDescent="0.25">
      <c r="A63" s="47"/>
      <c r="B63" s="47"/>
      <c r="C63" s="47"/>
      <c r="D63" s="47"/>
      <c r="E63" s="47"/>
      <c r="G63" s="95"/>
    </row>
    <row r="65" spans="2:5" ht="23.25" x14ac:dyDescent="0.25">
      <c r="B65" s="73" t="s">
        <v>138</v>
      </c>
      <c r="C65">
        <f>32000-25000</f>
        <v>7000</v>
      </c>
      <c r="D65">
        <v>55</v>
      </c>
      <c r="E65">
        <f>C65*D65</f>
        <v>385000</v>
      </c>
    </row>
    <row r="67" spans="2:5" ht="18.75" x14ac:dyDescent="0.3">
      <c r="B67" s="55" t="s">
        <v>81</v>
      </c>
      <c r="C67" s="56">
        <f>C54+C62</f>
        <v>6853600</v>
      </c>
    </row>
  </sheetData>
  <mergeCells count="75">
    <mergeCell ref="A1:K1"/>
    <mergeCell ref="G2:H2"/>
    <mergeCell ref="J2:K2"/>
    <mergeCell ref="D4:E4"/>
    <mergeCell ref="A5:A17"/>
    <mergeCell ref="B5:B7"/>
    <mergeCell ref="E5:E7"/>
    <mergeCell ref="G5:G7"/>
    <mergeCell ref="H5:H7"/>
    <mergeCell ref="J5:J7"/>
    <mergeCell ref="K5:K7"/>
    <mergeCell ref="B9:B10"/>
    <mergeCell ref="E9:E10"/>
    <mergeCell ref="G9:G10"/>
    <mergeCell ref="H9:H10"/>
    <mergeCell ref="J9:J10"/>
    <mergeCell ref="K9:K10"/>
    <mergeCell ref="K16:K17"/>
    <mergeCell ref="B12:B14"/>
    <mergeCell ref="E12:E14"/>
    <mergeCell ref="G12:G14"/>
    <mergeCell ref="H12:H14"/>
    <mergeCell ref="J12:J14"/>
    <mergeCell ref="K12:K14"/>
    <mergeCell ref="B16:B17"/>
    <mergeCell ref="E16:E17"/>
    <mergeCell ref="G16:G17"/>
    <mergeCell ref="H16:H17"/>
    <mergeCell ref="J16:J17"/>
    <mergeCell ref="A19:A27"/>
    <mergeCell ref="B19:B21"/>
    <mergeCell ref="E19:E21"/>
    <mergeCell ref="G19:G21"/>
    <mergeCell ref="H19:H21"/>
    <mergeCell ref="K19:K21"/>
    <mergeCell ref="B23:B25"/>
    <mergeCell ref="E23:E25"/>
    <mergeCell ref="G23:G25"/>
    <mergeCell ref="H23:H25"/>
    <mergeCell ref="J23:J25"/>
    <mergeCell ref="K23:K25"/>
    <mergeCell ref="J19:J21"/>
    <mergeCell ref="A29:A39"/>
    <mergeCell ref="B29:B30"/>
    <mergeCell ref="E29:E30"/>
    <mergeCell ref="G29:G30"/>
    <mergeCell ref="H29:H30"/>
    <mergeCell ref="B35:B36"/>
    <mergeCell ref="E35:E36"/>
    <mergeCell ref="G35:G36"/>
    <mergeCell ref="H35:H36"/>
    <mergeCell ref="K29:K30"/>
    <mergeCell ref="B32:B33"/>
    <mergeCell ref="E32:E33"/>
    <mergeCell ref="G32:G33"/>
    <mergeCell ref="H32:H33"/>
    <mergeCell ref="J32:J33"/>
    <mergeCell ref="K32:K33"/>
    <mergeCell ref="J29:J30"/>
    <mergeCell ref="J35:J36"/>
    <mergeCell ref="K35:K36"/>
    <mergeCell ref="B38:B39"/>
    <mergeCell ref="E38:E39"/>
    <mergeCell ref="G38:G39"/>
    <mergeCell ref="H38:H39"/>
    <mergeCell ref="J38:J39"/>
    <mergeCell ref="K38:K39"/>
    <mergeCell ref="A51:A54"/>
    <mergeCell ref="A56:A62"/>
    <mergeCell ref="G41:H41"/>
    <mergeCell ref="J41:K41"/>
    <mergeCell ref="A43:A44"/>
    <mergeCell ref="C43:D43"/>
    <mergeCell ref="C44:D44"/>
    <mergeCell ref="A46:A49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67"/>
  <sheetViews>
    <sheetView topLeftCell="A49" workbookViewId="0">
      <selection activeCell="G70" sqref="G70"/>
    </sheetView>
  </sheetViews>
  <sheetFormatPr defaultRowHeight="15" x14ac:dyDescent="0.25"/>
  <cols>
    <col min="2" max="2" width="18.5703125" bestFit="1" customWidth="1"/>
    <col min="3" max="3" width="42.5703125" bestFit="1" customWidth="1"/>
    <col min="4" max="4" width="17.42578125" customWidth="1"/>
    <col min="5" max="5" width="18.140625" customWidth="1"/>
    <col min="6" max="6" width="4" customWidth="1"/>
    <col min="7" max="7" width="14.5703125" bestFit="1" customWidth="1"/>
    <col min="8" max="8" width="19.5703125" customWidth="1"/>
    <col min="9" max="9" width="4" customWidth="1"/>
    <col min="10" max="10" width="15.140625" bestFit="1" customWidth="1"/>
    <col min="11" max="11" width="10" customWidth="1"/>
    <col min="12" max="12" width="17" customWidth="1"/>
    <col min="13" max="13" width="15.5703125" customWidth="1"/>
  </cols>
  <sheetData>
    <row r="1" spans="1:11" x14ac:dyDescent="0.25">
      <c r="A1" s="202" t="s">
        <v>82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x14ac:dyDescent="0.25">
      <c r="F2" s="47"/>
      <c r="G2" s="189" t="s">
        <v>73</v>
      </c>
      <c r="H2" s="189"/>
      <c r="I2" s="47"/>
      <c r="J2" s="189" t="s">
        <v>72</v>
      </c>
      <c r="K2" s="189"/>
    </row>
    <row r="3" spans="1:11" x14ac:dyDescent="0.25">
      <c r="F3" s="47"/>
      <c r="G3" s="45" t="s">
        <v>67</v>
      </c>
      <c r="H3" s="45" t="s">
        <v>47</v>
      </c>
      <c r="I3" s="47"/>
      <c r="J3" s="45" t="s">
        <v>67</v>
      </c>
      <c r="K3" s="45" t="s">
        <v>47</v>
      </c>
    </row>
    <row r="4" spans="1:11" ht="34.5" customHeight="1" x14ac:dyDescent="0.25">
      <c r="D4" s="190" t="s">
        <v>74</v>
      </c>
      <c r="E4" s="191"/>
      <c r="F4" s="47"/>
      <c r="G4" s="46">
        <v>0.3</v>
      </c>
      <c r="H4" s="46">
        <v>0.7</v>
      </c>
      <c r="I4" s="47"/>
      <c r="J4" s="46">
        <v>0.7</v>
      </c>
      <c r="K4" s="46">
        <v>0.3</v>
      </c>
    </row>
    <row r="5" spans="1:11" x14ac:dyDescent="0.25">
      <c r="A5" s="177" t="s">
        <v>51</v>
      </c>
      <c r="B5" s="178" t="s">
        <v>43</v>
      </c>
      <c r="C5" s="27" t="s">
        <v>39</v>
      </c>
      <c r="D5" s="89">
        <v>110</v>
      </c>
      <c r="E5" s="179">
        <f>D5+D6+D7</f>
        <v>488</v>
      </c>
      <c r="F5" s="47"/>
      <c r="G5" s="188">
        <f>(D6+D7)*$G$4</f>
        <v>113.39999999999999</v>
      </c>
      <c r="H5" s="188">
        <f>(D6+D7)*H4</f>
        <v>264.59999999999997</v>
      </c>
      <c r="I5" s="47"/>
      <c r="J5" s="188">
        <f>E5*J4</f>
        <v>341.59999999999997</v>
      </c>
      <c r="K5" s="188">
        <f>E5*K4</f>
        <v>146.4</v>
      </c>
    </row>
    <row r="6" spans="1:11" x14ac:dyDescent="0.25">
      <c r="A6" s="177"/>
      <c r="B6" s="178"/>
      <c r="C6" s="27" t="s">
        <v>40</v>
      </c>
      <c r="D6" s="89">
        <f>'მკურნალობაში ჩართვის ჯგუფები'!E6</f>
        <v>369</v>
      </c>
      <c r="E6" s="179"/>
      <c r="F6" s="47"/>
      <c r="G6" s="188"/>
      <c r="H6" s="188"/>
      <c r="I6" s="47"/>
      <c r="J6" s="188"/>
      <c r="K6" s="188"/>
    </row>
    <row r="7" spans="1:11" x14ac:dyDescent="0.25">
      <c r="A7" s="177"/>
      <c r="B7" s="178"/>
      <c r="C7" s="27" t="s">
        <v>42</v>
      </c>
      <c r="D7" s="89">
        <f>'მკურნალობაში ჩართვის ჯგუფები'!E8</f>
        <v>9</v>
      </c>
      <c r="E7" s="179"/>
      <c r="F7" s="47"/>
      <c r="G7" s="188"/>
      <c r="H7" s="188"/>
      <c r="I7" s="47"/>
      <c r="J7" s="188"/>
      <c r="K7" s="188"/>
    </row>
    <row r="8" spans="1:11" x14ac:dyDescent="0.25">
      <c r="A8" s="177"/>
      <c r="D8" s="35"/>
      <c r="E8" s="36"/>
      <c r="F8" s="47"/>
      <c r="I8" s="47"/>
    </row>
    <row r="9" spans="1:11" x14ac:dyDescent="0.25">
      <c r="A9" s="177"/>
      <c r="B9" s="178" t="s">
        <v>44</v>
      </c>
      <c r="C9" s="27" t="s">
        <v>39</v>
      </c>
      <c r="D9" s="89">
        <v>110</v>
      </c>
      <c r="E9" s="179">
        <f>D9+D10</f>
        <v>479</v>
      </c>
      <c r="F9" s="47"/>
      <c r="G9" s="188">
        <f>D10*G4</f>
        <v>110.7</v>
      </c>
      <c r="H9" s="188">
        <f>D10*H4</f>
        <v>258.3</v>
      </c>
      <c r="I9" s="47"/>
      <c r="J9" s="188">
        <f>E9*J4</f>
        <v>335.29999999999995</v>
      </c>
      <c r="K9" s="188">
        <f>E9*K4</f>
        <v>143.69999999999999</v>
      </c>
    </row>
    <row r="10" spans="1:11" x14ac:dyDescent="0.25">
      <c r="A10" s="177"/>
      <c r="B10" s="178"/>
      <c r="C10" s="27" t="s">
        <v>40</v>
      </c>
      <c r="D10" s="89">
        <f>'მკურნალობაში ჩართვის ჯგუფები'!E6</f>
        <v>369</v>
      </c>
      <c r="E10" s="179"/>
      <c r="F10" s="47"/>
      <c r="G10" s="188"/>
      <c r="H10" s="188"/>
      <c r="I10" s="47"/>
      <c r="J10" s="188"/>
      <c r="K10" s="188"/>
    </row>
    <row r="11" spans="1:11" x14ac:dyDescent="0.25">
      <c r="A11" s="177"/>
      <c r="D11" s="35"/>
      <c r="E11" s="36"/>
      <c r="F11" s="47"/>
      <c r="I11" s="47"/>
    </row>
    <row r="12" spans="1:11" x14ac:dyDescent="0.25">
      <c r="A12" s="177"/>
      <c r="B12" s="178" t="s">
        <v>45</v>
      </c>
      <c r="C12" s="27" t="s">
        <v>39</v>
      </c>
      <c r="D12" s="89">
        <v>110</v>
      </c>
      <c r="E12" s="179">
        <f>D12+D13+D14</f>
        <v>408</v>
      </c>
      <c r="F12" s="47"/>
      <c r="G12" s="188">
        <f>(D13+D14)*G4</f>
        <v>89.399999999999991</v>
      </c>
      <c r="H12" s="188">
        <f>(D13+D14)*H4</f>
        <v>208.6</v>
      </c>
      <c r="I12" s="47"/>
      <c r="J12" s="188">
        <f>E12*J4</f>
        <v>285.59999999999997</v>
      </c>
      <c r="K12" s="188">
        <f>E12*K4</f>
        <v>122.39999999999999</v>
      </c>
    </row>
    <row r="13" spans="1:11" x14ac:dyDescent="0.25">
      <c r="A13" s="177"/>
      <c r="B13" s="178"/>
      <c r="C13" s="27" t="s">
        <v>41</v>
      </c>
      <c r="D13" s="89">
        <f>'მკურნალობაში ჩართვის ჯგუფები'!E7</f>
        <v>289</v>
      </c>
      <c r="E13" s="179"/>
      <c r="F13" s="47"/>
      <c r="G13" s="188"/>
      <c r="H13" s="188"/>
      <c r="I13" s="47"/>
      <c r="J13" s="188"/>
      <c r="K13" s="188"/>
    </row>
    <row r="14" spans="1:11" x14ac:dyDescent="0.25">
      <c r="A14" s="177"/>
      <c r="B14" s="178"/>
      <c r="C14" s="27" t="s">
        <v>42</v>
      </c>
      <c r="D14" s="89">
        <f>'მკურნალობაში ჩართვის ჯგუფები'!E8</f>
        <v>9</v>
      </c>
      <c r="E14" s="179"/>
      <c r="F14" s="47"/>
      <c r="G14" s="188"/>
      <c r="H14" s="188"/>
      <c r="I14" s="47"/>
      <c r="J14" s="188"/>
      <c r="K14" s="188"/>
    </row>
    <row r="15" spans="1:11" x14ac:dyDescent="0.25">
      <c r="A15" s="177"/>
      <c r="D15" s="35"/>
      <c r="E15" s="36"/>
      <c r="F15" s="47"/>
      <c r="I15" s="47"/>
    </row>
    <row r="16" spans="1:11" x14ac:dyDescent="0.25">
      <c r="A16" s="177"/>
      <c r="B16" s="178" t="s">
        <v>46</v>
      </c>
      <c r="C16" s="27" t="s">
        <v>39</v>
      </c>
      <c r="D16" s="89">
        <v>110</v>
      </c>
      <c r="E16" s="179">
        <f>D16+D17</f>
        <v>399</v>
      </c>
      <c r="F16" s="47"/>
      <c r="G16" s="188">
        <f>D17*G4</f>
        <v>86.7</v>
      </c>
      <c r="H16" s="188">
        <f>D17*H4</f>
        <v>202.29999999999998</v>
      </c>
      <c r="I16" s="47"/>
      <c r="J16" s="188">
        <f>E16*J4</f>
        <v>279.29999999999995</v>
      </c>
      <c r="K16" s="188">
        <f>E16*K4</f>
        <v>119.69999999999999</v>
      </c>
    </row>
    <row r="17" spans="1:11" x14ac:dyDescent="0.25">
      <c r="A17" s="177"/>
      <c r="B17" s="178"/>
      <c r="C17" s="27" t="s">
        <v>41</v>
      </c>
      <c r="D17" s="89">
        <f>'მკურნალობაში ჩართვის ჯგუფები'!E7</f>
        <v>289</v>
      </c>
      <c r="E17" s="179"/>
      <c r="F17" s="47"/>
      <c r="G17" s="188"/>
      <c r="H17" s="188"/>
      <c r="I17" s="47"/>
      <c r="J17" s="188"/>
      <c r="K17" s="188"/>
    </row>
    <row r="18" spans="1:11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</row>
    <row r="19" spans="1:11" x14ac:dyDescent="0.25">
      <c r="A19" s="177" t="s">
        <v>54</v>
      </c>
      <c r="B19" s="178" t="s">
        <v>55</v>
      </c>
      <c r="C19" s="29" t="s">
        <v>33</v>
      </c>
      <c r="D19" s="89">
        <f>'მონიტორინგის კვლევების ჯგუფები'!E5</f>
        <v>236</v>
      </c>
      <c r="E19" s="179">
        <f>AVERAGE(D19:D21)</f>
        <v>227</v>
      </c>
      <c r="F19" s="47"/>
      <c r="G19" s="195">
        <f>E19*G4</f>
        <v>68.099999999999994</v>
      </c>
      <c r="H19" s="195">
        <f>E19*H4</f>
        <v>158.89999999999998</v>
      </c>
      <c r="I19" s="47"/>
      <c r="J19" s="195">
        <f>E19*J4</f>
        <v>158.89999999999998</v>
      </c>
      <c r="K19" s="195">
        <f>E19*K4</f>
        <v>68.099999999999994</v>
      </c>
    </row>
    <row r="20" spans="1:11" x14ac:dyDescent="0.25">
      <c r="A20" s="177"/>
      <c r="B20" s="178"/>
      <c r="C20" s="29" t="s">
        <v>31</v>
      </c>
      <c r="D20" s="89">
        <f>'მონიტორინგის კვლევების ჯგუფები'!E6</f>
        <v>227</v>
      </c>
      <c r="E20" s="179"/>
      <c r="F20" s="47"/>
      <c r="G20" s="196"/>
      <c r="H20" s="196"/>
      <c r="I20" s="47"/>
      <c r="J20" s="196"/>
      <c r="K20" s="196"/>
    </row>
    <row r="21" spans="1:11" x14ac:dyDescent="0.25">
      <c r="A21" s="177"/>
      <c r="B21" s="178"/>
      <c r="C21" s="37" t="s">
        <v>34</v>
      </c>
      <c r="D21" s="89">
        <f>'მონიტორინგის კვლევების ჯგუფები'!E7</f>
        <v>218</v>
      </c>
      <c r="E21" s="179"/>
      <c r="F21" s="47"/>
      <c r="G21" s="197"/>
      <c r="H21" s="197"/>
      <c r="I21" s="47"/>
      <c r="J21" s="197"/>
      <c r="K21" s="197"/>
    </row>
    <row r="22" spans="1:11" x14ac:dyDescent="0.25">
      <c r="A22" s="177"/>
      <c r="E22" s="36"/>
      <c r="F22" s="47"/>
      <c r="I22" s="47"/>
    </row>
    <row r="23" spans="1:11" x14ac:dyDescent="0.25">
      <c r="A23" s="177"/>
      <c r="B23" s="178" t="s">
        <v>56</v>
      </c>
      <c r="C23" s="29" t="s">
        <v>35</v>
      </c>
      <c r="D23" s="89">
        <f>'მონიტორინგის კვლევების ჯგუფები'!E8</f>
        <v>304</v>
      </c>
      <c r="E23" s="180">
        <f>AVERAGE(D23:D25)</f>
        <v>289</v>
      </c>
      <c r="F23" s="47"/>
      <c r="G23" s="188">
        <f>E23*G4</f>
        <v>86.7</v>
      </c>
      <c r="H23" s="195">
        <f>E23*H4</f>
        <v>202.29999999999998</v>
      </c>
      <c r="I23" s="47"/>
      <c r="J23" s="188">
        <f>E23*J4</f>
        <v>202.29999999999998</v>
      </c>
      <c r="K23" s="195">
        <f>E23*K4</f>
        <v>86.7</v>
      </c>
    </row>
    <row r="24" spans="1:11" x14ac:dyDescent="0.25">
      <c r="A24" s="177"/>
      <c r="B24" s="178"/>
      <c r="C24" s="29" t="s">
        <v>32</v>
      </c>
      <c r="D24" s="89">
        <f>'მონიტორინგის კვლევების ჯგუფები'!E9</f>
        <v>286</v>
      </c>
      <c r="E24" s="181"/>
      <c r="F24" s="47"/>
      <c r="G24" s="188"/>
      <c r="H24" s="196"/>
      <c r="I24" s="47"/>
      <c r="J24" s="188"/>
      <c r="K24" s="196"/>
    </row>
    <row r="25" spans="1:11" x14ac:dyDescent="0.25">
      <c r="A25" s="177"/>
      <c r="B25" s="178"/>
      <c r="C25" s="37" t="s">
        <v>36</v>
      </c>
      <c r="D25" s="89">
        <f>'მონიტორინგის კვლევების ჯგუფები'!E10</f>
        <v>277</v>
      </c>
      <c r="E25" s="182"/>
      <c r="F25" s="47"/>
      <c r="G25" s="188"/>
      <c r="H25" s="197"/>
      <c r="I25" s="47"/>
      <c r="J25" s="188"/>
      <c r="K25" s="197"/>
    </row>
    <row r="26" spans="1:11" x14ac:dyDescent="0.25">
      <c r="A26" s="177"/>
      <c r="E26" s="36"/>
      <c r="F26" s="47"/>
      <c r="I26" s="47"/>
    </row>
    <row r="27" spans="1:11" x14ac:dyDescent="0.25">
      <c r="A27" s="177"/>
      <c r="B27" s="87" t="s">
        <v>57</v>
      </c>
      <c r="C27" s="27" t="s">
        <v>53</v>
      </c>
      <c r="D27" s="38">
        <f>'მონიტორინგის კვლევების ჯგუფები'!E11</f>
        <v>130</v>
      </c>
      <c r="E27" s="90">
        <v>130</v>
      </c>
      <c r="F27" s="47"/>
      <c r="G27" s="89">
        <v>0</v>
      </c>
      <c r="H27" s="89">
        <v>0</v>
      </c>
      <c r="I27" s="47"/>
      <c r="J27" s="89">
        <f>E27</f>
        <v>130</v>
      </c>
      <c r="K27" s="89">
        <f>E27</f>
        <v>130</v>
      </c>
    </row>
    <row r="28" spans="1:11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5">
      <c r="A29" s="199" t="s">
        <v>66</v>
      </c>
      <c r="B29" s="178" t="s">
        <v>48</v>
      </c>
      <c r="C29" s="27" t="s">
        <v>58</v>
      </c>
      <c r="D29" s="89">
        <f>E5+E19+E27</f>
        <v>845</v>
      </c>
      <c r="E29" s="179">
        <f>AVERAGE(D29:D30)</f>
        <v>840.5</v>
      </c>
      <c r="F29" s="47"/>
      <c r="G29" s="188">
        <f>(E29-D5-E27)*G4</f>
        <v>180.15</v>
      </c>
      <c r="H29" s="188">
        <f>(E29-D5-E27)*H4</f>
        <v>420.34999999999997</v>
      </c>
      <c r="I29" s="47"/>
      <c r="J29" s="188">
        <f>(E29-E27)*J4+E27</f>
        <v>627.34999999999991</v>
      </c>
      <c r="K29" s="188">
        <f>(E29-E27)*K4+E27</f>
        <v>343.15</v>
      </c>
    </row>
    <row r="30" spans="1:11" x14ac:dyDescent="0.25">
      <c r="A30" s="200"/>
      <c r="B30" s="178"/>
      <c r="C30" s="27" t="s">
        <v>60</v>
      </c>
      <c r="D30" s="89">
        <f>E9+E19+E27</f>
        <v>836</v>
      </c>
      <c r="E30" s="179"/>
      <c r="F30" s="47"/>
      <c r="G30" s="188"/>
      <c r="H30" s="188"/>
      <c r="I30" s="47"/>
      <c r="J30" s="188"/>
      <c r="K30" s="188"/>
    </row>
    <row r="31" spans="1:11" x14ac:dyDescent="0.25">
      <c r="A31" s="200"/>
      <c r="B31" s="36"/>
      <c r="D31" s="35"/>
      <c r="E31" s="36"/>
      <c r="F31" s="47"/>
      <c r="I31" s="47"/>
    </row>
    <row r="32" spans="1:11" x14ac:dyDescent="0.25">
      <c r="A32" s="200"/>
      <c r="B32" s="178" t="s">
        <v>49</v>
      </c>
      <c r="C32" s="27" t="s">
        <v>59</v>
      </c>
      <c r="D32" s="89">
        <f>E5+E23+E27</f>
        <v>907</v>
      </c>
      <c r="E32" s="179">
        <f>AVERAGE(D32:D33)</f>
        <v>902.5</v>
      </c>
      <c r="F32" s="47"/>
      <c r="G32" s="188">
        <f>(E32-D9-E27)*G4</f>
        <v>198.75</v>
      </c>
      <c r="H32" s="188">
        <f>(E32-D9-E27)*H4</f>
        <v>463.74999999999994</v>
      </c>
      <c r="I32" s="47"/>
      <c r="J32" s="188">
        <f>(E32-E27)*J4+E27</f>
        <v>670.75</v>
      </c>
      <c r="K32" s="188">
        <f>(E32-E27)*K4+E27</f>
        <v>361.75</v>
      </c>
    </row>
    <row r="33" spans="1:12" x14ac:dyDescent="0.25">
      <c r="A33" s="200"/>
      <c r="B33" s="178"/>
      <c r="C33" s="27" t="s">
        <v>61</v>
      </c>
      <c r="D33" s="89">
        <f>E9+E23+E27</f>
        <v>898</v>
      </c>
      <c r="E33" s="179"/>
      <c r="F33" s="47"/>
      <c r="G33" s="188"/>
      <c r="H33" s="188"/>
      <c r="I33" s="47"/>
      <c r="J33" s="188"/>
      <c r="K33" s="188"/>
    </row>
    <row r="34" spans="1:12" x14ac:dyDescent="0.25">
      <c r="A34" s="200"/>
      <c r="B34" s="36"/>
      <c r="D34" s="35"/>
      <c r="E34" s="36"/>
      <c r="F34" s="47"/>
      <c r="I34" s="47"/>
    </row>
    <row r="35" spans="1:12" x14ac:dyDescent="0.25">
      <c r="A35" s="200"/>
      <c r="B35" s="178" t="s">
        <v>52</v>
      </c>
      <c r="C35" s="27" t="s">
        <v>62</v>
      </c>
      <c r="D35" s="89">
        <f>E12+E19+E27</f>
        <v>765</v>
      </c>
      <c r="E35" s="179">
        <f>AVERAGE(D35:D36)</f>
        <v>760.5</v>
      </c>
      <c r="F35" s="47"/>
      <c r="G35" s="188">
        <f>(E35-D9-E27)*G4</f>
        <v>156.15</v>
      </c>
      <c r="H35" s="188">
        <f>(E35-D9-E27)*H4</f>
        <v>364.34999999999997</v>
      </c>
      <c r="I35" s="47"/>
      <c r="J35" s="188">
        <f>(E35-E27)*J4+E27</f>
        <v>571.34999999999991</v>
      </c>
      <c r="K35" s="188">
        <f>(E35-E27)*K4+E27</f>
        <v>319.14999999999998</v>
      </c>
    </row>
    <row r="36" spans="1:12" x14ac:dyDescent="0.25">
      <c r="A36" s="200"/>
      <c r="B36" s="178"/>
      <c r="C36" s="27" t="s">
        <v>64</v>
      </c>
      <c r="D36" s="89">
        <f>E16+E19+E27</f>
        <v>756</v>
      </c>
      <c r="E36" s="179"/>
      <c r="F36" s="47"/>
      <c r="G36" s="188"/>
      <c r="H36" s="188"/>
      <c r="I36" s="47"/>
      <c r="J36" s="188"/>
      <c r="K36" s="188"/>
    </row>
    <row r="37" spans="1:12" x14ac:dyDescent="0.25">
      <c r="A37" s="200"/>
      <c r="B37" s="36"/>
      <c r="D37" s="35"/>
      <c r="E37" s="36"/>
      <c r="F37" s="47"/>
      <c r="I37" s="47"/>
    </row>
    <row r="38" spans="1:12" x14ac:dyDescent="0.25">
      <c r="A38" s="200"/>
      <c r="B38" s="183" t="s">
        <v>50</v>
      </c>
      <c r="C38" s="27" t="s">
        <v>63</v>
      </c>
      <c r="D38" s="89">
        <f>E12+E23+E27</f>
        <v>827</v>
      </c>
      <c r="E38" s="179">
        <f>AVERAGE(D38:D39)</f>
        <v>822.5</v>
      </c>
      <c r="F38" s="47"/>
      <c r="G38" s="188">
        <f>(E38-D16-E27)*G4</f>
        <v>174.75</v>
      </c>
      <c r="H38" s="188">
        <f>(E38-D16-E27)*H4</f>
        <v>407.75</v>
      </c>
      <c r="I38" s="47"/>
      <c r="J38" s="188">
        <f>(E38-E27)*J4+E27</f>
        <v>614.75</v>
      </c>
      <c r="K38" s="188">
        <f>(E38-E27)*K4+E27</f>
        <v>337.75</v>
      </c>
    </row>
    <row r="39" spans="1:12" x14ac:dyDescent="0.25">
      <c r="A39" s="201"/>
      <c r="B39" s="184"/>
      <c r="C39" s="27" t="s">
        <v>65</v>
      </c>
      <c r="D39" s="89">
        <f>E16+E23+E27</f>
        <v>818</v>
      </c>
      <c r="E39" s="179"/>
      <c r="F39" s="47"/>
      <c r="G39" s="188"/>
      <c r="H39" s="188"/>
      <c r="I39" s="47"/>
      <c r="J39" s="188"/>
      <c r="K39" s="188"/>
    </row>
    <row r="40" spans="1:12" x14ac:dyDescent="0.25">
      <c r="A40" s="48"/>
      <c r="B40" s="49"/>
      <c r="C40" s="50"/>
      <c r="D40" s="51"/>
      <c r="E40" s="49"/>
      <c r="F40" s="47"/>
      <c r="G40" s="51"/>
      <c r="H40" s="51"/>
      <c r="I40" s="47"/>
      <c r="J40" s="47"/>
      <c r="K40" s="47"/>
    </row>
    <row r="41" spans="1:12" x14ac:dyDescent="0.25">
      <c r="F41" s="47"/>
      <c r="G41" s="185" t="s">
        <v>75</v>
      </c>
      <c r="H41" s="185"/>
      <c r="I41" s="47"/>
      <c r="J41" s="185" t="s">
        <v>76</v>
      </c>
      <c r="K41" s="185"/>
    </row>
    <row r="42" spans="1:12" ht="13.5" customHeight="1" x14ac:dyDescent="0.25">
      <c r="F42" s="47"/>
      <c r="G42" s="88" t="s">
        <v>67</v>
      </c>
      <c r="H42" s="88" t="s">
        <v>47</v>
      </c>
      <c r="I42" s="47"/>
      <c r="J42" s="88" t="s">
        <v>67</v>
      </c>
      <c r="K42" s="88" t="s">
        <v>47</v>
      </c>
    </row>
    <row r="43" spans="1:12" ht="21" customHeight="1" x14ac:dyDescent="0.25">
      <c r="A43" s="198" t="s">
        <v>66</v>
      </c>
      <c r="B43" s="89" t="s">
        <v>48</v>
      </c>
      <c r="C43" s="186" t="s">
        <v>68</v>
      </c>
      <c r="D43" s="187"/>
      <c r="E43" s="89">
        <f>AVERAGE(E29,E35)</f>
        <v>800.5</v>
      </c>
      <c r="F43" s="47"/>
      <c r="G43" s="89">
        <f>(E43-D9-E27)*G4</f>
        <v>168.15</v>
      </c>
      <c r="H43" s="89">
        <f>(E43-D16-E27)*H4</f>
        <v>392.34999999999997</v>
      </c>
      <c r="I43" s="47"/>
      <c r="J43" s="89">
        <f>E43-G43</f>
        <v>632.35</v>
      </c>
      <c r="K43" s="89">
        <f>E43-H43</f>
        <v>408.15000000000003</v>
      </c>
    </row>
    <row r="44" spans="1:12" ht="29.25" customHeight="1" x14ac:dyDescent="0.25">
      <c r="A44" s="198"/>
      <c r="B44" s="89" t="s">
        <v>49</v>
      </c>
      <c r="C44" s="186" t="s">
        <v>69</v>
      </c>
      <c r="D44" s="187"/>
      <c r="E44" s="89">
        <f>AVERAGE(E32,E38)</f>
        <v>862.5</v>
      </c>
      <c r="F44" s="47"/>
      <c r="G44" s="89">
        <f>(E44-D16-E27)*G4</f>
        <v>186.75</v>
      </c>
      <c r="H44" s="89">
        <f>(E44-D16-E27)*H4</f>
        <v>435.75</v>
      </c>
      <c r="I44" s="47"/>
      <c r="J44" s="89">
        <f>E44-G44</f>
        <v>675.75</v>
      </c>
      <c r="K44" s="89">
        <f>E44-H44</f>
        <v>426.75</v>
      </c>
    </row>
    <row r="45" spans="1:12" x14ac:dyDescent="0.25">
      <c r="A45" s="48"/>
      <c r="B45" s="49"/>
      <c r="C45" s="50"/>
      <c r="D45" s="51"/>
      <c r="E45" s="49"/>
      <c r="F45" s="47"/>
      <c r="G45" s="51"/>
      <c r="H45" s="51"/>
      <c r="I45" s="47"/>
      <c r="J45" s="47"/>
      <c r="K45" s="47"/>
    </row>
    <row r="46" spans="1:12" x14ac:dyDescent="0.25">
      <c r="A46" s="192" t="s">
        <v>77</v>
      </c>
      <c r="B46" s="27"/>
      <c r="C46" s="42" t="s">
        <v>79</v>
      </c>
      <c r="D46" s="52" t="s">
        <v>67</v>
      </c>
      <c r="E46" s="42" t="s">
        <v>47</v>
      </c>
    </row>
    <row r="47" spans="1:12" ht="23.25" x14ac:dyDescent="0.25">
      <c r="A47" s="193"/>
      <c r="B47" s="53" t="s">
        <v>70</v>
      </c>
      <c r="C47" s="89">
        <v>5000</v>
      </c>
      <c r="D47" s="89">
        <f>C47*10%</f>
        <v>500</v>
      </c>
      <c r="E47" s="89">
        <f>C47*90%</f>
        <v>4500</v>
      </c>
    </row>
    <row r="48" spans="1:12" ht="21" customHeight="1" x14ac:dyDescent="0.25">
      <c r="A48" s="193"/>
      <c r="B48" s="53" t="s">
        <v>68</v>
      </c>
      <c r="C48" s="89">
        <f>C47*90%</f>
        <v>4500</v>
      </c>
      <c r="D48" s="89">
        <f>D47*90%</f>
        <v>450</v>
      </c>
      <c r="E48" s="89">
        <f>E47*90%</f>
        <v>4050</v>
      </c>
      <c r="L48" s="31"/>
    </row>
    <row r="49" spans="1:12" ht="34.5" x14ac:dyDescent="0.25">
      <c r="A49" s="194"/>
      <c r="B49" s="53" t="s">
        <v>69</v>
      </c>
      <c r="C49" s="89">
        <f>C47*10%</f>
        <v>500</v>
      </c>
      <c r="D49" s="89">
        <f>D47*10%</f>
        <v>50</v>
      </c>
      <c r="E49" s="89">
        <f>E47*10%</f>
        <v>450</v>
      </c>
      <c r="L49" s="31"/>
    </row>
    <row r="50" spans="1:12" x14ac:dyDescent="0.25">
      <c r="A50" s="47"/>
      <c r="B50" s="47"/>
      <c r="C50" s="47"/>
      <c r="D50" s="47"/>
      <c r="E50" s="47"/>
    </row>
    <row r="51" spans="1:12" x14ac:dyDescent="0.25">
      <c r="A51" s="177" t="s">
        <v>78</v>
      </c>
      <c r="C51" s="42" t="s">
        <v>109</v>
      </c>
      <c r="D51" s="52" t="s">
        <v>67</v>
      </c>
      <c r="E51" s="42" t="s">
        <v>47</v>
      </c>
      <c r="J51" s="31"/>
      <c r="L51" s="32"/>
    </row>
    <row r="52" spans="1:12" ht="34.5" x14ac:dyDescent="0.25">
      <c r="A52" s="177"/>
      <c r="B52" s="74" t="s">
        <v>68</v>
      </c>
      <c r="C52" s="43">
        <f>D52+E52</f>
        <v>1664684.9999999998</v>
      </c>
      <c r="D52" s="44">
        <f>D48*G43</f>
        <v>75667.5</v>
      </c>
      <c r="E52" s="44">
        <f>E48*H43</f>
        <v>1589017.4999999998</v>
      </c>
    </row>
    <row r="53" spans="1:12" ht="34.5" x14ac:dyDescent="0.25">
      <c r="A53" s="177"/>
      <c r="B53" s="74" t="s">
        <v>69</v>
      </c>
      <c r="C53" s="43">
        <f>D53+E53</f>
        <v>205425</v>
      </c>
      <c r="D53" s="44">
        <f>D49*G44</f>
        <v>9337.5</v>
      </c>
      <c r="E53" s="44">
        <f>E49*H44</f>
        <v>196087.5</v>
      </c>
    </row>
    <row r="54" spans="1:12" x14ac:dyDescent="0.25">
      <c r="A54" s="177"/>
      <c r="B54" s="75" t="s">
        <v>71</v>
      </c>
      <c r="C54" s="54">
        <f>C52+C53</f>
        <v>1870109.9999999998</v>
      </c>
      <c r="D54" s="43">
        <f>D52+D53</f>
        <v>85005</v>
      </c>
      <c r="E54" s="43">
        <f>E52+E53</f>
        <v>1785104.9999999998</v>
      </c>
      <c r="L54" s="31"/>
    </row>
    <row r="55" spans="1:12" x14ac:dyDescent="0.25">
      <c r="A55" s="47"/>
      <c r="B55" s="47"/>
      <c r="C55" s="47"/>
      <c r="D55" s="47"/>
      <c r="E55" s="47"/>
    </row>
    <row r="56" spans="1:12" x14ac:dyDescent="0.25">
      <c r="A56" s="177" t="s">
        <v>80</v>
      </c>
      <c r="C56" s="42" t="s">
        <v>109</v>
      </c>
      <c r="D56" s="52" t="s">
        <v>67</v>
      </c>
      <c r="E56" s="42" t="s">
        <v>47</v>
      </c>
    </row>
    <row r="57" spans="1:12" ht="34.5" x14ac:dyDescent="0.25">
      <c r="A57" s="177"/>
      <c r="B57" s="74" t="s">
        <v>68</v>
      </c>
      <c r="C57" s="43">
        <f>D57+E57</f>
        <v>1937565.0000000002</v>
      </c>
      <c r="D57" s="44">
        <f>D48*J43</f>
        <v>284557.5</v>
      </c>
      <c r="E57" s="44">
        <f>E48*K43</f>
        <v>1653007.5000000002</v>
      </c>
    </row>
    <row r="58" spans="1:12" ht="34.5" x14ac:dyDescent="0.25">
      <c r="A58" s="177"/>
      <c r="B58" s="74" t="s">
        <v>69</v>
      </c>
      <c r="C58" s="43">
        <f>D58+E58</f>
        <v>225825</v>
      </c>
      <c r="D58" s="44">
        <f>D49*J44</f>
        <v>33787.5</v>
      </c>
      <c r="E58" s="44">
        <f>E49*K44</f>
        <v>192037.5</v>
      </c>
    </row>
    <row r="59" spans="1:12" ht="23.25" x14ac:dyDescent="0.25">
      <c r="A59" s="177"/>
      <c r="B59" s="75" t="s">
        <v>99</v>
      </c>
      <c r="C59" s="54">
        <f>C57+C58</f>
        <v>2163390</v>
      </c>
      <c r="D59" s="43">
        <f>D57+D58</f>
        <v>318345</v>
      </c>
      <c r="E59" s="43">
        <f>E57+E58</f>
        <v>1845045.0000000002</v>
      </c>
    </row>
    <row r="60" spans="1:12" x14ac:dyDescent="0.25">
      <c r="A60" s="177"/>
      <c r="B60" s="75"/>
      <c r="C60" s="54"/>
      <c r="D60" s="43"/>
      <c r="E60" s="43"/>
    </row>
    <row r="61" spans="1:12" ht="23.25" x14ac:dyDescent="0.25">
      <c r="A61" s="177"/>
      <c r="B61" s="75" t="s">
        <v>100</v>
      </c>
      <c r="C61" s="54">
        <f>C47*50</f>
        <v>250000</v>
      </c>
      <c r="D61" s="43"/>
      <c r="E61" s="43"/>
      <c r="G61">
        <v>1663000</v>
      </c>
      <c r="H61" s="33"/>
    </row>
    <row r="62" spans="1:12" ht="15.75" x14ac:dyDescent="0.25">
      <c r="A62" s="177"/>
      <c r="B62" s="75" t="s">
        <v>71</v>
      </c>
      <c r="C62" s="86">
        <f>C59+C61</f>
        <v>2413390</v>
      </c>
      <c r="D62" s="43"/>
      <c r="E62" s="43"/>
      <c r="G62" s="33">
        <f>C62-G61</f>
        <v>750390</v>
      </c>
      <c r="H62" s="95"/>
      <c r="J62" s="95"/>
    </row>
    <row r="63" spans="1:12" x14ac:dyDescent="0.25">
      <c r="A63" s="47"/>
      <c r="B63" s="47"/>
      <c r="C63" s="47"/>
      <c r="D63" s="47"/>
      <c r="E63" s="47"/>
      <c r="G63" s="33">
        <f>G62-238000</f>
        <v>512390</v>
      </c>
    </row>
    <row r="65" spans="2:10" ht="23.25" x14ac:dyDescent="0.25">
      <c r="B65" s="73" t="s">
        <v>138</v>
      </c>
      <c r="C65">
        <f>32000-25000</f>
        <v>7000</v>
      </c>
      <c r="D65">
        <v>55</v>
      </c>
      <c r="E65">
        <f>C65*D65</f>
        <v>385000</v>
      </c>
      <c r="G65" s="33"/>
      <c r="H65" s="33"/>
      <c r="J65" s="33"/>
    </row>
    <row r="66" spans="2:10" x14ac:dyDescent="0.25">
      <c r="G66" s="33"/>
    </row>
    <row r="67" spans="2:10" ht="18.75" x14ac:dyDescent="0.3">
      <c r="B67" s="55" t="s">
        <v>81</v>
      </c>
      <c r="C67" s="56">
        <f>C54+C62</f>
        <v>4283500</v>
      </c>
      <c r="G67" s="33"/>
    </row>
  </sheetData>
  <mergeCells count="75">
    <mergeCell ref="A1:K1"/>
    <mergeCell ref="G2:H2"/>
    <mergeCell ref="J2:K2"/>
    <mergeCell ref="D4:E4"/>
    <mergeCell ref="A5:A17"/>
    <mergeCell ref="B5:B7"/>
    <mergeCell ref="E5:E7"/>
    <mergeCell ref="G5:G7"/>
    <mergeCell ref="H5:H7"/>
    <mergeCell ref="J5:J7"/>
    <mergeCell ref="K5:K7"/>
    <mergeCell ref="B9:B10"/>
    <mergeCell ref="E9:E10"/>
    <mergeCell ref="G9:G10"/>
    <mergeCell ref="H9:H10"/>
    <mergeCell ref="J9:J10"/>
    <mergeCell ref="K9:K10"/>
    <mergeCell ref="K16:K17"/>
    <mergeCell ref="B12:B14"/>
    <mergeCell ref="E12:E14"/>
    <mergeCell ref="G12:G14"/>
    <mergeCell ref="H12:H14"/>
    <mergeCell ref="J12:J14"/>
    <mergeCell ref="K12:K14"/>
    <mergeCell ref="B16:B17"/>
    <mergeCell ref="E16:E17"/>
    <mergeCell ref="G16:G17"/>
    <mergeCell ref="H16:H17"/>
    <mergeCell ref="J16:J17"/>
    <mergeCell ref="A19:A27"/>
    <mergeCell ref="B19:B21"/>
    <mergeCell ref="E19:E21"/>
    <mergeCell ref="G19:G21"/>
    <mergeCell ref="H19:H21"/>
    <mergeCell ref="K19:K21"/>
    <mergeCell ref="B23:B25"/>
    <mergeCell ref="E23:E25"/>
    <mergeCell ref="G23:G25"/>
    <mergeCell ref="H23:H25"/>
    <mergeCell ref="J23:J25"/>
    <mergeCell ref="K23:K25"/>
    <mergeCell ref="J19:J21"/>
    <mergeCell ref="A29:A39"/>
    <mergeCell ref="B29:B30"/>
    <mergeCell ref="E29:E30"/>
    <mergeCell ref="G29:G30"/>
    <mergeCell ref="H29:H30"/>
    <mergeCell ref="B35:B36"/>
    <mergeCell ref="E35:E36"/>
    <mergeCell ref="G35:G36"/>
    <mergeCell ref="H35:H36"/>
    <mergeCell ref="K29:K30"/>
    <mergeCell ref="B32:B33"/>
    <mergeCell ref="E32:E33"/>
    <mergeCell ref="G32:G33"/>
    <mergeCell ref="H32:H33"/>
    <mergeCell ref="J32:J33"/>
    <mergeCell ref="K32:K33"/>
    <mergeCell ref="J29:J30"/>
    <mergeCell ref="J35:J36"/>
    <mergeCell ref="K35:K36"/>
    <mergeCell ref="B38:B39"/>
    <mergeCell ref="E38:E39"/>
    <mergeCell ref="G38:G39"/>
    <mergeCell ref="H38:H39"/>
    <mergeCell ref="J38:J39"/>
    <mergeCell ref="K38:K39"/>
    <mergeCell ref="A51:A54"/>
    <mergeCell ref="A56:A62"/>
    <mergeCell ref="G41:H41"/>
    <mergeCell ref="J41:K41"/>
    <mergeCell ref="A43:A44"/>
    <mergeCell ref="C43:D43"/>
    <mergeCell ref="C44:D44"/>
    <mergeCell ref="A46:A49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67"/>
  <sheetViews>
    <sheetView topLeftCell="A52" workbookViewId="0">
      <selection activeCell="B65" sqref="B65:E65"/>
    </sheetView>
  </sheetViews>
  <sheetFormatPr defaultRowHeight="15" x14ac:dyDescent="0.25"/>
  <cols>
    <col min="2" max="2" width="18.5703125" bestFit="1" customWidth="1"/>
    <col min="3" max="3" width="42.5703125" bestFit="1" customWidth="1"/>
    <col min="4" max="4" width="17.42578125" customWidth="1"/>
    <col min="5" max="5" width="18.140625" customWidth="1"/>
    <col min="6" max="6" width="4" customWidth="1"/>
    <col min="7" max="7" width="14.5703125" bestFit="1" customWidth="1"/>
    <col min="8" max="8" width="10.42578125" customWidth="1"/>
    <col min="9" max="9" width="4" customWidth="1"/>
    <col min="10" max="10" width="14.5703125" bestFit="1" customWidth="1"/>
    <col min="11" max="12" width="17" customWidth="1"/>
    <col min="13" max="13" width="15.5703125" customWidth="1"/>
  </cols>
  <sheetData>
    <row r="1" spans="1:11" x14ac:dyDescent="0.25">
      <c r="A1" s="202" t="s">
        <v>82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x14ac:dyDescent="0.25">
      <c r="F2" s="47"/>
      <c r="G2" s="189" t="s">
        <v>73</v>
      </c>
      <c r="H2" s="189"/>
      <c r="I2" s="47"/>
      <c r="J2" s="189" t="s">
        <v>72</v>
      </c>
      <c r="K2" s="189"/>
    </row>
    <row r="3" spans="1:11" x14ac:dyDescent="0.25">
      <c r="F3" s="47"/>
      <c r="G3" s="45" t="s">
        <v>67</v>
      </c>
      <c r="H3" s="45" t="s">
        <v>47</v>
      </c>
      <c r="I3" s="47"/>
      <c r="J3" s="45" t="s">
        <v>67</v>
      </c>
      <c r="K3" s="45" t="s">
        <v>47</v>
      </c>
    </row>
    <row r="4" spans="1:11" ht="34.5" customHeight="1" x14ac:dyDescent="0.25">
      <c r="D4" s="190" t="s">
        <v>74</v>
      </c>
      <c r="E4" s="191"/>
      <c r="F4" s="47"/>
      <c r="G4" s="46">
        <v>0.3</v>
      </c>
      <c r="H4" s="46">
        <v>0.7</v>
      </c>
      <c r="I4" s="47"/>
      <c r="J4" s="46">
        <v>0.7</v>
      </c>
      <c r="K4" s="46">
        <v>0.3</v>
      </c>
    </row>
    <row r="5" spans="1:11" x14ac:dyDescent="0.25">
      <c r="A5" s="177" t="s">
        <v>51</v>
      </c>
      <c r="B5" s="178" t="s">
        <v>43</v>
      </c>
      <c r="C5" s="27" t="s">
        <v>39</v>
      </c>
      <c r="D5" s="91">
        <v>60</v>
      </c>
      <c r="E5" s="179">
        <f>D5+D6+D7</f>
        <v>438</v>
      </c>
      <c r="F5" s="47"/>
      <c r="G5" s="188">
        <f>(D6+D7)*$G$4</f>
        <v>113.39999999999999</v>
      </c>
      <c r="H5" s="188">
        <f>(D6+D7)*H4</f>
        <v>264.59999999999997</v>
      </c>
      <c r="I5" s="47"/>
      <c r="J5" s="188">
        <f>E5*J4</f>
        <v>306.59999999999997</v>
      </c>
      <c r="K5" s="188">
        <f>E5*K4</f>
        <v>131.4</v>
      </c>
    </row>
    <row r="6" spans="1:11" x14ac:dyDescent="0.25">
      <c r="A6" s="177"/>
      <c r="B6" s="178"/>
      <c r="C6" s="27" t="s">
        <v>40</v>
      </c>
      <c r="D6" s="91">
        <f>'მკურნალობაში ჩართვის ჯგუფები'!E6</f>
        <v>369</v>
      </c>
      <c r="E6" s="179"/>
      <c r="F6" s="47"/>
      <c r="G6" s="188"/>
      <c r="H6" s="188"/>
      <c r="I6" s="47"/>
      <c r="J6" s="188"/>
      <c r="K6" s="188"/>
    </row>
    <row r="7" spans="1:11" x14ac:dyDescent="0.25">
      <c r="A7" s="177"/>
      <c r="B7" s="178"/>
      <c r="C7" s="27" t="s">
        <v>42</v>
      </c>
      <c r="D7" s="91">
        <f>'მკურნალობაში ჩართვის ჯგუფები'!E8</f>
        <v>9</v>
      </c>
      <c r="E7" s="179"/>
      <c r="F7" s="47"/>
      <c r="G7" s="188"/>
      <c r="H7" s="188"/>
      <c r="I7" s="47"/>
      <c r="J7" s="188"/>
      <c r="K7" s="188"/>
    </row>
    <row r="8" spans="1:11" x14ac:dyDescent="0.25">
      <c r="A8" s="177"/>
      <c r="D8" s="35"/>
      <c r="E8" s="36"/>
      <c r="F8" s="47"/>
      <c r="I8" s="47"/>
    </row>
    <row r="9" spans="1:11" x14ac:dyDescent="0.25">
      <c r="A9" s="177"/>
      <c r="B9" s="178" t="s">
        <v>44</v>
      </c>
      <c r="C9" s="27" t="s">
        <v>39</v>
      </c>
      <c r="D9" s="91">
        <v>60</v>
      </c>
      <c r="E9" s="179">
        <f>D9+D10</f>
        <v>429</v>
      </c>
      <c r="F9" s="47"/>
      <c r="G9" s="188">
        <f>D10*G4</f>
        <v>110.7</v>
      </c>
      <c r="H9" s="188">
        <f>D10*H4</f>
        <v>258.3</v>
      </c>
      <c r="I9" s="47"/>
      <c r="J9" s="188">
        <f>E9*J4</f>
        <v>300.29999999999995</v>
      </c>
      <c r="K9" s="188">
        <f>E9*K4</f>
        <v>128.69999999999999</v>
      </c>
    </row>
    <row r="10" spans="1:11" x14ac:dyDescent="0.25">
      <c r="A10" s="177"/>
      <c r="B10" s="178"/>
      <c r="C10" s="27" t="s">
        <v>40</v>
      </c>
      <c r="D10" s="91">
        <f>'მკურნალობაში ჩართვის ჯგუფები'!E6</f>
        <v>369</v>
      </c>
      <c r="E10" s="179"/>
      <c r="F10" s="47"/>
      <c r="G10" s="188"/>
      <c r="H10" s="188"/>
      <c r="I10" s="47"/>
      <c r="J10" s="188"/>
      <c r="K10" s="188"/>
    </row>
    <row r="11" spans="1:11" x14ac:dyDescent="0.25">
      <c r="A11" s="177"/>
      <c r="D11" s="35"/>
      <c r="E11" s="36"/>
      <c r="F11" s="47"/>
      <c r="I11" s="47"/>
    </row>
    <row r="12" spans="1:11" x14ac:dyDescent="0.25">
      <c r="A12" s="177"/>
      <c r="B12" s="178" t="s">
        <v>45</v>
      </c>
      <c r="C12" s="27" t="s">
        <v>39</v>
      </c>
      <c r="D12" s="91">
        <v>60</v>
      </c>
      <c r="E12" s="179">
        <f>D12+D13+D14</f>
        <v>358</v>
      </c>
      <c r="F12" s="47"/>
      <c r="G12" s="188">
        <f>(D13+D14)*G4</f>
        <v>89.399999999999991</v>
      </c>
      <c r="H12" s="188">
        <f>(D13+D14)*H4</f>
        <v>208.6</v>
      </c>
      <c r="I12" s="47"/>
      <c r="J12" s="188">
        <f>E12*J4</f>
        <v>250.6</v>
      </c>
      <c r="K12" s="188">
        <f>E12*K4</f>
        <v>107.39999999999999</v>
      </c>
    </row>
    <row r="13" spans="1:11" x14ac:dyDescent="0.25">
      <c r="A13" s="177"/>
      <c r="B13" s="178"/>
      <c r="C13" s="27" t="s">
        <v>41</v>
      </c>
      <c r="D13" s="91">
        <f>'მკურნალობაში ჩართვის ჯგუფები'!E7</f>
        <v>289</v>
      </c>
      <c r="E13" s="179"/>
      <c r="F13" s="47"/>
      <c r="G13" s="188"/>
      <c r="H13" s="188"/>
      <c r="I13" s="47"/>
      <c r="J13" s="188"/>
      <c r="K13" s="188"/>
    </row>
    <row r="14" spans="1:11" x14ac:dyDescent="0.25">
      <c r="A14" s="177"/>
      <c r="B14" s="178"/>
      <c r="C14" s="27" t="s">
        <v>42</v>
      </c>
      <c r="D14" s="91">
        <f>'მკურნალობაში ჩართვის ჯგუფები'!E8</f>
        <v>9</v>
      </c>
      <c r="E14" s="179"/>
      <c r="F14" s="47"/>
      <c r="G14" s="188"/>
      <c r="H14" s="188"/>
      <c r="I14" s="47"/>
      <c r="J14" s="188"/>
      <c r="K14" s="188"/>
    </row>
    <row r="15" spans="1:11" x14ac:dyDescent="0.25">
      <c r="A15" s="177"/>
      <c r="D15" s="35"/>
      <c r="E15" s="36"/>
      <c r="F15" s="47"/>
      <c r="I15" s="47"/>
    </row>
    <row r="16" spans="1:11" x14ac:dyDescent="0.25">
      <c r="A16" s="177"/>
      <c r="B16" s="178" t="s">
        <v>46</v>
      </c>
      <c r="C16" s="27" t="s">
        <v>39</v>
      </c>
      <c r="D16" s="91">
        <v>60</v>
      </c>
      <c r="E16" s="179">
        <f>D16+D17</f>
        <v>349</v>
      </c>
      <c r="F16" s="47"/>
      <c r="G16" s="188">
        <f>D17*G4</f>
        <v>86.7</v>
      </c>
      <c r="H16" s="188">
        <f>D17*H4</f>
        <v>202.29999999999998</v>
      </c>
      <c r="I16" s="47"/>
      <c r="J16" s="188">
        <f>E16*J4</f>
        <v>244.29999999999998</v>
      </c>
      <c r="K16" s="188">
        <f>E16*K4</f>
        <v>104.7</v>
      </c>
    </row>
    <row r="17" spans="1:11" x14ac:dyDescent="0.25">
      <c r="A17" s="177"/>
      <c r="B17" s="178"/>
      <c r="C17" s="27" t="s">
        <v>41</v>
      </c>
      <c r="D17" s="91">
        <f>'მკურნალობაში ჩართვის ჯგუფები'!E7</f>
        <v>289</v>
      </c>
      <c r="E17" s="179"/>
      <c r="F17" s="47"/>
      <c r="G17" s="188"/>
      <c r="H17" s="188"/>
      <c r="I17" s="47"/>
      <c r="J17" s="188"/>
      <c r="K17" s="188"/>
    </row>
    <row r="18" spans="1:11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</row>
    <row r="19" spans="1:11" x14ac:dyDescent="0.25">
      <c r="A19" s="177" t="s">
        <v>54</v>
      </c>
      <c r="B19" s="178" t="s">
        <v>55</v>
      </c>
      <c r="C19" s="29" t="s">
        <v>33</v>
      </c>
      <c r="D19" s="91">
        <f>'მონიტორინგის კვლევების ჯგუფები'!E5</f>
        <v>236</v>
      </c>
      <c r="E19" s="179">
        <f>AVERAGE(D19:D21)</f>
        <v>227</v>
      </c>
      <c r="F19" s="47"/>
      <c r="G19" s="195">
        <f>E19*G4</f>
        <v>68.099999999999994</v>
      </c>
      <c r="H19" s="195">
        <f>E19*H4</f>
        <v>158.89999999999998</v>
      </c>
      <c r="I19" s="47"/>
      <c r="J19" s="195">
        <f>E19*J4</f>
        <v>158.89999999999998</v>
      </c>
      <c r="K19" s="195">
        <f>E19*K4</f>
        <v>68.099999999999994</v>
      </c>
    </row>
    <row r="20" spans="1:11" x14ac:dyDescent="0.25">
      <c r="A20" s="177"/>
      <c r="B20" s="178"/>
      <c r="C20" s="29" t="s">
        <v>31</v>
      </c>
      <c r="D20" s="91">
        <f>'მონიტორინგის კვლევების ჯგუფები'!E6</f>
        <v>227</v>
      </c>
      <c r="E20" s="179"/>
      <c r="F20" s="47"/>
      <c r="G20" s="196"/>
      <c r="H20" s="196"/>
      <c r="I20" s="47"/>
      <c r="J20" s="196"/>
      <c r="K20" s="196"/>
    </row>
    <row r="21" spans="1:11" x14ac:dyDescent="0.25">
      <c r="A21" s="177"/>
      <c r="B21" s="178"/>
      <c r="C21" s="37" t="s">
        <v>34</v>
      </c>
      <c r="D21" s="91">
        <f>'მონიტორინგის კვლევების ჯგუფები'!E7</f>
        <v>218</v>
      </c>
      <c r="E21" s="179"/>
      <c r="F21" s="47"/>
      <c r="G21" s="197"/>
      <c r="H21" s="197"/>
      <c r="I21" s="47"/>
      <c r="J21" s="197"/>
      <c r="K21" s="197"/>
    </row>
    <row r="22" spans="1:11" x14ac:dyDescent="0.25">
      <c r="A22" s="177"/>
      <c r="E22" s="36"/>
      <c r="F22" s="47"/>
      <c r="I22" s="47"/>
    </row>
    <row r="23" spans="1:11" x14ac:dyDescent="0.25">
      <c r="A23" s="177"/>
      <c r="B23" s="178" t="s">
        <v>56</v>
      </c>
      <c r="C23" s="29" t="s">
        <v>35</v>
      </c>
      <c r="D23" s="91">
        <f>'მონიტორინგის კვლევების ჯგუფები'!E8</f>
        <v>304</v>
      </c>
      <c r="E23" s="180">
        <f>AVERAGE(D23:D25)</f>
        <v>289</v>
      </c>
      <c r="F23" s="47"/>
      <c r="G23" s="188">
        <f>E23*G4</f>
        <v>86.7</v>
      </c>
      <c r="H23" s="195">
        <f>E23*H4</f>
        <v>202.29999999999998</v>
      </c>
      <c r="I23" s="47"/>
      <c r="J23" s="188">
        <f>E23*J4</f>
        <v>202.29999999999998</v>
      </c>
      <c r="K23" s="195">
        <f>E23*K4</f>
        <v>86.7</v>
      </c>
    </row>
    <row r="24" spans="1:11" x14ac:dyDescent="0.25">
      <c r="A24" s="177"/>
      <c r="B24" s="178"/>
      <c r="C24" s="29" t="s">
        <v>32</v>
      </c>
      <c r="D24" s="91">
        <f>'მონიტორინგის კვლევების ჯგუფები'!E9</f>
        <v>286</v>
      </c>
      <c r="E24" s="181"/>
      <c r="F24" s="47"/>
      <c r="G24" s="188"/>
      <c r="H24" s="196"/>
      <c r="I24" s="47"/>
      <c r="J24" s="188"/>
      <c r="K24" s="196"/>
    </row>
    <row r="25" spans="1:11" x14ac:dyDescent="0.25">
      <c r="A25" s="177"/>
      <c r="B25" s="178"/>
      <c r="C25" s="37" t="s">
        <v>36</v>
      </c>
      <c r="D25" s="91">
        <f>'მონიტორინგის კვლევების ჯგუფები'!E10</f>
        <v>277</v>
      </c>
      <c r="E25" s="182"/>
      <c r="F25" s="47"/>
      <c r="G25" s="188"/>
      <c r="H25" s="197"/>
      <c r="I25" s="47"/>
      <c r="J25" s="188"/>
      <c r="K25" s="197"/>
    </row>
    <row r="26" spans="1:11" x14ac:dyDescent="0.25">
      <c r="A26" s="177"/>
      <c r="E26" s="36"/>
      <c r="F26" s="47"/>
      <c r="I26" s="47"/>
    </row>
    <row r="27" spans="1:11" x14ac:dyDescent="0.25">
      <c r="A27" s="177"/>
      <c r="B27" s="94" t="s">
        <v>57</v>
      </c>
      <c r="C27" s="27" t="s">
        <v>53</v>
      </c>
      <c r="D27" s="38">
        <f>'მონიტორინგის კვლევების ჯგუფები'!E11</f>
        <v>130</v>
      </c>
      <c r="E27" s="92">
        <v>130</v>
      </c>
      <c r="F27" s="47"/>
      <c r="G27" s="91">
        <v>0</v>
      </c>
      <c r="H27" s="91">
        <v>0</v>
      </c>
      <c r="I27" s="47"/>
      <c r="J27" s="91">
        <f>E27</f>
        <v>130</v>
      </c>
      <c r="K27" s="91">
        <f>E27</f>
        <v>130</v>
      </c>
    </row>
    <row r="28" spans="1:11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5">
      <c r="A29" s="199" t="s">
        <v>66</v>
      </c>
      <c r="B29" s="178" t="s">
        <v>48</v>
      </c>
      <c r="C29" s="27" t="s">
        <v>58</v>
      </c>
      <c r="D29" s="91">
        <f>E5+E19+E27</f>
        <v>795</v>
      </c>
      <c r="E29" s="179">
        <f>AVERAGE(D29:D30)</f>
        <v>790.5</v>
      </c>
      <c r="F29" s="47"/>
      <c r="G29" s="188">
        <f>(E29-D5-E27)*G4</f>
        <v>180.15</v>
      </c>
      <c r="H29" s="188">
        <f>(E29-D5-E27)*H4</f>
        <v>420.34999999999997</v>
      </c>
      <c r="I29" s="47"/>
      <c r="J29" s="188">
        <f>(E29-E27)*J4+E27</f>
        <v>592.34999999999991</v>
      </c>
      <c r="K29" s="188">
        <f>(E29-E27)*K4+E27</f>
        <v>328.15</v>
      </c>
    </row>
    <row r="30" spans="1:11" x14ac:dyDescent="0.25">
      <c r="A30" s="200"/>
      <c r="B30" s="178"/>
      <c r="C30" s="27" t="s">
        <v>60</v>
      </c>
      <c r="D30" s="91">
        <f>E9+E19+E27</f>
        <v>786</v>
      </c>
      <c r="E30" s="179"/>
      <c r="F30" s="47"/>
      <c r="G30" s="188"/>
      <c r="H30" s="188"/>
      <c r="I30" s="47"/>
      <c r="J30" s="188"/>
      <c r="K30" s="188"/>
    </row>
    <row r="31" spans="1:11" x14ac:dyDescent="0.25">
      <c r="A31" s="200"/>
      <c r="B31" s="36"/>
      <c r="D31" s="35"/>
      <c r="E31" s="36"/>
      <c r="F31" s="47"/>
      <c r="I31" s="47"/>
    </row>
    <row r="32" spans="1:11" x14ac:dyDescent="0.25">
      <c r="A32" s="200"/>
      <c r="B32" s="178" t="s">
        <v>49</v>
      </c>
      <c r="C32" s="27" t="s">
        <v>59</v>
      </c>
      <c r="D32" s="91">
        <f>E5+E23+E27</f>
        <v>857</v>
      </c>
      <c r="E32" s="179">
        <f>AVERAGE(D32:D33)</f>
        <v>852.5</v>
      </c>
      <c r="F32" s="47"/>
      <c r="G32" s="188">
        <f>(E32-D9-E27)*G4</f>
        <v>198.75</v>
      </c>
      <c r="H32" s="188">
        <f>(E32-D9-E27)*H4</f>
        <v>463.74999999999994</v>
      </c>
      <c r="I32" s="47"/>
      <c r="J32" s="188">
        <f>(E32-E27)*J4+E27</f>
        <v>635.75</v>
      </c>
      <c r="K32" s="188">
        <f>(E32-E27)*K4+E27</f>
        <v>346.75</v>
      </c>
    </row>
    <row r="33" spans="1:11" x14ac:dyDescent="0.25">
      <c r="A33" s="200"/>
      <c r="B33" s="178"/>
      <c r="C33" s="27" t="s">
        <v>61</v>
      </c>
      <c r="D33" s="91">
        <f>E9+E23+E27</f>
        <v>848</v>
      </c>
      <c r="E33" s="179"/>
      <c r="F33" s="47"/>
      <c r="G33" s="188"/>
      <c r="H33" s="188"/>
      <c r="I33" s="47"/>
      <c r="J33" s="188"/>
      <c r="K33" s="188"/>
    </row>
    <row r="34" spans="1:11" x14ac:dyDescent="0.25">
      <c r="A34" s="200"/>
      <c r="B34" s="36"/>
      <c r="D34" s="35"/>
      <c r="E34" s="36"/>
      <c r="F34" s="47"/>
      <c r="I34" s="47"/>
    </row>
    <row r="35" spans="1:11" x14ac:dyDescent="0.25">
      <c r="A35" s="200"/>
      <c r="B35" s="178" t="s">
        <v>52</v>
      </c>
      <c r="C35" s="27" t="s">
        <v>62</v>
      </c>
      <c r="D35" s="91">
        <f>E12+E19+E27</f>
        <v>715</v>
      </c>
      <c r="E35" s="179">
        <f>AVERAGE(D35:D36)</f>
        <v>710.5</v>
      </c>
      <c r="F35" s="47"/>
      <c r="G35" s="188">
        <f>(E35-D9-E27)*G4</f>
        <v>156.15</v>
      </c>
      <c r="H35" s="188">
        <f>(E35-D9-E27)*H4</f>
        <v>364.34999999999997</v>
      </c>
      <c r="I35" s="47"/>
      <c r="J35" s="188">
        <f>(E35-E27)*J4+E27</f>
        <v>536.34999999999991</v>
      </c>
      <c r="K35" s="188">
        <f>(E35-E27)*K4+E27</f>
        <v>304.14999999999998</v>
      </c>
    </row>
    <row r="36" spans="1:11" x14ac:dyDescent="0.25">
      <c r="A36" s="200"/>
      <c r="B36" s="178"/>
      <c r="C36" s="27" t="s">
        <v>64</v>
      </c>
      <c r="D36" s="91">
        <f>E16+E19+E27</f>
        <v>706</v>
      </c>
      <c r="E36" s="179"/>
      <c r="F36" s="47"/>
      <c r="G36" s="188"/>
      <c r="H36" s="188"/>
      <c r="I36" s="47"/>
      <c r="J36" s="188"/>
      <c r="K36" s="188"/>
    </row>
    <row r="37" spans="1:11" x14ac:dyDescent="0.25">
      <c r="A37" s="200"/>
      <c r="B37" s="36"/>
      <c r="D37" s="35"/>
      <c r="E37" s="36"/>
      <c r="F37" s="47"/>
      <c r="I37" s="47"/>
    </row>
    <row r="38" spans="1:11" x14ac:dyDescent="0.25">
      <c r="A38" s="200"/>
      <c r="B38" s="183" t="s">
        <v>50</v>
      </c>
      <c r="C38" s="27" t="s">
        <v>63</v>
      </c>
      <c r="D38" s="91">
        <f>E12+E23+E27</f>
        <v>777</v>
      </c>
      <c r="E38" s="179">
        <f>AVERAGE(D38:D39)</f>
        <v>772.5</v>
      </c>
      <c r="F38" s="47"/>
      <c r="G38" s="188">
        <f>(E38-D16-E27)*G4</f>
        <v>174.75</v>
      </c>
      <c r="H38" s="188">
        <f>(E38-D16-E27)*H4</f>
        <v>407.75</v>
      </c>
      <c r="I38" s="47"/>
      <c r="J38" s="188">
        <f>(E38-E27)*J4+E27</f>
        <v>579.75</v>
      </c>
      <c r="K38" s="188">
        <f>(E38-E27)*K4+E27</f>
        <v>322.75</v>
      </c>
    </row>
    <row r="39" spans="1:11" x14ac:dyDescent="0.25">
      <c r="A39" s="201"/>
      <c r="B39" s="184"/>
      <c r="C39" s="27" t="s">
        <v>65</v>
      </c>
      <c r="D39" s="91">
        <f>E16+E23+E27</f>
        <v>768</v>
      </c>
      <c r="E39" s="179"/>
      <c r="F39" s="47"/>
      <c r="G39" s="188"/>
      <c r="H39" s="188"/>
      <c r="I39" s="47"/>
      <c r="J39" s="188"/>
      <c r="K39" s="188"/>
    </row>
    <row r="40" spans="1:11" x14ac:dyDescent="0.25">
      <c r="A40" s="48"/>
      <c r="B40" s="49"/>
      <c r="C40" s="50"/>
      <c r="D40" s="51"/>
      <c r="E40" s="49"/>
      <c r="F40" s="47"/>
      <c r="G40" s="51"/>
      <c r="H40" s="51"/>
      <c r="I40" s="47"/>
      <c r="J40" s="47"/>
      <c r="K40" s="47"/>
    </row>
    <row r="41" spans="1:11" x14ac:dyDescent="0.25">
      <c r="F41" s="47"/>
      <c r="G41" s="185" t="s">
        <v>75</v>
      </c>
      <c r="H41" s="185"/>
      <c r="I41" s="47"/>
      <c r="J41" s="185" t="s">
        <v>76</v>
      </c>
      <c r="K41" s="185"/>
    </row>
    <row r="42" spans="1:11" ht="13.5" customHeight="1" x14ac:dyDescent="0.25">
      <c r="F42" s="47"/>
      <c r="G42" s="93" t="s">
        <v>67</v>
      </c>
      <c r="H42" s="93" t="s">
        <v>47</v>
      </c>
      <c r="I42" s="47"/>
      <c r="J42" s="93" t="s">
        <v>67</v>
      </c>
      <c r="K42" s="93" t="s">
        <v>47</v>
      </c>
    </row>
    <row r="43" spans="1:11" ht="21" customHeight="1" x14ac:dyDescent="0.25">
      <c r="A43" s="198" t="s">
        <v>66</v>
      </c>
      <c r="B43" s="91" t="s">
        <v>48</v>
      </c>
      <c r="C43" s="186" t="s">
        <v>68</v>
      </c>
      <c r="D43" s="187"/>
      <c r="E43" s="91">
        <f>AVERAGE(E29,E35)</f>
        <v>750.5</v>
      </c>
      <c r="F43" s="47"/>
      <c r="G43" s="91">
        <f>(E43-D9-E27)*G4</f>
        <v>168.15</v>
      </c>
      <c r="H43" s="91">
        <f>(E43-D16-E27)*H4</f>
        <v>392.34999999999997</v>
      </c>
      <c r="I43" s="47"/>
      <c r="J43" s="91">
        <f>E43-G43</f>
        <v>582.35</v>
      </c>
      <c r="K43" s="91">
        <f>E43-H43</f>
        <v>358.15000000000003</v>
      </c>
    </row>
    <row r="44" spans="1:11" ht="29.25" customHeight="1" x14ac:dyDescent="0.25">
      <c r="A44" s="198"/>
      <c r="B44" s="91" t="s">
        <v>49</v>
      </c>
      <c r="C44" s="186" t="s">
        <v>69</v>
      </c>
      <c r="D44" s="187"/>
      <c r="E44" s="91">
        <f>AVERAGE(E32,E38)</f>
        <v>812.5</v>
      </c>
      <c r="F44" s="47"/>
      <c r="G44" s="91">
        <f>(E44-D16-E27)*G4</f>
        <v>186.75</v>
      </c>
      <c r="H44" s="91">
        <f>(E44-D16-E27)*H4</f>
        <v>435.75</v>
      </c>
      <c r="I44" s="47"/>
      <c r="J44" s="91">
        <f>E44-G44</f>
        <v>625.75</v>
      </c>
      <c r="K44" s="91">
        <f>E44-H44</f>
        <v>376.75</v>
      </c>
    </row>
    <row r="45" spans="1:11" x14ac:dyDescent="0.25">
      <c r="A45" s="48"/>
      <c r="B45" s="49"/>
      <c r="C45" s="50"/>
      <c r="D45" s="51"/>
      <c r="E45" s="49"/>
      <c r="F45" s="47"/>
      <c r="G45" s="51"/>
      <c r="H45" s="51"/>
      <c r="I45" s="47"/>
      <c r="J45" s="47"/>
      <c r="K45" s="47"/>
    </row>
    <row r="46" spans="1:11" x14ac:dyDescent="0.25">
      <c r="A46" s="192" t="s">
        <v>77</v>
      </c>
      <c r="B46" s="27"/>
      <c r="C46" s="42" t="s">
        <v>79</v>
      </c>
      <c r="D46" s="52" t="s">
        <v>67</v>
      </c>
      <c r="E46" s="42" t="s">
        <v>47</v>
      </c>
    </row>
    <row r="47" spans="1:11" ht="23.25" x14ac:dyDescent="0.25">
      <c r="A47" s="193"/>
      <c r="B47" s="53" t="s">
        <v>70</v>
      </c>
      <c r="C47" s="91">
        <v>25000</v>
      </c>
      <c r="D47" s="91">
        <f>C47*10%</f>
        <v>2500</v>
      </c>
      <c r="E47" s="91">
        <f>C47*90%</f>
        <v>22500</v>
      </c>
    </row>
    <row r="48" spans="1:11" ht="21" customHeight="1" x14ac:dyDescent="0.25">
      <c r="A48" s="193"/>
      <c r="B48" s="53" t="s">
        <v>68</v>
      </c>
      <c r="C48" s="91">
        <f>C47*90%</f>
        <v>22500</v>
      </c>
      <c r="D48" s="91">
        <f>D47*90%</f>
        <v>2250</v>
      </c>
      <c r="E48" s="91">
        <f>E47*90%</f>
        <v>20250</v>
      </c>
      <c r="K48" s="31"/>
    </row>
    <row r="49" spans="1:11" ht="34.5" x14ac:dyDescent="0.25">
      <c r="A49" s="194"/>
      <c r="B49" s="53" t="s">
        <v>69</v>
      </c>
      <c r="C49" s="91">
        <f>C47*10%</f>
        <v>2500</v>
      </c>
      <c r="D49" s="91">
        <f>D47*10%</f>
        <v>250</v>
      </c>
      <c r="E49" s="91">
        <f>E47*10%</f>
        <v>2250</v>
      </c>
      <c r="H49">
        <f>32000-C47</f>
        <v>7000</v>
      </c>
    </row>
    <row r="50" spans="1:11" x14ac:dyDescent="0.25">
      <c r="A50" s="47"/>
      <c r="B50" s="47"/>
      <c r="C50" s="47"/>
      <c r="D50" s="47"/>
      <c r="E50" s="47"/>
      <c r="H50">
        <f>H49*60</f>
        <v>420000</v>
      </c>
    </row>
    <row r="51" spans="1:11" x14ac:dyDescent="0.25">
      <c r="A51" s="177" t="s">
        <v>78</v>
      </c>
      <c r="C51" s="42" t="s">
        <v>109</v>
      </c>
      <c r="D51" s="52" t="s">
        <v>67</v>
      </c>
      <c r="E51" s="42" t="s">
        <v>47</v>
      </c>
      <c r="K51" s="31"/>
    </row>
    <row r="52" spans="1:11" ht="34.5" x14ac:dyDescent="0.25">
      <c r="A52" s="177"/>
      <c r="B52" s="74" t="s">
        <v>68</v>
      </c>
      <c r="C52" s="43">
        <f>D52+E52</f>
        <v>8323424.9999999991</v>
      </c>
      <c r="D52" s="44">
        <f>D48*G43</f>
        <v>378337.5</v>
      </c>
      <c r="E52" s="44">
        <f>E48*H43</f>
        <v>7945087.4999999991</v>
      </c>
    </row>
    <row r="53" spans="1:11" ht="34.5" x14ac:dyDescent="0.25">
      <c r="A53" s="177"/>
      <c r="B53" s="74" t="s">
        <v>69</v>
      </c>
      <c r="C53" s="43">
        <f>D53+E53</f>
        <v>1027125</v>
      </c>
      <c r="D53" s="44">
        <f>D49*G44</f>
        <v>46687.5</v>
      </c>
      <c r="E53" s="44">
        <f>E49*H44</f>
        <v>980437.5</v>
      </c>
      <c r="K53" s="32"/>
    </row>
    <row r="54" spans="1:11" x14ac:dyDescent="0.25">
      <c r="A54" s="177"/>
      <c r="B54" s="75" t="s">
        <v>71</v>
      </c>
      <c r="C54" s="54">
        <f>C52+C53</f>
        <v>9350550</v>
      </c>
      <c r="D54" s="43">
        <f>D52+D53</f>
        <v>425025</v>
      </c>
      <c r="E54" s="43">
        <f>E52+E53</f>
        <v>8925525</v>
      </c>
    </row>
    <row r="55" spans="1:11" x14ac:dyDescent="0.25">
      <c r="A55" s="47"/>
      <c r="B55" s="47"/>
      <c r="C55" s="47"/>
      <c r="D55" s="47"/>
      <c r="E55" s="47"/>
    </row>
    <row r="56" spans="1:11" x14ac:dyDescent="0.25">
      <c r="A56" s="177" t="s">
        <v>80</v>
      </c>
      <c r="C56" s="42" t="s">
        <v>109</v>
      </c>
      <c r="D56" s="52" t="s">
        <v>67</v>
      </c>
      <c r="E56" s="42" t="s">
        <v>47</v>
      </c>
    </row>
    <row r="57" spans="1:11" ht="34.5" x14ac:dyDescent="0.25">
      <c r="A57" s="177"/>
      <c r="B57" s="74" t="s">
        <v>68</v>
      </c>
      <c r="C57" s="43">
        <f>D57+E57</f>
        <v>8562825</v>
      </c>
      <c r="D57" s="44">
        <f>D48*J43</f>
        <v>1310287.5</v>
      </c>
      <c r="E57" s="44">
        <f>E48*K43</f>
        <v>7252537.5000000009</v>
      </c>
    </row>
    <row r="58" spans="1:11" ht="34.5" x14ac:dyDescent="0.25">
      <c r="A58" s="177"/>
      <c r="B58" s="74" t="s">
        <v>69</v>
      </c>
      <c r="C58" s="43">
        <f>D58+E58</f>
        <v>1004125</v>
      </c>
      <c r="D58" s="44">
        <f>D49*J44</f>
        <v>156437.5</v>
      </c>
      <c r="E58" s="44">
        <f>E49*K44</f>
        <v>847687.5</v>
      </c>
    </row>
    <row r="59" spans="1:11" ht="23.25" x14ac:dyDescent="0.25">
      <c r="A59" s="177"/>
      <c r="B59" s="75" t="s">
        <v>99</v>
      </c>
      <c r="C59" s="54">
        <f>C57+C58</f>
        <v>9566950</v>
      </c>
      <c r="D59" s="43">
        <f>D57+D58</f>
        <v>1466725</v>
      </c>
      <c r="E59" s="43">
        <f>E57+E58</f>
        <v>8100225.0000000009</v>
      </c>
    </row>
    <row r="60" spans="1:11" x14ac:dyDescent="0.25">
      <c r="A60" s="177"/>
      <c r="B60" s="75"/>
      <c r="C60" s="54"/>
      <c r="D60" s="43"/>
      <c r="E60" s="43"/>
    </row>
    <row r="61" spans="1:11" ht="23.25" x14ac:dyDescent="0.25">
      <c r="A61" s="177"/>
      <c r="B61" s="75" t="s">
        <v>100</v>
      </c>
      <c r="C61" s="54">
        <f>C47*50</f>
        <v>1250000</v>
      </c>
      <c r="D61" s="43"/>
      <c r="E61" s="43"/>
    </row>
    <row r="62" spans="1:11" ht="15.75" x14ac:dyDescent="0.25">
      <c r="A62" s="177"/>
      <c r="B62" s="75" t="s">
        <v>71</v>
      </c>
      <c r="C62" s="86">
        <f>C59+C61+E65</f>
        <v>11236950</v>
      </c>
      <c r="D62" s="43"/>
      <c r="E62" s="43"/>
      <c r="G62" s="95">
        <f>C62-'ჯამური ბიუჯეტი'!C62</f>
        <v>1024999.9999999981</v>
      </c>
      <c r="H62" t="s">
        <v>110</v>
      </c>
    </row>
    <row r="63" spans="1:11" x14ac:dyDescent="0.25">
      <c r="A63" s="47"/>
      <c r="B63" s="47"/>
      <c r="C63" s="47"/>
      <c r="D63" s="47"/>
      <c r="E63" s="47"/>
    </row>
    <row r="65" spans="2:5" ht="34.5" x14ac:dyDescent="0.25">
      <c r="B65" s="73" t="s">
        <v>137</v>
      </c>
      <c r="C65">
        <f>32000-25000</f>
        <v>7000</v>
      </c>
      <c r="D65">
        <v>60</v>
      </c>
      <c r="E65">
        <f>C65*D65</f>
        <v>420000</v>
      </c>
    </row>
    <row r="67" spans="2:5" ht="18.75" x14ac:dyDescent="0.3">
      <c r="B67" s="55" t="s">
        <v>81</v>
      </c>
      <c r="C67" s="56">
        <f>C54+C62</f>
        <v>20587500</v>
      </c>
    </row>
  </sheetData>
  <mergeCells count="75">
    <mergeCell ref="A51:A54"/>
    <mergeCell ref="A56:A62"/>
    <mergeCell ref="G41:H41"/>
    <mergeCell ref="J41:K41"/>
    <mergeCell ref="A43:A44"/>
    <mergeCell ref="C43:D43"/>
    <mergeCell ref="C44:D44"/>
    <mergeCell ref="A46:A49"/>
    <mergeCell ref="J35:J36"/>
    <mergeCell ref="K35:K36"/>
    <mergeCell ref="B38:B39"/>
    <mergeCell ref="E38:E39"/>
    <mergeCell ref="G38:G39"/>
    <mergeCell ref="H38:H39"/>
    <mergeCell ref="J38:J39"/>
    <mergeCell ref="K38:K39"/>
    <mergeCell ref="K29:K30"/>
    <mergeCell ref="B32:B33"/>
    <mergeCell ref="E32:E33"/>
    <mergeCell ref="G32:G33"/>
    <mergeCell ref="H32:H33"/>
    <mergeCell ref="J32:J33"/>
    <mergeCell ref="K32:K33"/>
    <mergeCell ref="J29:J30"/>
    <mergeCell ref="A29:A39"/>
    <mergeCell ref="B29:B30"/>
    <mergeCell ref="E29:E30"/>
    <mergeCell ref="G29:G30"/>
    <mergeCell ref="H29:H30"/>
    <mergeCell ref="B35:B36"/>
    <mergeCell ref="E35:E36"/>
    <mergeCell ref="G35:G36"/>
    <mergeCell ref="H35:H36"/>
    <mergeCell ref="K19:K21"/>
    <mergeCell ref="B23:B25"/>
    <mergeCell ref="E23:E25"/>
    <mergeCell ref="G23:G25"/>
    <mergeCell ref="H23:H25"/>
    <mergeCell ref="J23:J25"/>
    <mergeCell ref="K23:K25"/>
    <mergeCell ref="J19:J21"/>
    <mergeCell ref="A19:A27"/>
    <mergeCell ref="B19:B21"/>
    <mergeCell ref="E19:E21"/>
    <mergeCell ref="G19:G21"/>
    <mergeCell ref="H19:H21"/>
    <mergeCell ref="K9:K10"/>
    <mergeCell ref="K16:K17"/>
    <mergeCell ref="B12:B14"/>
    <mergeCell ref="E12:E14"/>
    <mergeCell ref="G12:G14"/>
    <mergeCell ref="H12:H14"/>
    <mergeCell ref="J12:J14"/>
    <mergeCell ref="K12:K14"/>
    <mergeCell ref="B16:B17"/>
    <mergeCell ref="E16:E17"/>
    <mergeCell ref="G16:G17"/>
    <mergeCell ref="H16:H17"/>
    <mergeCell ref="J16:J17"/>
    <mergeCell ref="A1:K1"/>
    <mergeCell ref="G2:H2"/>
    <mergeCell ref="J2:K2"/>
    <mergeCell ref="D4:E4"/>
    <mergeCell ref="A5:A17"/>
    <mergeCell ref="B5:B7"/>
    <mergeCell ref="E5:E7"/>
    <mergeCell ref="G5:G7"/>
    <mergeCell ref="H5:H7"/>
    <mergeCell ref="J5:J7"/>
    <mergeCell ref="K5:K7"/>
    <mergeCell ref="B9:B10"/>
    <mergeCell ref="E9:E10"/>
    <mergeCell ref="G9:G10"/>
    <mergeCell ref="H9:H10"/>
    <mergeCell ref="J9:J10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opLeftCell="A40" workbookViewId="0">
      <selection activeCell="B65" sqref="B65:E65"/>
    </sheetView>
  </sheetViews>
  <sheetFormatPr defaultRowHeight="15" x14ac:dyDescent="0.25"/>
  <cols>
    <col min="2" max="2" width="18.5703125" bestFit="1" customWidth="1"/>
    <col min="3" max="3" width="42.5703125" bestFit="1" customWidth="1"/>
    <col min="4" max="4" width="17.42578125" customWidth="1"/>
    <col min="5" max="5" width="18.140625" customWidth="1"/>
    <col min="6" max="6" width="4" customWidth="1"/>
    <col min="7" max="7" width="14.5703125" bestFit="1" customWidth="1"/>
    <col min="8" max="8" width="10.42578125" customWidth="1"/>
    <col min="9" max="9" width="4" customWidth="1"/>
    <col min="10" max="10" width="14.5703125" bestFit="1" customWidth="1"/>
    <col min="11" max="12" width="17" customWidth="1"/>
    <col min="13" max="13" width="15.5703125" customWidth="1"/>
  </cols>
  <sheetData>
    <row r="1" spans="1:11" x14ac:dyDescent="0.25">
      <c r="A1" s="202" t="s">
        <v>82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x14ac:dyDescent="0.25">
      <c r="F2" s="47"/>
      <c r="G2" s="189" t="s">
        <v>73</v>
      </c>
      <c r="H2" s="189"/>
      <c r="I2" s="47"/>
      <c r="J2" s="189" t="s">
        <v>72</v>
      </c>
      <c r="K2" s="189"/>
    </row>
    <row r="3" spans="1:11" x14ac:dyDescent="0.25">
      <c r="F3" s="47"/>
      <c r="G3" s="45" t="s">
        <v>67</v>
      </c>
      <c r="H3" s="45" t="s">
        <v>47</v>
      </c>
      <c r="I3" s="47"/>
      <c r="J3" s="45" t="s">
        <v>67</v>
      </c>
      <c r="K3" s="45" t="s">
        <v>47</v>
      </c>
    </row>
    <row r="4" spans="1:11" ht="34.5" customHeight="1" x14ac:dyDescent="0.25">
      <c r="D4" s="190" t="s">
        <v>74</v>
      </c>
      <c r="E4" s="191"/>
      <c r="F4" s="47"/>
      <c r="G4" s="46">
        <v>0.05</v>
      </c>
      <c r="H4" s="46">
        <v>0.2</v>
      </c>
      <c r="I4" s="47"/>
      <c r="J4" s="46">
        <v>0.95</v>
      </c>
      <c r="K4" s="46">
        <v>0.8</v>
      </c>
    </row>
    <row r="5" spans="1:11" x14ac:dyDescent="0.25">
      <c r="A5" s="177" t="s">
        <v>51</v>
      </c>
      <c r="B5" s="178" t="s">
        <v>43</v>
      </c>
      <c r="C5" s="27" t="s">
        <v>39</v>
      </c>
      <c r="D5" s="101">
        <v>60</v>
      </c>
      <c r="E5" s="179">
        <f>D5+D6+D7</f>
        <v>438</v>
      </c>
      <c r="F5" s="47"/>
      <c r="G5" s="188">
        <f>(D6+D7)*$G$4</f>
        <v>18.900000000000002</v>
      </c>
      <c r="H5" s="188">
        <f>(D6+D7)*H4</f>
        <v>75.600000000000009</v>
      </c>
      <c r="I5" s="47"/>
      <c r="J5" s="188">
        <f>E5*J4</f>
        <v>416.09999999999997</v>
      </c>
      <c r="K5" s="188">
        <f>E5*K4</f>
        <v>350.40000000000003</v>
      </c>
    </row>
    <row r="6" spans="1:11" x14ac:dyDescent="0.25">
      <c r="A6" s="177"/>
      <c r="B6" s="178"/>
      <c r="C6" s="27" t="s">
        <v>40</v>
      </c>
      <c r="D6" s="101">
        <f>'მკურნალობაში ჩართვის ჯგუფები'!E6</f>
        <v>369</v>
      </c>
      <c r="E6" s="179"/>
      <c r="F6" s="47"/>
      <c r="G6" s="188"/>
      <c r="H6" s="188"/>
      <c r="I6" s="47"/>
      <c r="J6" s="188"/>
      <c r="K6" s="188"/>
    </row>
    <row r="7" spans="1:11" x14ac:dyDescent="0.25">
      <c r="A7" s="177"/>
      <c r="B7" s="178"/>
      <c r="C7" s="27" t="s">
        <v>42</v>
      </c>
      <c r="D7" s="101">
        <f>'მკურნალობაში ჩართვის ჯგუფები'!E8</f>
        <v>9</v>
      </c>
      <c r="E7" s="179"/>
      <c r="F7" s="47"/>
      <c r="G7" s="188"/>
      <c r="H7" s="188"/>
      <c r="I7" s="47"/>
      <c r="J7" s="188"/>
      <c r="K7" s="188"/>
    </row>
    <row r="8" spans="1:11" x14ac:dyDescent="0.25">
      <c r="A8" s="177"/>
      <c r="D8" s="106"/>
      <c r="E8" s="36"/>
      <c r="F8" s="47"/>
      <c r="I8" s="47"/>
    </row>
    <row r="9" spans="1:11" x14ac:dyDescent="0.25">
      <c r="A9" s="177"/>
      <c r="B9" s="178" t="s">
        <v>44</v>
      </c>
      <c r="C9" s="27" t="s">
        <v>39</v>
      </c>
      <c r="D9" s="101">
        <v>60</v>
      </c>
      <c r="E9" s="179">
        <f>D9+D10</f>
        <v>429</v>
      </c>
      <c r="F9" s="47"/>
      <c r="G9" s="188">
        <f>D10*G4</f>
        <v>18.45</v>
      </c>
      <c r="H9" s="188">
        <f>D10*H4</f>
        <v>73.8</v>
      </c>
      <c r="I9" s="47"/>
      <c r="J9" s="188">
        <f>E9*J4</f>
        <v>407.54999999999995</v>
      </c>
      <c r="K9" s="188">
        <f>E9*K4</f>
        <v>343.20000000000005</v>
      </c>
    </row>
    <row r="10" spans="1:11" x14ac:dyDescent="0.25">
      <c r="A10" s="177"/>
      <c r="B10" s="178"/>
      <c r="C10" s="27" t="s">
        <v>40</v>
      </c>
      <c r="D10" s="101">
        <f>'მკურნალობაში ჩართვის ჯგუფები'!E6</f>
        <v>369</v>
      </c>
      <c r="E10" s="179"/>
      <c r="F10" s="47"/>
      <c r="G10" s="188"/>
      <c r="H10" s="188"/>
      <c r="I10" s="47"/>
      <c r="J10" s="188"/>
      <c r="K10" s="188"/>
    </row>
    <row r="11" spans="1:11" x14ac:dyDescent="0.25">
      <c r="A11" s="177"/>
      <c r="D11" s="106"/>
      <c r="E11" s="36"/>
      <c r="F11" s="47"/>
      <c r="I11" s="47"/>
    </row>
    <row r="12" spans="1:11" x14ac:dyDescent="0.25">
      <c r="A12" s="177"/>
      <c r="B12" s="178" t="s">
        <v>45</v>
      </c>
      <c r="C12" s="27" t="s">
        <v>39</v>
      </c>
      <c r="D12" s="101">
        <v>60</v>
      </c>
      <c r="E12" s="179">
        <f>D12+D13+D14</f>
        <v>358</v>
      </c>
      <c r="F12" s="47"/>
      <c r="G12" s="188">
        <f>(D13+D14)*G4</f>
        <v>14.9</v>
      </c>
      <c r="H12" s="188">
        <f>(D13+D14)*H4</f>
        <v>59.6</v>
      </c>
      <c r="I12" s="47"/>
      <c r="J12" s="188">
        <f>E12*J4</f>
        <v>340.09999999999997</v>
      </c>
      <c r="K12" s="188">
        <f>E12*K4</f>
        <v>286.40000000000003</v>
      </c>
    </row>
    <row r="13" spans="1:11" x14ac:dyDescent="0.25">
      <c r="A13" s="177"/>
      <c r="B13" s="178"/>
      <c r="C13" s="27" t="s">
        <v>41</v>
      </c>
      <c r="D13" s="101">
        <f>'მკურნალობაში ჩართვის ჯგუფები'!E7</f>
        <v>289</v>
      </c>
      <c r="E13" s="179"/>
      <c r="F13" s="47"/>
      <c r="G13" s="188"/>
      <c r="H13" s="188"/>
      <c r="I13" s="47"/>
      <c r="J13" s="188"/>
      <c r="K13" s="188"/>
    </row>
    <row r="14" spans="1:11" x14ac:dyDescent="0.25">
      <c r="A14" s="177"/>
      <c r="B14" s="178"/>
      <c r="C14" s="27" t="s">
        <v>42</v>
      </c>
      <c r="D14" s="101">
        <f>'მკურნალობაში ჩართვის ჯგუფები'!E8</f>
        <v>9</v>
      </c>
      <c r="E14" s="179"/>
      <c r="F14" s="47"/>
      <c r="G14" s="188"/>
      <c r="H14" s="188"/>
      <c r="I14" s="47"/>
      <c r="J14" s="188"/>
      <c r="K14" s="188"/>
    </row>
    <row r="15" spans="1:11" x14ac:dyDescent="0.25">
      <c r="A15" s="177"/>
      <c r="D15" s="106"/>
      <c r="E15" s="36"/>
      <c r="F15" s="47"/>
      <c r="I15" s="47"/>
    </row>
    <row r="16" spans="1:11" x14ac:dyDescent="0.25">
      <c r="A16" s="177"/>
      <c r="B16" s="178" t="s">
        <v>46</v>
      </c>
      <c r="C16" s="27" t="s">
        <v>39</v>
      </c>
      <c r="D16" s="101">
        <v>60</v>
      </c>
      <c r="E16" s="179">
        <f>D16+D17</f>
        <v>349</v>
      </c>
      <c r="F16" s="47"/>
      <c r="G16" s="188">
        <f>D17*G4</f>
        <v>14.450000000000001</v>
      </c>
      <c r="H16" s="188">
        <f>D17*H4</f>
        <v>57.800000000000004</v>
      </c>
      <c r="I16" s="47"/>
      <c r="J16" s="188">
        <f>E16*J4</f>
        <v>331.55</v>
      </c>
      <c r="K16" s="188">
        <f>E16*K4</f>
        <v>279.2</v>
      </c>
    </row>
    <row r="17" spans="1:11" x14ac:dyDescent="0.25">
      <c r="A17" s="177"/>
      <c r="B17" s="178"/>
      <c r="C17" s="27" t="s">
        <v>41</v>
      </c>
      <c r="D17" s="101">
        <f>'მკურნალობაში ჩართვის ჯგუფები'!E7</f>
        <v>289</v>
      </c>
      <c r="E17" s="179"/>
      <c r="F17" s="47"/>
      <c r="G17" s="188"/>
      <c r="H17" s="188"/>
      <c r="I17" s="47"/>
      <c r="J17" s="188"/>
      <c r="K17" s="188"/>
    </row>
    <row r="18" spans="1:11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</row>
    <row r="19" spans="1:11" x14ac:dyDescent="0.25">
      <c r="A19" s="177" t="s">
        <v>54</v>
      </c>
      <c r="B19" s="178" t="s">
        <v>55</v>
      </c>
      <c r="C19" s="29" t="s">
        <v>33</v>
      </c>
      <c r="D19" s="101">
        <f>'მონიტორინგის კვლევების ჯგუფები'!E5</f>
        <v>236</v>
      </c>
      <c r="E19" s="179">
        <f>AVERAGE(D19:D21)</f>
        <v>227</v>
      </c>
      <c r="F19" s="47"/>
      <c r="G19" s="195">
        <f>E19*G4</f>
        <v>11.350000000000001</v>
      </c>
      <c r="H19" s="195">
        <f>E19*H4</f>
        <v>45.400000000000006</v>
      </c>
      <c r="I19" s="47"/>
      <c r="J19" s="195">
        <f>E19*J4</f>
        <v>215.64999999999998</v>
      </c>
      <c r="K19" s="195">
        <f>E19*K4</f>
        <v>181.60000000000002</v>
      </c>
    </row>
    <row r="20" spans="1:11" x14ac:dyDescent="0.25">
      <c r="A20" s="177"/>
      <c r="B20" s="178"/>
      <c r="C20" s="29" t="s">
        <v>31</v>
      </c>
      <c r="D20" s="101">
        <f>'მონიტორინგის კვლევების ჯგუფები'!E6</f>
        <v>227</v>
      </c>
      <c r="E20" s="179"/>
      <c r="F20" s="47"/>
      <c r="G20" s="196"/>
      <c r="H20" s="196"/>
      <c r="I20" s="47"/>
      <c r="J20" s="196"/>
      <c r="K20" s="196"/>
    </row>
    <row r="21" spans="1:11" x14ac:dyDescent="0.25">
      <c r="A21" s="177"/>
      <c r="B21" s="178"/>
      <c r="C21" s="37" t="s">
        <v>34</v>
      </c>
      <c r="D21" s="101">
        <f>'მონიტორინგის კვლევების ჯგუფები'!E7</f>
        <v>218</v>
      </c>
      <c r="E21" s="179"/>
      <c r="F21" s="47"/>
      <c r="G21" s="197"/>
      <c r="H21" s="197"/>
      <c r="I21" s="47"/>
      <c r="J21" s="197"/>
      <c r="K21" s="197"/>
    </row>
    <row r="22" spans="1:11" x14ac:dyDescent="0.25">
      <c r="A22" s="177"/>
      <c r="E22" s="36"/>
      <c r="F22" s="47"/>
      <c r="I22" s="47"/>
    </row>
    <row r="23" spans="1:11" x14ac:dyDescent="0.25">
      <c r="A23" s="177"/>
      <c r="B23" s="178" t="s">
        <v>56</v>
      </c>
      <c r="C23" s="29" t="s">
        <v>35</v>
      </c>
      <c r="D23" s="101">
        <f>'მონიტორინგის კვლევების ჯგუფები'!E8</f>
        <v>304</v>
      </c>
      <c r="E23" s="180">
        <f>AVERAGE(D23:D25)</f>
        <v>289</v>
      </c>
      <c r="F23" s="47"/>
      <c r="G23" s="188">
        <f>E23*G4</f>
        <v>14.450000000000001</v>
      </c>
      <c r="H23" s="195">
        <f>E23*H4</f>
        <v>57.800000000000004</v>
      </c>
      <c r="I23" s="47"/>
      <c r="J23" s="188">
        <f>E23*J4</f>
        <v>274.55</v>
      </c>
      <c r="K23" s="195">
        <f>E23*K4</f>
        <v>231.20000000000002</v>
      </c>
    </row>
    <row r="24" spans="1:11" x14ac:dyDescent="0.25">
      <c r="A24" s="177"/>
      <c r="B24" s="178"/>
      <c r="C24" s="29" t="s">
        <v>32</v>
      </c>
      <c r="D24" s="101">
        <f>'მონიტორინგის კვლევების ჯგუფები'!E9</f>
        <v>286</v>
      </c>
      <c r="E24" s="181"/>
      <c r="F24" s="47"/>
      <c r="G24" s="188"/>
      <c r="H24" s="196"/>
      <c r="I24" s="47"/>
      <c r="J24" s="188"/>
      <c r="K24" s="196"/>
    </row>
    <row r="25" spans="1:11" x14ac:dyDescent="0.25">
      <c r="A25" s="177"/>
      <c r="B25" s="178"/>
      <c r="C25" s="37" t="s">
        <v>36</v>
      </c>
      <c r="D25" s="101">
        <f>'მონიტორინგის კვლევების ჯგუფები'!E10</f>
        <v>277</v>
      </c>
      <c r="E25" s="182"/>
      <c r="F25" s="47"/>
      <c r="G25" s="188"/>
      <c r="H25" s="197"/>
      <c r="I25" s="47"/>
      <c r="J25" s="188"/>
      <c r="K25" s="197"/>
    </row>
    <row r="26" spans="1:11" x14ac:dyDescent="0.25">
      <c r="A26" s="177"/>
      <c r="E26" s="36"/>
      <c r="F26" s="47"/>
      <c r="I26" s="47"/>
    </row>
    <row r="27" spans="1:11" x14ac:dyDescent="0.25">
      <c r="A27" s="177"/>
      <c r="B27" s="104" t="s">
        <v>57</v>
      </c>
      <c r="C27" s="27" t="s">
        <v>53</v>
      </c>
      <c r="D27" s="38">
        <f>'მონიტორინგის კვლევების ჯგუფები'!E11</f>
        <v>130</v>
      </c>
      <c r="E27" s="102">
        <v>130</v>
      </c>
      <c r="F27" s="47"/>
      <c r="G27" s="101">
        <v>0</v>
      </c>
      <c r="H27" s="101">
        <v>0</v>
      </c>
      <c r="I27" s="47"/>
      <c r="J27" s="101">
        <f>E27</f>
        <v>130</v>
      </c>
      <c r="K27" s="101">
        <f>E27</f>
        <v>130</v>
      </c>
    </row>
    <row r="28" spans="1:11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5">
      <c r="A29" s="199" t="s">
        <v>66</v>
      </c>
      <c r="B29" s="178" t="s">
        <v>48</v>
      </c>
      <c r="C29" s="27" t="s">
        <v>58</v>
      </c>
      <c r="D29" s="101">
        <f>E5+E19+E27</f>
        <v>795</v>
      </c>
      <c r="E29" s="179">
        <f>AVERAGE(D29:D30)</f>
        <v>790.5</v>
      </c>
      <c r="F29" s="47"/>
      <c r="G29" s="188">
        <f>(E29-D5-E27)*G4</f>
        <v>30.025000000000002</v>
      </c>
      <c r="H29" s="188">
        <f>(E29-D5-E27)*H4</f>
        <v>120.10000000000001</v>
      </c>
      <c r="I29" s="47"/>
      <c r="J29" s="188">
        <f>(E29-E27)*J4+E27</f>
        <v>757.47500000000002</v>
      </c>
      <c r="K29" s="188">
        <f>(E29-E27)*K4+E27</f>
        <v>658.4</v>
      </c>
    </row>
    <row r="30" spans="1:11" x14ac:dyDescent="0.25">
      <c r="A30" s="200"/>
      <c r="B30" s="178"/>
      <c r="C30" s="27" t="s">
        <v>60</v>
      </c>
      <c r="D30" s="101">
        <f>E9+E19+E27</f>
        <v>786</v>
      </c>
      <c r="E30" s="179"/>
      <c r="F30" s="47"/>
      <c r="G30" s="188"/>
      <c r="H30" s="188"/>
      <c r="I30" s="47"/>
      <c r="J30" s="188"/>
      <c r="K30" s="188"/>
    </row>
    <row r="31" spans="1:11" x14ac:dyDescent="0.25">
      <c r="A31" s="200"/>
      <c r="B31" s="36"/>
      <c r="D31" s="106"/>
      <c r="E31" s="36"/>
      <c r="F31" s="47"/>
      <c r="I31" s="47"/>
    </row>
    <row r="32" spans="1:11" x14ac:dyDescent="0.25">
      <c r="A32" s="200"/>
      <c r="B32" s="178" t="s">
        <v>49</v>
      </c>
      <c r="C32" s="27" t="s">
        <v>59</v>
      </c>
      <c r="D32" s="101">
        <f>E5+E23+E27</f>
        <v>857</v>
      </c>
      <c r="E32" s="179">
        <f>AVERAGE(D32:D33)</f>
        <v>852.5</v>
      </c>
      <c r="F32" s="47"/>
      <c r="G32" s="188">
        <f>(E32-D9-E27)*G4</f>
        <v>33.125</v>
      </c>
      <c r="H32" s="188">
        <f>(E32-D9-E27)*H4</f>
        <v>132.5</v>
      </c>
      <c r="I32" s="47"/>
      <c r="J32" s="188">
        <f>(E32-E27)*J4+E27</f>
        <v>816.375</v>
      </c>
      <c r="K32" s="188">
        <f>(E32-E27)*K4+E27</f>
        <v>708</v>
      </c>
    </row>
    <row r="33" spans="1:11" x14ac:dyDescent="0.25">
      <c r="A33" s="200"/>
      <c r="B33" s="178"/>
      <c r="C33" s="27" t="s">
        <v>61</v>
      </c>
      <c r="D33" s="101">
        <f>E9+E23+E27</f>
        <v>848</v>
      </c>
      <c r="E33" s="179"/>
      <c r="F33" s="47"/>
      <c r="G33" s="188"/>
      <c r="H33" s="188"/>
      <c r="I33" s="47"/>
      <c r="J33" s="188"/>
      <c r="K33" s="188"/>
    </row>
    <row r="34" spans="1:11" x14ac:dyDescent="0.25">
      <c r="A34" s="200"/>
      <c r="B34" s="36"/>
      <c r="D34" s="106"/>
      <c r="E34" s="36"/>
      <c r="F34" s="47"/>
      <c r="I34" s="47"/>
    </row>
    <row r="35" spans="1:11" x14ac:dyDescent="0.25">
      <c r="A35" s="200"/>
      <c r="B35" s="178" t="s">
        <v>52</v>
      </c>
      <c r="C35" s="27" t="s">
        <v>62</v>
      </c>
      <c r="D35" s="101">
        <f>E12+E19+E27</f>
        <v>715</v>
      </c>
      <c r="E35" s="179">
        <f>AVERAGE(D35:D36)</f>
        <v>710.5</v>
      </c>
      <c r="F35" s="47"/>
      <c r="G35" s="188">
        <f>(E35-D9-E27)*G4</f>
        <v>26.025000000000002</v>
      </c>
      <c r="H35" s="188">
        <f>(E35-D9-E27)*H4</f>
        <v>104.10000000000001</v>
      </c>
      <c r="I35" s="47"/>
      <c r="J35" s="188">
        <f>(E35-E27)*J4+E27</f>
        <v>681.47500000000002</v>
      </c>
      <c r="K35" s="188">
        <f>(E35-E27)*K4+E27</f>
        <v>594.40000000000009</v>
      </c>
    </row>
    <row r="36" spans="1:11" x14ac:dyDescent="0.25">
      <c r="A36" s="200"/>
      <c r="B36" s="178"/>
      <c r="C36" s="27" t="s">
        <v>64</v>
      </c>
      <c r="D36" s="101">
        <f>E16+E19+E27</f>
        <v>706</v>
      </c>
      <c r="E36" s="179"/>
      <c r="F36" s="47"/>
      <c r="G36" s="188"/>
      <c r="H36" s="188"/>
      <c r="I36" s="47"/>
      <c r="J36" s="188"/>
      <c r="K36" s="188"/>
    </row>
    <row r="37" spans="1:11" x14ac:dyDescent="0.25">
      <c r="A37" s="200"/>
      <c r="B37" s="36"/>
      <c r="D37" s="106"/>
      <c r="E37" s="36"/>
      <c r="F37" s="47"/>
      <c r="I37" s="47"/>
    </row>
    <row r="38" spans="1:11" x14ac:dyDescent="0.25">
      <c r="A38" s="200"/>
      <c r="B38" s="183" t="s">
        <v>50</v>
      </c>
      <c r="C38" s="27" t="s">
        <v>63</v>
      </c>
      <c r="D38" s="101">
        <f>E12+E23+E27</f>
        <v>777</v>
      </c>
      <c r="E38" s="179">
        <f>AVERAGE(D38:D39)</f>
        <v>772.5</v>
      </c>
      <c r="F38" s="47"/>
      <c r="G38" s="188">
        <f>(E38-D16-E27)*G4</f>
        <v>29.125</v>
      </c>
      <c r="H38" s="188">
        <f>(E38-D16-E27)*H4</f>
        <v>116.5</v>
      </c>
      <c r="I38" s="47"/>
      <c r="J38" s="188">
        <f>(E38-E27)*J4+E27</f>
        <v>740.375</v>
      </c>
      <c r="K38" s="188">
        <f>(E38-E27)*K4+E27</f>
        <v>644</v>
      </c>
    </row>
    <row r="39" spans="1:11" x14ac:dyDescent="0.25">
      <c r="A39" s="201"/>
      <c r="B39" s="184"/>
      <c r="C39" s="27" t="s">
        <v>65</v>
      </c>
      <c r="D39" s="101">
        <f>E16+E23+E27</f>
        <v>768</v>
      </c>
      <c r="E39" s="179"/>
      <c r="F39" s="47"/>
      <c r="G39" s="188"/>
      <c r="H39" s="188"/>
      <c r="I39" s="47"/>
      <c r="J39" s="188"/>
      <c r="K39" s="188"/>
    </row>
    <row r="40" spans="1:11" x14ac:dyDescent="0.25">
      <c r="A40" s="48"/>
      <c r="B40" s="49"/>
      <c r="C40" s="50"/>
      <c r="D40" s="51"/>
      <c r="E40" s="49"/>
      <c r="F40" s="47"/>
      <c r="G40" s="51"/>
      <c r="H40" s="51"/>
      <c r="I40" s="47"/>
      <c r="J40" s="47"/>
      <c r="K40" s="47"/>
    </row>
    <row r="41" spans="1:11" x14ac:dyDescent="0.25">
      <c r="F41" s="47"/>
      <c r="G41" s="185" t="s">
        <v>75</v>
      </c>
      <c r="H41" s="185"/>
      <c r="I41" s="47"/>
      <c r="J41" s="185" t="s">
        <v>76</v>
      </c>
      <c r="K41" s="185"/>
    </row>
    <row r="42" spans="1:11" ht="13.5" customHeight="1" x14ac:dyDescent="0.25">
      <c r="F42" s="47"/>
      <c r="G42" s="103" t="s">
        <v>67</v>
      </c>
      <c r="H42" s="103" t="s">
        <v>47</v>
      </c>
      <c r="I42" s="47"/>
      <c r="J42" s="103" t="s">
        <v>67</v>
      </c>
      <c r="K42" s="103" t="s">
        <v>47</v>
      </c>
    </row>
    <row r="43" spans="1:11" ht="21" customHeight="1" x14ac:dyDescent="0.25">
      <c r="A43" s="198" t="s">
        <v>66</v>
      </c>
      <c r="B43" s="101" t="s">
        <v>48</v>
      </c>
      <c r="C43" s="186" t="s">
        <v>68</v>
      </c>
      <c r="D43" s="187"/>
      <c r="E43" s="101">
        <f>AVERAGE(E29,E35)</f>
        <v>750.5</v>
      </c>
      <c r="F43" s="47"/>
      <c r="G43" s="101">
        <f>(E43-D9-E27)*G4</f>
        <v>28.025000000000002</v>
      </c>
      <c r="H43" s="101">
        <f>(E43-D16-E27)*H4</f>
        <v>112.10000000000001</v>
      </c>
      <c r="I43" s="47"/>
      <c r="J43" s="101">
        <f>E43-G43</f>
        <v>722.47500000000002</v>
      </c>
      <c r="K43" s="101">
        <f>E43-H43</f>
        <v>638.4</v>
      </c>
    </row>
    <row r="44" spans="1:11" ht="29.25" customHeight="1" x14ac:dyDescent="0.25">
      <c r="A44" s="198"/>
      <c r="B44" s="101" t="s">
        <v>49</v>
      </c>
      <c r="C44" s="186" t="s">
        <v>69</v>
      </c>
      <c r="D44" s="187"/>
      <c r="E44" s="101">
        <f>AVERAGE(E32,E38)</f>
        <v>812.5</v>
      </c>
      <c r="F44" s="47"/>
      <c r="G44" s="101">
        <f>(E44-D16-E27)*G4</f>
        <v>31.125</v>
      </c>
      <c r="H44" s="101">
        <f>(E44-D16-E27)*H4</f>
        <v>124.5</v>
      </c>
      <c r="I44" s="47"/>
      <c r="J44" s="101">
        <f>E44-G44</f>
        <v>781.375</v>
      </c>
      <c r="K44" s="101">
        <f>E44-H44</f>
        <v>688</v>
      </c>
    </row>
    <row r="45" spans="1:11" x14ac:dyDescent="0.25">
      <c r="A45" s="48"/>
      <c r="B45" s="49"/>
      <c r="C45" s="50"/>
      <c r="D45" s="51"/>
      <c r="E45" s="49"/>
      <c r="F45" s="47"/>
      <c r="G45" s="51"/>
      <c r="H45" s="51"/>
      <c r="I45" s="47"/>
      <c r="J45" s="47"/>
      <c r="K45" s="47"/>
    </row>
    <row r="46" spans="1:11" x14ac:dyDescent="0.25">
      <c r="A46" s="192" t="s">
        <v>77</v>
      </c>
      <c r="B46" s="27"/>
      <c r="C46" s="42" t="s">
        <v>79</v>
      </c>
      <c r="D46" s="52" t="s">
        <v>67</v>
      </c>
      <c r="E46" s="42" t="s">
        <v>47</v>
      </c>
    </row>
    <row r="47" spans="1:11" ht="23.25" x14ac:dyDescent="0.25">
      <c r="A47" s="193"/>
      <c r="B47" s="53" t="s">
        <v>70</v>
      </c>
      <c r="C47" s="101">
        <v>25000</v>
      </c>
      <c r="D47" s="101">
        <f>C47*10%</f>
        <v>2500</v>
      </c>
      <c r="E47" s="101">
        <f>C47*90%</f>
        <v>22500</v>
      </c>
    </row>
    <row r="48" spans="1:11" ht="21" customHeight="1" x14ac:dyDescent="0.25">
      <c r="A48" s="193"/>
      <c r="B48" s="53" t="s">
        <v>68</v>
      </c>
      <c r="C48" s="101">
        <f>C47*90%</f>
        <v>22500</v>
      </c>
      <c r="D48" s="101">
        <f>D47*90%</f>
        <v>2250</v>
      </c>
      <c r="E48" s="101">
        <f>E47*90%</f>
        <v>20250</v>
      </c>
      <c r="K48" s="31"/>
    </row>
    <row r="49" spans="1:11" ht="34.5" x14ac:dyDescent="0.25">
      <c r="A49" s="194"/>
      <c r="B49" s="53" t="s">
        <v>69</v>
      </c>
      <c r="C49" s="101">
        <f>C47*10%</f>
        <v>2500</v>
      </c>
      <c r="D49" s="101">
        <f>D47*10%</f>
        <v>250</v>
      </c>
      <c r="E49" s="101">
        <f>E47*10%</f>
        <v>2250</v>
      </c>
    </row>
    <row r="50" spans="1:11" x14ac:dyDescent="0.25">
      <c r="A50" s="47"/>
      <c r="B50" s="47"/>
      <c r="C50" s="47"/>
      <c r="D50" s="47"/>
      <c r="E50" s="47"/>
    </row>
    <row r="51" spans="1:11" x14ac:dyDescent="0.25">
      <c r="A51" s="177" t="s">
        <v>78</v>
      </c>
      <c r="C51" s="42" t="s">
        <v>109</v>
      </c>
      <c r="D51" s="52" t="s">
        <v>67</v>
      </c>
      <c r="E51" s="42" t="s">
        <v>47</v>
      </c>
      <c r="K51" s="31"/>
    </row>
    <row r="52" spans="1:11" ht="34.5" x14ac:dyDescent="0.25">
      <c r="A52" s="177"/>
      <c r="B52" s="74" t="s">
        <v>68</v>
      </c>
      <c r="C52" s="43">
        <f>D52+E52</f>
        <v>2333081.25</v>
      </c>
      <c r="D52" s="44">
        <f>D48*G43</f>
        <v>63056.250000000007</v>
      </c>
      <c r="E52" s="44">
        <f>E48*H43</f>
        <v>2270025</v>
      </c>
    </row>
    <row r="53" spans="1:11" ht="34.5" x14ac:dyDescent="0.25">
      <c r="A53" s="177"/>
      <c r="B53" s="74" t="s">
        <v>69</v>
      </c>
      <c r="C53" s="43">
        <f>D53+E53</f>
        <v>287906.25</v>
      </c>
      <c r="D53" s="44">
        <f>D49*G44</f>
        <v>7781.25</v>
      </c>
      <c r="E53" s="44">
        <f>E49*H44</f>
        <v>280125</v>
      </c>
      <c r="K53" s="32"/>
    </row>
    <row r="54" spans="1:11" x14ac:dyDescent="0.25">
      <c r="A54" s="177"/>
      <c r="B54" s="75" t="s">
        <v>71</v>
      </c>
      <c r="C54" s="54">
        <f>C52+C53</f>
        <v>2620987.5</v>
      </c>
      <c r="D54" s="43">
        <f>D52+D53</f>
        <v>70837.5</v>
      </c>
      <c r="E54" s="43">
        <f>E52+E53</f>
        <v>2550150</v>
      </c>
    </row>
    <row r="55" spans="1:11" x14ac:dyDescent="0.25">
      <c r="A55" s="47"/>
      <c r="B55" s="47"/>
      <c r="C55" s="47"/>
      <c r="D55" s="47"/>
      <c r="E55" s="47"/>
    </row>
    <row r="56" spans="1:11" x14ac:dyDescent="0.25">
      <c r="A56" s="177" t="s">
        <v>80</v>
      </c>
      <c r="C56" s="42" t="s">
        <v>109</v>
      </c>
      <c r="D56" s="52" t="s">
        <v>67</v>
      </c>
      <c r="E56" s="42" t="s">
        <v>47</v>
      </c>
    </row>
    <row r="57" spans="1:11" ht="34.5" x14ac:dyDescent="0.25">
      <c r="A57" s="177"/>
      <c r="B57" s="74" t="s">
        <v>68</v>
      </c>
      <c r="C57" s="43">
        <f>D57+E57</f>
        <v>14553168.75</v>
      </c>
      <c r="D57" s="44">
        <f>D48*J43</f>
        <v>1625568.75</v>
      </c>
      <c r="E57" s="44">
        <f>E48*K43</f>
        <v>12927600</v>
      </c>
    </row>
    <row r="58" spans="1:11" ht="34.5" x14ac:dyDescent="0.25">
      <c r="A58" s="177"/>
      <c r="B58" s="74" t="s">
        <v>69</v>
      </c>
      <c r="C58" s="43">
        <f>D58+E58</f>
        <v>1743343.75</v>
      </c>
      <c r="D58" s="44">
        <f>D49*J44</f>
        <v>195343.75</v>
      </c>
      <c r="E58" s="44">
        <f>E49*K44</f>
        <v>1548000</v>
      </c>
    </row>
    <row r="59" spans="1:11" ht="23.25" x14ac:dyDescent="0.25">
      <c r="A59" s="177"/>
      <c r="B59" s="75" t="s">
        <v>99</v>
      </c>
      <c r="C59" s="54">
        <f>C57+C58</f>
        <v>16296512.5</v>
      </c>
      <c r="D59" s="43">
        <f>D57+D58</f>
        <v>1820912.5</v>
      </c>
      <c r="E59" s="43">
        <f>E57+E58</f>
        <v>14475600</v>
      </c>
    </row>
    <row r="60" spans="1:11" x14ac:dyDescent="0.25">
      <c r="A60" s="177"/>
      <c r="B60" s="75"/>
      <c r="C60" s="54"/>
      <c r="D60" s="43"/>
      <c r="E60" s="43"/>
    </row>
    <row r="61" spans="1:11" ht="23.25" x14ac:dyDescent="0.25">
      <c r="A61" s="177"/>
      <c r="B61" s="75" t="s">
        <v>100</v>
      </c>
      <c r="C61" s="54">
        <f>C47*50</f>
        <v>1250000</v>
      </c>
      <c r="D61" s="43"/>
      <c r="E61" s="43"/>
    </row>
    <row r="62" spans="1:11" ht="15.75" x14ac:dyDescent="0.25">
      <c r="A62" s="177"/>
      <c r="B62" s="75" t="s">
        <v>71</v>
      </c>
      <c r="C62" s="86">
        <f>C59+C61+E65</f>
        <v>17966512.5</v>
      </c>
      <c r="D62" s="43"/>
      <c r="E62" s="43"/>
      <c r="G62" s="95">
        <f>C62-'ჯამური ბიუჯეტი'!C62</f>
        <v>7754562.4999999981</v>
      </c>
      <c r="H62" t="s">
        <v>110</v>
      </c>
    </row>
    <row r="63" spans="1:11" x14ac:dyDescent="0.25">
      <c r="A63" s="47"/>
      <c r="B63" s="47"/>
      <c r="C63" s="47"/>
      <c r="D63" s="47"/>
      <c r="E63" s="47"/>
    </row>
    <row r="65" spans="2:5" ht="34.5" x14ac:dyDescent="0.25">
      <c r="B65" s="73" t="s">
        <v>137</v>
      </c>
      <c r="C65">
        <f>32000-25000</f>
        <v>7000</v>
      </c>
      <c r="D65">
        <v>60</v>
      </c>
      <c r="E65">
        <f>C65*D65</f>
        <v>420000</v>
      </c>
    </row>
    <row r="67" spans="2:5" ht="18.75" x14ac:dyDescent="0.3">
      <c r="B67" s="55" t="s">
        <v>81</v>
      </c>
      <c r="C67" s="56">
        <f>C54+C62</f>
        <v>20587500</v>
      </c>
    </row>
  </sheetData>
  <mergeCells count="75">
    <mergeCell ref="A51:A54"/>
    <mergeCell ref="A56:A62"/>
    <mergeCell ref="G41:H41"/>
    <mergeCell ref="J41:K41"/>
    <mergeCell ref="A43:A44"/>
    <mergeCell ref="C43:D43"/>
    <mergeCell ref="C44:D44"/>
    <mergeCell ref="A46:A49"/>
    <mergeCell ref="J35:J36"/>
    <mergeCell ref="K35:K36"/>
    <mergeCell ref="B38:B39"/>
    <mergeCell ref="E38:E39"/>
    <mergeCell ref="G38:G39"/>
    <mergeCell ref="H38:H39"/>
    <mergeCell ref="J38:J39"/>
    <mergeCell ref="K38:K39"/>
    <mergeCell ref="K29:K30"/>
    <mergeCell ref="B32:B33"/>
    <mergeCell ref="E32:E33"/>
    <mergeCell ref="G32:G33"/>
    <mergeCell ref="H32:H33"/>
    <mergeCell ref="J32:J33"/>
    <mergeCell ref="K32:K33"/>
    <mergeCell ref="J29:J30"/>
    <mergeCell ref="A29:A39"/>
    <mergeCell ref="B29:B30"/>
    <mergeCell ref="E29:E30"/>
    <mergeCell ref="G29:G30"/>
    <mergeCell ref="H29:H30"/>
    <mergeCell ref="B35:B36"/>
    <mergeCell ref="E35:E36"/>
    <mergeCell ref="G35:G36"/>
    <mergeCell ref="H35:H36"/>
    <mergeCell ref="K19:K21"/>
    <mergeCell ref="B23:B25"/>
    <mergeCell ref="E23:E25"/>
    <mergeCell ref="G23:G25"/>
    <mergeCell ref="H23:H25"/>
    <mergeCell ref="J23:J25"/>
    <mergeCell ref="K23:K25"/>
    <mergeCell ref="J19:J21"/>
    <mergeCell ref="A19:A27"/>
    <mergeCell ref="B19:B21"/>
    <mergeCell ref="E19:E21"/>
    <mergeCell ref="G19:G21"/>
    <mergeCell ref="H19:H21"/>
    <mergeCell ref="K9:K10"/>
    <mergeCell ref="K16:K17"/>
    <mergeCell ref="B12:B14"/>
    <mergeCell ref="E12:E14"/>
    <mergeCell ref="G12:G14"/>
    <mergeCell ref="H12:H14"/>
    <mergeCell ref="J12:J14"/>
    <mergeCell ref="K12:K14"/>
    <mergeCell ref="B16:B17"/>
    <mergeCell ref="E16:E17"/>
    <mergeCell ref="G16:G17"/>
    <mergeCell ref="H16:H17"/>
    <mergeCell ref="J16:J17"/>
    <mergeCell ref="A1:K1"/>
    <mergeCell ref="G2:H2"/>
    <mergeCell ref="J2:K2"/>
    <mergeCell ref="D4:E4"/>
    <mergeCell ref="A5:A17"/>
    <mergeCell ref="B5:B7"/>
    <mergeCell ref="E5:E7"/>
    <mergeCell ref="G5:G7"/>
    <mergeCell ref="H5:H7"/>
    <mergeCell ref="J5:J7"/>
    <mergeCell ref="K5:K7"/>
    <mergeCell ref="B9:B10"/>
    <mergeCell ref="E9:E10"/>
    <mergeCell ref="G9:G10"/>
    <mergeCell ref="H9:H10"/>
    <mergeCell ref="J9:J10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opLeftCell="A52" workbookViewId="0">
      <selection activeCell="H53" sqref="H53"/>
    </sheetView>
  </sheetViews>
  <sheetFormatPr defaultRowHeight="15" x14ac:dyDescent="0.25"/>
  <cols>
    <col min="2" max="2" width="18.5703125" bestFit="1" customWidth="1"/>
    <col min="3" max="3" width="42.5703125" bestFit="1" customWidth="1"/>
    <col min="4" max="4" width="17.42578125" customWidth="1"/>
    <col min="5" max="5" width="18.140625" customWidth="1"/>
    <col min="6" max="6" width="4" customWidth="1"/>
    <col min="7" max="7" width="14.5703125" bestFit="1" customWidth="1"/>
    <col min="8" max="8" width="14.42578125" customWidth="1"/>
    <col min="9" max="9" width="4" customWidth="1"/>
    <col min="10" max="10" width="14.5703125" bestFit="1" customWidth="1"/>
    <col min="11" max="11" width="10" customWidth="1"/>
    <col min="12" max="12" width="17" customWidth="1"/>
    <col min="13" max="13" width="15.5703125" customWidth="1"/>
  </cols>
  <sheetData>
    <row r="1" spans="1:11" x14ac:dyDescent="0.25">
      <c r="A1" s="202" t="s">
        <v>82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x14ac:dyDescent="0.25">
      <c r="F2" s="47"/>
      <c r="G2" s="189" t="s">
        <v>73</v>
      </c>
      <c r="H2" s="189"/>
      <c r="I2" s="47"/>
      <c r="J2" s="189" t="s">
        <v>72</v>
      </c>
      <c r="K2" s="189"/>
    </row>
    <row r="3" spans="1:11" x14ac:dyDescent="0.25">
      <c r="F3" s="47"/>
      <c r="G3" s="45" t="s">
        <v>67</v>
      </c>
      <c r="H3" s="45" t="s">
        <v>47</v>
      </c>
      <c r="I3" s="47"/>
      <c r="J3" s="45" t="s">
        <v>67</v>
      </c>
      <c r="K3" s="45" t="s">
        <v>47</v>
      </c>
    </row>
    <row r="4" spans="1:11" ht="34.5" customHeight="1" x14ac:dyDescent="0.25">
      <c r="D4" s="190" t="s">
        <v>74</v>
      </c>
      <c r="E4" s="191"/>
      <c r="F4" s="47"/>
      <c r="G4" s="46">
        <v>0.3</v>
      </c>
      <c r="H4" s="46">
        <v>0.7</v>
      </c>
      <c r="I4" s="47"/>
      <c r="J4" s="46">
        <v>0.7</v>
      </c>
      <c r="K4" s="46">
        <v>0.3</v>
      </c>
    </row>
    <row r="5" spans="1:11" x14ac:dyDescent="0.25">
      <c r="A5" s="177" t="s">
        <v>51</v>
      </c>
      <c r="B5" s="178" t="s">
        <v>43</v>
      </c>
      <c r="C5" s="27" t="s">
        <v>39</v>
      </c>
      <c r="D5" s="96">
        <v>60</v>
      </c>
      <c r="E5" s="179">
        <f>D5+D6+D7</f>
        <v>438</v>
      </c>
      <c r="F5" s="47"/>
      <c r="G5" s="188">
        <f>E5*$G$4</f>
        <v>131.4</v>
      </c>
      <c r="H5" s="188">
        <f>E5*H4</f>
        <v>306.59999999999997</v>
      </c>
      <c r="I5" s="47"/>
      <c r="J5" s="188">
        <f>E5*J4</f>
        <v>306.59999999999997</v>
      </c>
      <c r="K5" s="188">
        <f>E5*K4</f>
        <v>131.4</v>
      </c>
    </row>
    <row r="6" spans="1:11" x14ac:dyDescent="0.25">
      <c r="A6" s="177"/>
      <c r="B6" s="178"/>
      <c r="C6" s="27" t="s">
        <v>40</v>
      </c>
      <c r="D6" s="96">
        <f>'მკურნალობაში ჩართვის ჯგუფები'!E6</f>
        <v>369</v>
      </c>
      <c r="E6" s="179"/>
      <c r="F6" s="47"/>
      <c r="G6" s="188"/>
      <c r="H6" s="188"/>
      <c r="I6" s="47"/>
      <c r="J6" s="188"/>
      <c r="K6" s="188"/>
    </row>
    <row r="7" spans="1:11" x14ac:dyDescent="0.25">
      <c r="A7" s="177"/>
      <c r="B7" s="178"/>
      <c r="C7" s="27" t="s">
        <v>42</v>
      </c>
      <c r="D7" s="96">
        <f>'მკურნალობაში ჩართვის ჯგუფები'!E8</f>
        <v>9</v>
      </c>
      <c r="E7" s="179"/>
      <c r="F7" s="47"/>
      <c r="G7" s="188"/>
      <c r="H7" s="188"/>
      <c r="I7" s="47"/>
      <c r="J7" s="188"/>
      <c r="K7" s="188"/>
    </row>
    <row r="8" spans="1:11" x14ac:dyDescent="0.25">
      <c r="A8" s="177"/>
      <c r="D8" s="35"/>
      <c r="E8" s="36"/>
      <c r="F8" s="47"/>
      <c r="I8" s="47"/>
    </row>
    <row r="9" spans="1:11" x14ac:dyDescent="0.25">
      <c r="A9" s="177"/>
      <c r="B9" s="178" t="s">
        <v>44</v>
      </c>
      <c r="C9" s="27" t="s">
        <v>39</v>
      </c>
      <c r="D9" s="96">
        <v>60</v>
      </c>
      <c r="E9" s="179">
        <f>D9+D10</f>
        <v>429</v>
      </c>
      <c r="F9" s="47"/>
      <c r="G9" s="188">
        <f>E9*G4</f>
        <v>128.69999999999999</v>
      </c>
      <c r="H9" s="188">
        <f>E9*H4</f>
        <v>300.29999999999995</v>
      </c>
      <c r="I9" s="47"/>
      <c r="J9" s="188">
        <f>E9*J4</f>
        <v>300.29999999999995</v>
      </c>
      <c r="K9" s="188">
        <f>E9*K4</f>
        <v>128.69999999999999</v>
      </c>
    </row>
    <row r="10" spans="1:11" x14ac:dyDescent="0.25">
      <c r="A10" s="177"/>
      <c r="B10" s="178"/>
      <c r="C10" s="27" t="s">
        <v>40</v>
      </c>
      <c r="D10" s="96">
        <f>'მკურნალობაში ჩართვის ჯგუფები'!E6</f>
        <v>369</v>
      </c>
      <c r="E10" s="179"/>
      <c r="F10" s="47"/>
      <c r="G10" s="188"/>
      <c r="H10" s="188"/>
      <c r="I10" s="47"/>
      <c r="J10" s="188"/>
      <c r="K10" s="188"/>
    </row>
    <row r="11" spans="1:11" x14ac:dyDescent="0.25">
      <c r="A11" s="177"/>
      <c r="D11" s="35"/>
      <c r="E11" s="36"/>
      <c r="F11" s="47"/>
      <c r="I11" s="47"/>
    </row>
    <row r="12" spans="1:11" x14ac:dyDescent="0.25">
      <c r="A12" s="177"/>
      <c r="B12" s="178" t="s">
        <v>45</v>
      </c>
      <c r="C12" s="27" t="s">
        <v>39</v>
      </c>
      <c r="D12" s="96">
        <v>60</v>
      </c>
      <c r="E12" s="179">
        <f>D12+D13+D14</f>
        <v>358</v>
      </c>
      <c r="F12" s="47"/>
      <c r="G12" s="188">
        <f>E12*G4</f>
        <v>107.39999999999999</v>
      </c>
      <c r="H12" s="188">
        <f>E12*H4</f>
        <v>250.6</v>
      </c>
      <c r="I12" s="47"/>
      <c r="J12" s="188">
        <f>E12*J4</f>
        <v>250.6</v>
      </c>
      <c r="K12" s="188">
        <f>E12*K4</f>
        <v>107.39999999999999</v>
      </c>
    </row>
    <row r="13" spans="1:11" x14ac:dyDescent="0.25">
      <c r="A13" s="177"/>
      <c r="B13" s="178"/>
      <c r="C13" s="27" t="s">
        <v>41</v>
      </c>
      <c r="D13" s="96">
        <f>'მკურნალობაში ჩართვის ჯგუფები'!E7</f>
        <v>289</v>
      </c>
      <c r="E13" s="179"/>
      <c r="F13" s="47"/>
      <c r="G13" s="188"/>
      <c r="H13" s="188"/>
      <c r="I13" s="47"/>
      <c r="J13" s="188"/>
      <c r="K13" s="188"/>
    </row>
    <row r="14" spans="1:11" x14ac:dyDescent="0.25">
      <c r="A14" s="177"/>
      <c r="B14" s="178"/>
      <c r="C14" s="27" t="s">
        <v>42</v>
      </c>
      <c r="D14" s="96">
        <f>'მკურნალობაში ჩართვის ჯგუფები'!E8</f>
        <v>9</v>
      </c>
      <c r="E14" s="179"/>
      <c r="F14" s="47"/>
      <c r="G14" s="188"/>
      <c r="H14" s="188"/>
      <c r="I14" s="47"/>
      <c r="J14" s="188"/>
      <c r="K14" s="188"/>
    </row>
    <row r="15" spans="1:11" x14ac:dyDescent="0.25">
      <c r="A15" s="177"/>
      <c r="D15" s="35"/>
      <c r="E15" s="36"/>
      <c r="F15" s="47"/>
      <c r="I15" s="47"/>
    </row>
    <row r="16" spans="1:11" x14ac:dyDescent="0.25">
      <c r="A16" s="177"/>
      <c r="B16" s="178" t="s">
        <v>46</v>
      </c>
      <c r="C16" s="27" t="s">
        <v>39</v>
      </c>
      <c r="D16" s="96">
        <v>60</v>
      </c>
      <c r="E16" s="179">
        <f>D16+D17</f>
        <v>349</v>
      </c>
      <c r="F16" s="47"/>
      <c r="G16" s="188">
        <f>E16*G4</f>
        <v>104.7</v>
      </c>
      <c r="H16" s="188">
        <f>E16*H4</f>
        <v>244.29999999999998</v>
      </c>
      <c r="I16" s="47"/>
      <c r="J16" s="188">
        <f>E16*J4</f>
        <v>244.29999999999998</v>
      </c>
      <c r="K16" s="188">
        <f>E16*K4</f>
        <v>104.7</v>
      </c>
    </row>
    <row r="17" spans="1:11" x14ac:dyDescent="0.25">
      <c r="A17" s="177"/>
      <c r="B17" s="178"/>
      <c r="C17" s="27" t="s">
        <v>41</v>
      </c>
      <c r="D17" s="96">
        <f>'მკურნალობაში ჩართვის ჯგუფები'!E7</f>
        <v>289</v>
      </c>
      <c r="E17" s="179"/>
      <c r="F17" s="47"/>
      <c r="G17" s="188"/>
      <c r="H17" s="188"/>
      <c r="I17" s="47"/>
      <c r="J17" s="188"/>
      <c r="K17" s="188"/>
    </row>
    <row r="18" spans="1:11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</row>
    <row r="19" spans="1:11" x14ac:dyDescent="0.25">
      <c r="A19" s="177" t="s">
        <v>54</v>
      </c>
      <c r="B19" s="178" t="s">
        <v>55</v>
      </c>
      <c r="C19" s="29" t="s">
        <v>33</v>
      </c>
      <c r="D19" s="96">
        <f>'მონიტორინგის კვლევების ჯგუფები'!E5</f>
        <v>236</v>
      </c>
      <c r="E19" s="179">
        <f>AVERAGE(D19:D21)</f>
        <v>227</v>
      </c>
      <c r="F19" s="47"/>
      <c r="G19" s="195">
        <f>E19*G4</f>
        <v>68.099999999999994</v>
      </c>
      <c r="H19" s="195">
        <f>E19*H4</f>
        <v>158.89999999999998</v>
      </c>
      <c r="I19" s="47"/>
      <c r="J19" s="195">
        <f>E19*J4</f>
        <v>158.89999999999998</v>
      </c>
      <c r="K19" s="195">
        <f>E19*K4</f>
        <v>68.099999999999994</v>
      </c>
    </row>
    <row r="20" spans="1:11" x14ac:dyDescent="0.25">
      <c r="A20" s="177"/>
      <c r="B20" s="178"/>
      <c r="C20" s="29" t="s">
        <v>31</v>
      </c>
      <c r="D20" s="96">
        <f>'მონიტორინგის კვლევების ჯგუფები'!E6</f>
        <v>227</v>
      </c>
      <c r="E20" s="179"/>
      <c r="F20" s="47"/>
      <c r="G20" s="196"/>
      <c r="H20" s="196"/>
      <c r="I20" s="47"/>
      <c r="J20" s="196"/>
      <c r="K20" s="196"/>
    </row>
    <row r="21" spans="1:11" x14ac:dyDescent="0.25">
      <c r="A21" s="177"/>
      <c r="B21" s="178"/>
      <c r="C21" s="37" t="s">
        <v>34</v>
      </c>
      <c r="D21" s="96">
        <f>'მონიტორინგის კვლევების ჯგუფები'!E7</f>
        <v>218</v>
      </c>
      <c r="E21" s="179"/>
      <c r="F21" s="47"/>
      <c r="G21" s="197"/>
      <c r="H21" s="197"/>
      <c r="I21" s="47"/>
      <c r="J21" s="197"/>
      <c r="K21" s="197"/>
    </row>
    <row r="22" spans="1:11" x14ac:dyDescent="0.25">
      <c r="A22" s="177"/>
      <c r="E22" s="36"/>
      <c r="F22" s="47"/>
      <c r="I22" s="47"/>
    </row>
    <row r="23" spans="1:11" x14ac:dyDescent="0.25">
      <c r="A23" s="177"/>
      <c r="B23" s="178" t="s">
        <v>56</v>
      </c>
      <c r="C23" s="29" t="s">
        <v>35</v>
      </c>
      <c r="D23" s="96">
        <f>'მონიტორინგის კვლევების ჯგუფები'!E8</f>
        <v>304</v>
      </c>
      <c r="E23" s="180">
        <f>AVERAGE(D23:D25)</f>
        <v>289</v>
      </c>
      <c r="F23" s="47"/>
      <c r="G23" s="188">
        <f>E23*G4</f>
        <v>86.7</v>
      </c>
      <c r="H23" s="195">
        <f>E23*H4</f>
        <v>202.29999999999998</v>
      </c>
      <c r="I23" s="47"/>
      <c r="J23" s="188">
        <f>E23*J4</f>
        <v>202.29999999999998</v>
      </c>
      <c r="K23" s="195">
        <f>E23*K4</f>
        <v>86.7</v>
      </c>
    </row>
    <row r="24" spans="1:11" x14ac:dyDescent="0.25">
      <c r="A24" s="177"/>
      <c r="B24" s="178"/>
      <c r="C24" s="29" t="s">
        <v>32</v>
      </c>
      <c r="D24" s="96">
        <f>'მონიტორინგის კვლევების ჯგუფები'!E9</f>
        <v>286</v>
      </c>
      <c r="E24" s="181"/>
      <c r="F24" s="47"/>
      <c r="G24" s="188"/>
      <c r="H24" s="196"/>
      <c r="I24" s="47"/>
      <c r="J24" s="188"/>
      <c r="K24" s="196"/>
    </row>
    <row r="25" spans="1:11" x14ac:dyDescent="0.25">
      <c r="A25" s="177"/>
      <c r="B25" s="178"/>
      <c r="C25" s="37" t="s">
        <v>36</v>
      </c>
      <c r="D25" s="96">
        <f>'მონიტორინგის კვლევების ჯგუფები'!E10</f>
        <v>277</v>
      </c>
      <c r="E25" s="182"/>
      <c r="F25" s="47"/>
      <c r="G25" s="188"/>
      <c r="H25" s="197"/>
      <c r="I25" s="47"/>
      <c r="J25" s="188"/>
      <c r="K25" s="197"/>
    </row>
    <row r="26" spans="1:11" x14ac:dyDescent="0.25">
      <c r="A26" s="177"/>
      <c r="E26" s="36"/>
      <c r="F26" s="47"/>
      <c r="I26" s="47"/>
    </row>
    <row r="27" spans="1:11" x14ac:dyDescent="0.25">
      <c r="A27" s="177"/>
      <c r="B27" s="99" t="s">
        <v>57</v>
      </c>
      <c r="C27" s="27" t="s">
        <v>53</v>
      </c>
      <c r="D27" s="38">
        <f>'მონიტორინგის კვლევების ჯგუფები'!E11</f>
        <v>130</v>
      </c>
      <c r="E27" s="97">
        <v>130</v>
      </c>
      <c r="F27" s="47"/>
      <c r="G27" s="96">
        <v>0</v>
      </c>
      <c r="H27" s="96">
        <v>0</v>
      </c>
      <c r="I27" s="47"/>
      <c r="J27" s="96">
        <f>E27</f>
        <v>130</v>
      </c>
      <c r="K27" s="96">
        <f>E27</f>
        <v>130</v>
      </c>
    </row>
    <row r="28" spans="1:11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5">
      <c r="A29" s="199" t="s">
        <v>66</v>
      </c>
      <c r="B29" s="178" t="s">
        <v>48</v>
      </c>
      <c r="C29" s="27" t="s">
        <v>58</v>
      </c>
      <c r="D29" s="96">
        <f>E5+E19+E27</f>
        <v>795</v>
      </c>
      <c r="E29" s="179">
        <f>AVERAGE(D29:D30)</f>
        <v>790.5</v>
      </c>
      <c r="F29" s="47"/>
      <c r="G29" s="188">
        <f>(E29-E27)*G4</f>
        <v>198.15</v>
      </c>
      <c r="H29" s="188">
        <f>(E29-E27)*H4</f>
        <v>462.34999999999997</v>
      </c>
      <c r="I29" s="47"/>
      <c r="J29" s="188">
        <f>(E29-E27)*J4+E27</f>
        <v>592.34999999999991</v>
      </c>
      <c r="K29" s="188">
        <f>(E29-E27)*K4+E27</f>
        <v>328.15</v>
      </c>
    </row>
    <row r="30" spans="1:11" x14ac:dyDescent="0.25">
      <c r="A30" s="200"/>
      <c r="B30" s="178"/>
      <c r="C30" s="27" t="s">
        <v>60</v>
      </c>
      <c r="D30" s="96">
        <f>E9+E19+E27</f>
        <v>786</v>
      </c>
      <c r="E30" s="179"/>
      <c r="F30" s="47"/>
      <c r="G30" s="188"/>
      <c r="H30" s="188"/>
      <c r="I30" s="47"/>
      <c r="J30" s="188"/>
      <c r="K30" s="188"/>
    </row>
    <row r="31" spans="1:11" x14ac:dyDescent="0.25">
      <c r="A31" s="200"/>
      <c r="B31" s="36"/>
      <c r="D31" s="35"/>
      <c r="E31" s="36"/>
      <c r="F31" s="47"/>
      <c r="I31" s="47"/>
    </row>
    <row r="32" spans="1:11" x14ac:dyDescent="0.25">
      <c r="A32" s="200"/>
      <c r="B32" s="178" t="s">
        <v>49</v>
      </c>
      <c r="C32" s="27" t="s">
        <v>59</v>
      </c>
      <c r="D32" s="96">
        <f>E5+E23+E27</f>
        <v>857</v>
      </c>
      <c r="E32" s="179">
        <f>AVERAGE(D32:D33)</f>
        <v>852.5</v>
      </c>
      <c r="F32" s="47"/>
      <c r="G32" s="188">
        <f>(E32-E27)*G4</f>
        <v>216.75</v>
      </c>
      <c r="H32" s="188">
        <f>(E32-E27)*H4</f>
        <v>505.74999999999994</v>
      </c>
      <c r="I32" s="47"/>
      <c r="J32" s="188">
        <f>(E32-E27)*J4+E27</f>
        <v>635.75</v>
      </c>
      <c r="K32" s="188">
        <f>(E32-E27)*K4+E27</f>
        <v>346.75</v>
      </c>
    </row>
    <row r="33" spans="1:11" x14ac:dyDescent="0.25">
      <c r="A33" s="200"/>
      <c r="B33" s="178"/>
      <c r="C33" s="27" t="s">
        <v>61</v>
      </c>
      <c r="D33" s="96">
        <f>E9+E23+E27</f>
        <v>848</v>
      </c>
      <c r="E33" s="179"/>
      <c r="F33" s="47"/>
      <c r="G33" s="188"/>
      <c r="H33" s="188"/>
      <c r="I33" s="47"/>
      <c r="J33" s="188"/>
      <c r="K33" s="188"/>
    </row>
    <row r="34" spans="1:11" x14ac:dyDescent="0.25">
      <c r="A34" s="200"/>
      <c r="B34" s="36"/>
      <c r="D34" s="35"/>
      <c r="E34" s="36"/>
      <c r="F34" s="47"/>
      <c r="I34" s="47"/>
    </row>
    <row r="35" spans="1:11" x14ac:dyDescent="0.25">
      <c r="A35" s="200"/>
      <c r="B35" s="178" t="s">
        <v>52</v>
      </c>
      <c r="C35" s="27" t="s">
        <v>62</v>
      </c>
      <c r="D35" s="96">
        <f>E12+E19+E27</f>
        <v>715</v>
      </c>
      <c r="E35" s="179">
        <f>AVERAGE(D35:D36)</f>
        <v>710.5</v>
      </c>
      <c r="F35" s="47"/>
      <c r="G35" s="188">
        <f>(E35-E27)*G4</f>
        <v>174.15</v>
      </c>
      <c r="H35" s="188">
        <f>(E35-E27)*H4</f>
        <v>406.34999999999997</v>
      </c>
      <c r="I35" s="47"/>
      <c r="J35" s="188">
        <f>(E35-E27)*J4+E27</f>
        <v>536.34999999999991</v>
      </c>
      <c r="K35" s="188">
        <f>(E35-E27)*K4+E27</f>
        <v>304.14999999999998</v>
      </c>
    </row>
    <row r="36" spans="1:11" x14ac:dyDescent="0.25">
      <c r="A36" s="200"/>
      <c r="B36" s="178"/>
      <c r="C36" s="27" t="s">
        <v>64</v>
      </c>
      <c r="D36" s="96">
        <f>E16+E19+E27</f>
        <v>706</v>
      </c>
      <c r="E36" s="179"/>
      <c r="F36" s="47"/>
      <c r="G36" s="188"/>
      <c r="H36" s="188"/>
      <c r="I36" s="47"/>
      <c r="J36" s="188"/>
      <c r="K36" s="188"/>
    </row>
    <row r="37" spans="1:11" x14ac:dyDescent="0.25">
      <c r="A37" s="200"/>
      <c r="B37" s="36"/>
      <c r="D37" s="35"/>
      <c r="E37" s="36"/>
      <c r="F37" s="47"/>
      <c r="I37" s="47"/>
    </row>
    <row r="38" spans="1:11" x14ac:dyDescent="0.25">
      <c r="A38" s="200"/>
      <c r="B38" s="183" t="s">
        <v>50</v>
      </c>
      <c r="C38" s="27" t="s">
        <v>63</v>
      </c>
      <c r="D38" s="96">
        <f>E12+E23+E27</f>
        <v>777</v>
      </c>
      <c r="E38" s="179">
        <f>AVERAGE(D38:D39)</f>
        <v>772.5</v>
      </c>
      <c r="F38" s="47"/>
      <c r="G38" s="188">
        <f>(E38-E27)*G4</f>
        <v>192.75</v>
      </c>
      <c r="H38" s="188">
        <f>(E38-E27)*H4</f>
        <v>449.74999999999994</v>
      </c>
      <c r="I38" s="47"/>
      <c r="J38" s="188">
        <f>(E38-E27)*J4+E27</f>
        <v>579.75</v>
      </c>
      <c r="K38" s="188">
        <f>(E38-E27)*K4+E27</f>
        <v>322.75</v>
      </c>
    </row>
    <row r="39" spans="1:11" x14ac:dyDescent="0.25">
      <c r="A39" s="201"/>
      <c r="B39" s="184"/>
      <c r="C39" s="27" t="s">
        <v>65</v>
      </c>
      <c r="D39" s="96">
        <f>E16+E23+E27</f>
        <v>768</v>
      </c>
      <c r="E39" s="179"/>
      <c r="F39" s="47"/>
      <c r="G39" s="188"/>
      <c r="H39" s="188"/>
      <c r="I39" s="47"/>
      <c r="J39" s="188"/>
      <c r="K39" s="188"/>
    </row>
    <row r="40" spans="1:11" x14ac:dyDescent="0.25">
      <c r="A40" s="48"/>
      <c r="B40" s="49"/>
      <c r="C40" s="50"/>
      <c r="D40" s="51"/>
      <c r="E40" s="49"/>
      <c r="F40" s="47"/>
      <c r="G40" s="51"/>
      <c r="H40" s="51"/>
      <c r="I40" s="47"/>
      <c r="J40" s="47"/>
      <c r="K40" s="47"/>
    </row>
    <row r="41" spans="1:11" x14ac:dyDescent="0.25">
      <c r="F41" s="47"/>
      <c r="G41" s="185" t="s">
        <v>75</v>
      </c>
      <c r="H41" s="185"/>
      <c r="I41" s="47"/>
      <c r="J41" s="185" t="s">
        <v>76</v>
      </c>
      <c r="K41" s="185"/>
    </row>
    <row r="42" spans="1:11" ht="13.5" customHeight="1" x14ac:dyDescent="0.25">
      <c r="F42" s="47"/>
      <c r="G42" s="98" t="s">
        <v>67</v>
      </c>
      <c r="H42" s="98" t="s">
        <v>47</v>
      </c>
      <c r="I42" s="47"/>
      <c r="J42" s="98" t="s">
        <v>67</v>
      </c>
      <c r="K42" s="98" t="s">
        <v>47</v>
      </c>
    </row>
    <row r="43" spans="1:11" ht="21" customHeight="1" x14ac:dyDescent="0.25">
      <c r="A43" s="198" t="s">
        <v>66</v>
      </c>
      <c r="B43" s="96" t="s">
        <v>48</v>
      </c>
      <c r="C43" s="186" t="s">
        <v>68</v>
      </c>
      <c r="D43" s="187"/>
      <c r="E43" s="96">
        <f>AVERAGE(E29,E35)</f>
        <v>750.5</v>
      </c>
      <c r="F43" s="47"/>
      <c r="G43" s="96">
        <f>(E43-E27)*G4</f>
        <v>186.15</v>
      </c>
      <c r="H43" s="96">
        <f>(E43-E27)*H4</f>
        <v>434.34999999999997</v>
      </c>
      <c r="I43" s="47"/>
      <c r="J43" s="96">
        <f>E43-G43</f>
        <v>564.35</v>
      </c>
      <c r="K43" s="96">
        <f>E43-H43</f>
        <v>316.15000000000003</v>
      </c>
    </row>
    <row r="44" spans="1:11" ht="29.25" customHeight="1" x14ac:dyDescent="0.25">
      <c r="A44" s="198"/>
      <c r="B44" s="96" t="s">
        <v>49</v>
      </c>
      <c r="C44" s="186" t="s">
        <v>69</v>
      </c>
      <c r="D44" s="187"/>
      <c r="E44" s="96">
        <f>AVERAGE(E32,E38)</f>
        <v>812.5</v>
      </c>
      <c r="F44" s="47"/>
      <c r="G44" s="96">
        <f>(E44-E27)*G4</f>
        <v>204.75</v>
      </c>
      <c r="H44" s="96">
        <f>(E44-E27)*H4</f>
        <v>477.74999999999994</v>
      </c>
      <c r="I44" s="47"/>
      <c r="J44" s="96">
        <f>E44-G44</f>
        <v>607.75</v>
      </c>
      <c r="K44" s="96">
        <f>E44-H44</f>
        <v>334.75000000000006</v>
      </c>
    </row>
    <row r="45" spans="1:11" x14ac:dyDescent="0.25">
      <c r="A45" s="48"/>
      <c r="B45" s="49"/>
      <c r="C45" s="50"/>
      <c r="D45" s="51"/>
      <c r="E45" s="49"/>
      <c r="F45" s="47"/>
      <c r="G45" s="51"/>
      <c r="H45" s="51"/>
      <c r="I45" s="47"/>
      <c r="J45" s="47"/>
      <c r="K45" s="47"/>
    </row>
    <row r="46" spans="1:11" x14ac:dyDescent="0.25">
      <c r="A46" s="192" t="s">
        <v>77</v>
      </c>
      <c r="B46" s="27"/>
      <c r="C46" s="42" t="s">
        <v>79</v>
      </c>
      <c r="D46" s="52" t="s">
        <v>67</v>
      </c>
      <c r="E46" s="42" t="s">
        <v>47</v>
      </c>
    </row>
    <row r="47" spans="1:11" ht="23.25" x14ac:dyDescent="0.25">
      <c r="A47" s="193"/>
      <c r="B47" s="53" t="s">
        <v>70</v>
      </c>
      <c r="C47" s="96">
        <v>8000</v>
      </c>
      <c r="D47" s="96">
        <f>C47*10%</f>
        <v>800</v>
      </c>
      <c r="E47" s="96">
        <f>C47*90%</f>
        <v>7200</v>
      </c>
    </row>
    <row r="48" spans="1:11" ht="21" customHeight="1" x14ac:dyDescent="0.25">
      <c r="A48" s="193"/>
      <c r="B48" s="53" t="s">
        <v>68</v>
      </c>
      <c r="C48" s="96">
        <f>C47*90%</f>
        <v>7200</v>
      </c>
      <c r="D48" s="96">
        <f>D47*90%</f>
        <v>720</v>
      </c>
      <c r="E48" s="96">
        <f>E47*90%</f>
        <v>6480</v>
      </c>
    </row>
    <row r="49" spans="1:8" ht="34.5" x14ac:dyDescent="0.25">
      <c r="A49" s="194"/>
      <c r="B49" s="53" t="s">
        <v>69</v>
      </c>
      <c r="C49" s="96">
        <f>C47*10%</f>
        <v>800</v>
      </c>
      <c r="D49" s="96">
        <f>D47*10%</f>
        <v>80</v>
      </c>
      <c r="E49" s="96">
        <f>E47*10%</f>
        <v>720</v>
      </c>
    </row>
    <row r="50" spans="1:8" x14ac:dyDescent="0.25">
      <c r="A50" s="47"/>
      <c r="B50" s="47"/>
      <c r="C50" s="47"/>
      <c r="D50" s="47"/>
      <c r="E50" s="47"/>
    </row>
    <row r="51" spans="1:8" x14ac:dyDescent="0.25">
      <c r="A51" s="177" t="s">
        <v>78</v>
      </c>
      <c r="C51" s="42" t="s">
        <v>109</v>
      </c>
      <c r="D51" s="52" t="s">
        <v>67</v>
      </c>
      <c r="E51" s="42" t="s">
        <v>47</v>
      </c>
    </row>
    <row r="52" spans="1:8" ht="34.5" x14ac:dyDescent="0.25">
      <c r="A52" s="177"/>
      <c r="B52" s="74" t="s">
        <v>68</v>
      </c>
      <c r="C52" s="43">
        <f>D52+E52</f>
        <v>2948616</v>
      </c>
      <c r="D52" s="44">
        <f>D48*G43</f>
        <v>134028</v>
      </c>
      <c r="E52" s="44">
        <f>E48*H43</f>
        <v>2814588</v>
      </c>
    </row>
    <row r="53" spans="1:8" ht="34.5" x14ac:dyDescent="0.25">
      <c r="A53" s="177"/>
      <c r="B53" s="74" t="s">
        <v>69</v>
      </c>
      <c r="C53" s="43">
        <f>D53+E53</f>
        <v>360359.99999999994</v>
      </c>
      <c r="D53" s="44">
        <f>D49*G44</f>
        <v>16380</v>
      </c>
      <c r="E53" s="44">
        <f>E49*H44</f>
        <v>343979.99999999994</v>
      </c>
    </row>
    <row r="54" spans="1:8" x14ac:dyDescent="0.25">
      <c r="A54" s="177"/>
      <c r="B54" s="75" t="s">
        <v>71</v>
      </c>
      <c r="C54" s="54">
        <f>C52+C53</f>
        <v>3308976</v>
      </c>
      <c r="D54" s="43">
        <f>D52+D53</f>
        <v>150408</v>
      </c>
      <c r="E54" s="43">
        <f>E52+E53</f>
        <v>3158568</v>
      </c>
    </row>
    <row r="55" spans="1:8" x14ac:dyDescent="0.25">
      <c r="A55" s="47"/>
      <c r="B55" s="47"/>
      <c r="C55" s="47"/>
      <c r="D55" s="47"/>
      <c r="E55" s="47"/>
    </row>
    <row r="56" spans="1:8" x14ac:dyDescent="0.25">
      <c r="A56" s="177" t="s">
        <v>80</v>
      </c>
      <c r="C56" s="42" t="s">
        <v>109</v>
      </c>
      <c r="D56" s="52" t="s">
        <v>67</v>
      </c>
      <c r="E56" s="42" t="s">
        <v>47</v>
      </c>
    </row>
    <row r="57" spans="1:8" ht="34.5" x14ac:dyDescent="0.25">
      <c r="A57" s="177"/>
      <c r="B57" s="74" t="s">
        <v>68</v>
      </c>
      <c r="C57" s="43">
        <f>D57+E57</f>
        <v>2454984</v>
      </c>
      <c r="D57" s="44">
        <f>D48*J43</f>
        <v>406332</v>
      </c>
      <c r="E57" s="44">
        <f>E48*K43</f>
        <v>2048652.0000000002</v>
      </c>
    </row>
    <row r="58" spans="1:8" ht="34.5" x14ac:dyDescent="0.25">
      <c r="A58" s="177"/>
      <c r="B58" s="74" t="s">
        <v>69</v>
      </c>
      <c r="C58" s="43">
        <f>D58+E58</f>
        <v>289640</v>
      </c>
      <c r="D58" s="44">
        <f>D49*J44</f>
        <v>48620</v>
      </c>
      <c r="E58" s="44">
        <f>E49*K44</f>
        <v>241020.00000000003</v>
      </c>
    </row>
    <row r="59" spans="1:8" ht="23.25" x14ac:dyDescent="0.25">
      <c r="A59" s="177"/>
      <c r="B59" s="75" t="s">
        <v>99</v>
      </c>
      <c r="C59" s="54">
        <f>C57+C58</f>
        <v>2744624</v>
      </c>
      <c r="D59" s="43">
        <f>D57+D58</f>
        <v>454952</v>
      </c>
      <c r="E59" s="43">
        <f>E57+E58</f>
        <v>2289672.0000000005</v>
      </c>
    </row>
    <row r="60" spans="1:8" x14ac:dyDescent="0.25">
      <c r="A60" s="177"/>
      <c r="B60" s="75"/>
      <c r="C60" s="54"/>
      <c r="D60" s="43"/>
      <c r="E60" s="43"/>
    </row>
    <row r="61" spans="1:8" ht="23.25" x14ac:dyDescent="0.25">
      <c r="A61" s="177"/>
      <c r="B61" s="75" t="s">
        <v>100</v>
      </c>
      <c r="C61" s="54">
        <f>C47*50</f>
        <v>400000</v>
      </c>
      <c r="D61" s="43"/>
      <c r="E61" s="43"/>
    </row>
    <row r="62" spans="1:8" ht="15.75" x14ac:dyDescent="0.25">
      <c r="A62" s="177"/>
      <c r="B62" s="75" t="s">
        <v>71</v>
      </c>
      <c r="C62" s="86">
        <f>C59+C61</f>
        <v>3144624</v>
      </c>
      <c r="D62" s="43"/>
      <c r="E62" s="43"/>
      <c r="G62" s="33">
        <v>2770000</v>
      </c>
      <c r="H62" s="33">
        <f>C62-G62</f>
        <v>374624</v>
      </c>
    </row>
    <row r="63" spans="1:8" x14ac:dyDescent="0.25">
      <c r="A63" s="47"/>
      <c r="B63" s="47"/>
      <c r="C63" s="47"/>
      <c r="D63" s="47"/>
      <c r="E63" s="47"/>
      <c r="G63" s="95"/>
    </row>
    <row r="65" spans="2:5" ht="34.5" x14ac:dyDescent="0.25">
      <c r="B65" s="73" t="s">
        <v>137</v>
      </c>
      <c r="C65">
        <f>32000-25000</f>
        <v>7000</v>
      </c>
      <c r="D65">
        <v>60</v>
      </c>
      <c r="E65">
        <f>C65*D65</f>
        <v>420000</v>
      </c>
    </row>
    <row r="67" spans="2:5" ht="18.75" x14ac:dyDescent="0.3">
      <c r="B67" s="55" t="s">
        <v>81</v>
      </c>
      <c r="C67" s="56">
        <f>C54+C62</f>
        <v>6453600</v>
      </c>
    </row>
  </sheetData>
  <mergeCells count="75">
    <mergeCell ref="A51:A54"/>
    <mergeCell ref="A56:A62"/>
    <mergeCell ref="G41:H41"/>
    <mergeCell ref="J41:K41"/>
    <mergeCell ref="A43:A44"/>
    <mergeCell ref="C43:D43"/>
    <mergeCell ref="C44:D44"/>
    <mergeCell ref="A46:A49"/>
    <mergeCell ref="J35:J36"/>
    <mergeCell ref="K35:K36"/>
    <mergeCell ref="B38:B39"/>
    <mergeCell ref="E38:E39"/>
    <mergeCell ref="G38:G39"/>
    <mergeCell ref="H38:H39"/>
    <mergeCell ref="J38:J39"/>
    <mergeCell ref="K38:K39"/>
    <mergeCell ref="K29:K30"/>
    <mergeCell ref="B32:B33"/>
    <mergeCell ref="E32:E33"/>
    <mergeCell ref="G32:G33"/>
    <mergeCell ref="H32:H33"/>
    <mergeCell ref="J32:J33"/>
    <mergeCell ref="K32:K33"/>
    <mergeCell ref="J29:J30"/>
    <mergeCell ref="A29:A39"/>
    <mergeCell ref="B29:B30"/>
    <mergeCell ref="E29:E30"/>
    <mergeCell ref="G29:G30"/>
    <mergeCell ref="H29:H30"/>
    <mergeCell ref="B35:B36"/>
    <mergeCell ref="E35:E36"/>
    <mergeCell ref="G35:G36"/>
    <mergeCell ref="H35:H36"/>
    <mergeCell ref="K19:K21"/>
    <mergeCell ref="B23:B25"/>
    <mergeCell ref="E23:E25"/>
    <mergeCell ref="G23:G25"/>
    <mergeCell ref="H23:H25"/>
    <mergeCell ref="J23:J25"/>
    <mergeCell ref="K23:K25"/>
    <mergeCell ref="J19:J21"/>
    <mergeCell ref="A19:A27"/>
    <mergeCell ref="B19:B21"/>
    <mergeCell ref="E19:E21"/>
    <mergeCell ref="G19:G21"/>
    <mergeCell ref="H19:H21"/>
    <mergeCell ref="K9:K10"/>
    <mergeCell ref="K16:K17"/>
    <mergeCell ref="B12:B14"/>
    <mergeCell ref="E12:E14"/>
    <mergeCell ref="G12:G14"/>
    <mergeCell ref="H12:H14"/>
    <mergeCell ref="J12:J14"/>
    <mergeCell ref="K12:K14"/>
    <mergeCell ref="B16:B17"/>
    <mergeCell ref="E16:E17"/>
    <mergeCell ref="G16:G17"/>
    <mergeCell ref="H16:H17"/>
    <mergeCell ref="J16:J17"/>
    <mergeCell ref="A1:K1"/>
    <mergeCell ref="G2:H2"/>
    <mergeCell ref="J2:K2"/>
    <mergeCell ref="D4:E4"/>
    <mergeCell ref="A5:A17"/>
    <mergeCell ref="B5:B7"/>
    <mergeCell ref="E5:E7"/>
    <mergeCell ref="G5:G7"/>
    <mergeCell ref="H5:H7"/>
    <mergeCell ref="J5:J7"/>
    <mergeCell ref="K5:K7"/>
    <mergeCell ref="B9:B10"/>
    <mergeCell ref="E9:E10"/>
    <mergeCell ref="G9:G10"/>
    <mergeCell ref="H9:H10"/>
    <mergeCell ref="J9:J10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opLeftCell="A49" workbookViewId="0">
      <selection activeCell="A46" sqref="A1:XFD1048576"/>
    </sheetView>
  </sheetViews>
  <sheetFormatPr defaultRowHeight="15" x14ac:dyDescent="0.25"/>
  <cols>
    <col min="2" max="2" width="18.5703125" bestFit="1" customWidth="1"/>
    <col min="3" max="3" width="42.5703125" bestFit="1" customWidth="1"/>
    <col min="4" max="4" width="17.42578125" customWidth="1"/>
    <col min="5" max="5" width="18.140625" customWidth="1"/>
    <col min="6" max="6" width="4" customWidth="1"/>
    <col min="7" max="7" width="14.5703125" bestFit="1" customWidth="1"/>
    <col min="8" max="8" width="19.5703125" customWidth="1"/>
    <col min="9" max="9" width="4" customWidth="1"/>
    <col min="10" max="10" width="15.140625" bestFit="1" customWidth="1"/>
    <col min="11" max="11" width="16.42578125" customWidth="1"/>
    <col min="12" max="12" width="17" customWidth="1"/>
    <col min="13" max="13" width="15.5703125" customWidth="1"/>
  </cols>
  <sheetData>
    <row r="1" spans="1:11" x14ac:dyDescent="0.25">
      <c r="A1" s="202" t="s">
        <v>82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x14ac:dyDescent="0.25">
      <c r="F2" s="47"/>
      <c r="G2" s="189" t="s">
        <v>73</v>
      </c>
      <c r="H2" s="189"/>
      <c r="I2" s="47"/>
      <c r="J2" s="189" t="s">
        <v>72</v>
      </c>
      <c r="K2" s="189"/>
    </row>
    <row r="3" spans="1:11" x14ac:dyDescent="0.25">
      <c r="F3" s="47"/>
      <c r="G3" s="45" t="s">
        <v>67</v>
      </c>
      <c r="H3" s="45" t="s">
        <v>47</v>
      </c>
      <c r="I3" s="47"/>
      <c r="J3" s="45" t="s">
        <v>67</v>
      </c>
      <c r="K3" s="45" t="s">
        <v>47</v>
      </c>
    </row>
    <row r="4" spans="1:11" ht="34.5" customHeight="1" x14ac:dyDescent="0.25">
      <c r="D4" s="190" t="s">
        <v>74</v>
      </c>
      <c r="E4" s="191"/>
      <c r="F4" s="47"/>
      <c r="G4" s="46">
        <v>0.3</v>
      </c>
      <c r="H4" s="46">
        <v>0.7</v>
      </c>
      <c r="I4" s="47"/>
      <c r="J4" s="46">
        <v>0.7</v>
      </c>
      <c r="K4" s="46">
        <v>0.3</v>
      </c>
    </row>
    <row r="5" spans="1:11" x14ac:dyDescent="0.25">
      <c r="A5" s="177" t="s">
        <v>51</v>
      </c>
      <c r="B5" s="178" t="s">
        <v>43</v>
      </c>
      <c r="C5" s="27" t="s">
        <v>39</v>
      </c>
      <c r="D5" s="96">
        <v>60</v>
      </c>
      <c r="E5" s="179">
        <f>D5+D6+D7</f>
        <v>438</v>
      </c>
      <c r="F5" s="47"/>
      <c r="G5" s="188">
        <f>(D6+D7)*$G$4</f>
        <v>113.39999999999999</v>
      </c>
      <c r="H5" s="188">
        <f>(D6+D7)*H4</f>
        <v>264.59999999999997</v>
      </c>
      <c r="I5" s="47"/>
      <c r="J5" s="188">
        <f>E5*J4</f>
        <v>306.59999999999997</v>
      </c>
      <c r="K5" s="188">
        <f>E5*K4</f>
        <v>131.4</v>
      </c>
    </row>
    <row r="6" spans="1:11" x14ac:dyDescent="0.25">
      <c r="A6" s="177"/>
      <c r="B6" s="178"/>
      <c r="C6" s="27" t="s">
        <v>40</v>
      </c>
      <c r="D6" s="96">
        <f>'მკურნალობაში ჩართვის ჯგუფები'!E6</f>
        <v>369</v>
      </c>
      <c r="E6" s="179"/>
      <c r="F6" s="47"/>
      <c r="G6" s="188"/>
      <c r="H6" s="188"/>
      <c r="I6" s="47"/>
      <c r="J6" s="188"/>
      <c r="K6" s="188"/>
    </row>
    <row r="7" spans="1:11" x14ac:dyDescent="0.25">
      <c r="A7" s="177"/>
      <c r="B7" s="178"/>
      <c r="C7" s="27" t="s">
        <v>42</v>
      </c>
      <c r="D7" s="96">
        <f>'მკურნალობაში ჩართვის ჯგუფები'!E8</f>
        <v>9</v>
      </c>
      <c r="E7" s="179"/>
      <c r="F7" s="47"/>
      <c r="G7" s="188"/>
      <c r="H7" s="188"/>
      <c r="I7" s="47"/>
      <c r="J7" s="188"/>
      <c r="K7" s="188"/>
    </row>
    <row r="8" spans="1:11" x14ac:dyDescent="0.25">
      <c r="A8" s="177"/>
      <c r="D8" s="35"/>
      <c r="E8" s="36"/>
      <c r="F8" s="47"/>
      <c r="I8" s="47"/>
    </row>
    <row r="9" spans="1:11" x14ac:dyDescent="0.25">
      <c r="A9" s="177"/>
      <c r="B9" s="178" t="s">
        <v>44</v>
      </c>
      <c r="C9" s="27" t="s">
        <v>39</v>
      </c>
      <c r="D9" s="96">
        <v>60</v>
      </c>
      <c r="E9" s="179">
        <f>D9+D10</f>
        <v>429</v>
      </c>
      <c r="F9" s="47"/>
      <c r="G9" s="188">
        <f>D10*G4</f>
        <v>110.7</v>
      </c>
      <c r="H9" s="188">
        <f>D10*H4</f>
        <v>258.3</v>
      </c>
      <c r="I9" s="47"/>
      <c r="J9" s="188">
        <f>E9*J4</f>
        <v>300.29999999999995</v>
      </c>
      <c r="K9" s="188">
        <f>E9*K4</f>
        <v>128.69999999999999</v>
      </c>
    </row>
    <row r="10" spans="1:11" x14ac:dyDescent="0.25">
      <c r="A10" s="177"/>
      <c r="B10" s="178"/>
      <c r="C10" s="27" t="s">
        <v>40</v>
      </c>
      <c r="D10" s="96">
        <f>'მკურნალობაში ჩართვის ჯგუფები'!E6</f>
        <v>369</v>
      </c>
      <c r="E10" s="179"/>
      <c r="F10" s="47"/>
      <c r="G10" s="188"/>
      <c r="H10" s="188"/>
      <c r="I10" s="47"/>
      <c r="J10" s="188"/>
      <c r="K10" s="188"/>
    </row>
    <row r="11" spans="1:11" x14ac:dyDescent="0.25">
      <c r="A11" s="177"/>
      <c r="D11" s="35"/>
      <c r="E11" s="36"/>
      <c r="F11" s="47"/>
      <c r="I11" s="47"/>
    </row>
    <row r="12" spans="1:11" x14ac:dyDescent="0.25">
      <c r="A12" s="177"/>
      <c r="B12" s="178" t="s">
        <v>45</v>
      </c>
      <c r="C12" s="27" t="s">
        <v>39</v>
      </c>
      <c r="D12" s="96">
        <v>60</v>
      </c>
      <c r="E12" s="179">
        <f>D12+D13+D14</f>
        <v>358</v>
      </c>
      <c r="F12" s="47"/>
      <c r="G12" s="188">
        <f>(D13+D14)*G4</f>
        <v>89.399999999999991</v>
      </c>
      <c r="H12" s="188">
        <f>(D13+D14)*H4</f>
        <v>208.6</v>
      </c>
      <c r="I12" s="47"/>
      <c r="J12" s="188">
        <f>E12*J4</f>
        <v>250.6</v>
      </c>
      <c r="K12" s="188">
        <f>E12*K4</f>
        <v>107.39999999999999</v>
      </c>
    </row>
    <row r="13" spans="1:11" x14ac:dyDescent="0.25">
      <c r="A13" s="177"/>
      <c r="B13" s="178"/>
      <c r="C13" s="27" t="s">
        <v>41</v>
      </c>
      <c r="D13" s="96">
        <f>'მკურნალობაში ჩართვის ჯგუფები'!E7</f>
        <v>289</v>
      </c>
      <c r="E13" s="179"/>
      <c r="F13" s="47"/>
      <c r="G13" s="188"/>
      <c r="H13" s="188"/>
      <c r="I13" s="47"/>
      <c r="J13" s="188"/>
      <c r="K13" s="188"/>
    </row>
    <row r="14" spans="1:11" x14ac:dyDescent="0.25">
      <c r="A14" s="177"/>
      <c r="B14" s="178"/>
      <c r="C14" s="27" t="s">
        <v>42</v>
      </c>
      <c r="D14" s="96">
        <f>'მკურნალობაში ჩართვის ჯგუფები'!E8</f>
        <v>9</v>
      </c>
      <c r="E14" s="179"/>
      <c r="F14" s="47"/>
      <c r="G14" s="188"/>
      <c r="H14" s="188"/>
      <c r="I14" s="47"/>
      <c r="J14" s="188"/>
      <c r="K14" s="188"/>
    </row>
    <row r="15" spans="1:11" x14ac:dyDescent="0.25">
      <c r="A15" s="177"/>
      <c r="D15" s="35"/>
      <c r="E15" s="36"/>
      <c r="F15" s="47"/>
      <c r="I15" s="47"/>
    </row>
    <row r="16" spans="1:11" x14ac:dyDescent="0.25">
      <c r="A16" s="177"/>
      <c r="B16" s="178" t="s">
        <v>46</v>
      </c>
      <c r="C16" s="27" t="s">
        <v>39</v>
      </c>
      <c r="D16" s="96">
        <v>60</v>
      </c>
      <c r="E16" s="179">
        <f>D16+D17</f>
        <v>349</v>
      </c>
      <c r="F16" s="47"/>
      <c r="G16" s="188">
        <f>D17*G4</f>
        <v>86.7</v>
      </c>
      <c r="H16" s="188">
        <f>D17*H4</f>
        <v>202.29999999999998</v>
      </c>
      <c r="I16" s="47"/>
      <c r="J16" s="188">
        <f>E16*J4</f>
        <v>244.29999999999998</v>
      </c>
      <c r="K16" s="188">
        <f>E16*K4</f>
        <v>104.7</v>
      </c>
    </row>
    <row r="17" spans="1:11" x14ac:dyDescent="0.25">
      <c r="A17" s="177"/>
      <c r="B17" s="178"/>
      <c r="C17" s="27" t="s">
        <v>41</v>
      </c>
      <c r="D17" s="96">
        <f>'მკურნალობაში ჩართვის ჯგუფები'!E7</f>
        <v>289</v>
      </c>
      <c r="E17" s="179"/>
      <c r="F17" s="47"/>
      <c r="G17" s="188"/>
      <c r="H17" s="188"/>
      <c r="I17" s="47"/>
      <c r="J17" s="188"/>
      <c r="K17" s="188"/>
    </row>
    <row r="18" spans="1:11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</row>
    <row r="19" spans="1:11" x14ac:dyDescent="0.25">
      <c r="A19" s="177" t="s">
        <v>54</v>
      </c>
      <c r="B19" s="178" t="s">
        <v>55</v>
      </c>
      <c r="C19" s="29" t="s">
        <v>33</v>
      </c>
      <c r="D19" s="96">
        <f>'მონიტორინგის კვლევების ჯგუფები'!E5</f>
        <v>236</v>
      </c>
      <c r="E19" s="179">
        <f>AVERAGE(D19:D21)</f>
        <v>227</v>
      </c>
      <c r="F19" s="47"/>
      <c r="G19" s="195">
        <f>E19*G4</f>
        <v>68.099999999999994</v>
      </c>
      <c r="H19" s="195">
        <f>E19*H4</f>
        <v>158.89999999999998</v>
      </c>
      <c r="I19" s="47"/>
      <c r="J19" s="195">
        <f>E19*J4</f>
        <v>158.89999999999998</v>
      </c>
      <c r="K19" s="195">
        <f>E19*K4</f>
        <v>68.099999999999994</v>
      </c>
    </row>
    <row r="20" spans="1:11" x14ac:dyDescent="0.25">
      <c r="A20" s="177"/>
      <c r="B20" s="178"/>
      <c r="C20" s="29" t="s">
        <v>31</v>
      </c>
      <c r="D20" s="96">
        <f>'მონიტორინგის კვლევების ჯგუფები'!E6</f>
        <v>227</v>
      </c>
      <c r="E20" s="179"/>
      <c r="F20" s="47"/>
      <c r="G20" s="196"/>
      <c r="H20" s="196"/>
      <c r="I20" s="47"/>
      <c r="J20" s="196"/>
      <c r="K20" s="196"/>
    </row>
    <row r="21" spans="1:11" x14ac:dyDescent="0.25">
      <c r="A21" s="177"/>
      <c r="B21" s="178"/>
      <c r="C21" s="37" t="s">
        <v>34</v>
      </c>
      <c r="D21" s="96">
        <f>'მონიტორინგის კვლევების ჯგუფები'!E7</f>
        <v>218</v>
      </c>
      <c r="E21" s="179"/>
      <c r="F21" s="47"/>
      <c r="G21" s="197"/>
      <c r="H21" s="197"/>
      <c r="I21" s="47"/>
      <c r="J21" s="197"/>
      <c r="K21" s="197"/>
    </row>
    <row r="22" spans="1:11" x14ac:dyDescent="0.25">
      <c r="A22" s="177"/>
      <c r="E22" s="36"/>
      <c r="F22" s="47"/>
      <c r="I22" s="47"/>
    </row>
    <row r="23" spans="1:11" x14ac:dyDescent="0.25">
      <c r="A23" s="177"/>
      <c r="B23" s="178" t="s">
        <v>56</v>
      </c>
      <c r="C23" s="29" t="s">
        <v>35</v>
      </c>
      <c r="D23" s="96">
        <f>'მონიტორინგის კვლევების ჯგუფები'!E8</f>
        <v>304</v>
      </c>
      <c r="E23" s="180">
        <f>AVERAGE(D23:D25)</f>
        <v>289</v>
      </c>
      <c r="F23" s="47"/>
      <c r="G23" s="188">
        <f>E23*G4</f>
        <v>86.7</v>
      </c>
      <c r="H23" s="195">
        <f>E23*H4</f>
        <v>202.29999999999998</v>
      </c>
      <c r="I23" s="47"/>
      <c r="J23" s="188">
        <f>E23*J4</f>
        <v>202.29999999999998</v>
      </c>
      <c r="K23" s="195">
        <f>E23*K4</f>
        <v>86.7</v>
      </c>
    </row>
    <row r="24" spans="1:11" x14ac:dyDescent="0.25">
      <c r="A24" s="177"/>
      <c r="B24" s="178"/>
      <c r="C24" s="29" t="s">
        <v>32</v>
      </c>
      <c r="D24" s="96">
        <f>'მონიტორინგის კვლევების ჯგუფები'!E9</f>
        <v>286</v>
      </c>
      <c r="E24" s="181"/>
      <c r="F24" s="47"/>
      <c r="G24" s="188"/>
      <c r="H24" s="196"/>
      <c r="I24" s="47"/>
      <c r="J24" s="188"/>
      <c r="K24" s="196"/>
    </row>
    <row r="25" spans="1:11" x14ac:dyDescent="0.25">
      <c r="A25" s="177"/>
      <c r="B25" s="178"/>
      <c r="C25" s="37" t="s">
        <v>36</v>
      </c>
      <c r="D25" s="96">
        <f>'მონიტორინგის კვლევების ჯგუფები'!E10</f>
        <v>277</v>
      </c>
      <c r="E25" s="182"/>
      <c r="F25" s="47"/>
      <c r="G25" s="188"/>
      <c r="H25" s="197"/>
      <c r="I25" s="47"/>
      <c r="J25" s="188"/>
      <c r="K25" s="197"/>
    </row>
    <row r="26" spans="1:11" x14ac:dyDescent="0.25">
      <c r="A26" s="177"/>
      <c r="E26" s="36"/>
      <c r="F26" s="47"/>
      <c r="I26" s="47"/>
    </row>
    <row r="27" spans="1:11" x14ac:dyDescent="0.25">
      <c r="A27" s="177"/>
      <c r="B27" s="99" t="s">
        <v>57</v>
      </c>
      <c r="C27" s="27" t="s">
        <v>53</v>
      </c>
      <c r="D27" s="38">
        <f>'მონიტორინგის კვლევების ჯგუფები'!E11</f>
        <v>130</v>
      </c>
      <c r="E27" s="97">
        <v>130</v>
      </c>
      <c r="F27" s="47"/>
      <c r="G27" s="96">
        <v>0</v>
      </c>
      <c r="H27" s="96">
        <v>0</v>
      </c>
      <c r="I27" s="47"/>
      <c r="J27" s="96">
        <f>E27</f>
        <v>130</v>
      </c>
      <c r="K27" s="96">
        <f>E27</f>
        <v>130</v>
      </c>
    </row>
    <row r="28" spans="1:11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5">
      <c r="A29" s="199" t="s">
        <v>66</v>
      </c>
      <c r="B29" s="178" t="s">
        <v>48</v>
      </c>
      <c r="C29" s="27" t="s">
        <v>58</v>
      </c>
      <c r="D29" s="96">
        <f>E5+E19+E27</f>
        <v>795</v>
      </c>
      <c r="E29" s="179">
        <f>AVERAGE(D29:D30)</f>
        <v>790.5</v>
      </c>
      <c r="F29" s="47"/>
      <c r="G29" s="188">
        <f>(E29-D5-E27)*G4</f>
        <v>180.15</v>
      </c>
      <c r="H29" s="188">
        <f>(E29-D5-E27)*H4</f>
        <v>420.34999999999997</v>
      </c>
      <c r="I29" s="47"/>
      <c r="J29" s="188">
        <f>(E29-E27)*J4+E27</f>
        <v>592.34999999999991</v>
      </c>
      <c r="K29" s="188">
        <f>(E29-E27)*K4+E27</f>
        <v>328.15</v>
      </c>
    </row>
    <row r="30" spans="1:11" x14ac:dyDescent="0.25">
      <c r="A30" s="200"/>
      <c r="B30" s="178"/>
      <c r="C30" s="27" t="s">
        <v>60</v>
      </c>
      <c r="D30" s="96">
        <f>E9+E19+E27</f>
        <v>786</v>
      </c>
      <c r="E30" s="179"/>
      <c r="F30" s="47"/>
      <c r="G30" s="188"/>
      <c r="H30" s="188"/>
      <c r="I30" s="47"/>
      <c r="J30" s="188"/>
      <c r="K30" s="188"/>
    </row>
    <row r="31" spans="1:11" x14ac:dyDescent="0.25">
      <c r="A31" s="200"/>
      <c r="B31" s="36"/>
      <c r="D31" s="35"/>
      <c r="E31" s="36"/>
      <c r="F31" s="47"/>
      <c r="I31" s="47"/>
    </row>
    <row r="32" spans="1:11" x14ac:dyDescent="0.25">
      <c r="A32" s="200"/>
      <c r="B32" s="178" t="s">
        <v>49</v>
      </c>
      <c r="C32" s="27" t="s">
        <v>59</v>
      </c>
      <c r="D32" s="96">
        <f>E5+E23+E27</f>
        <v>857</v>
      </c>
      <c r="E32" s="179">
        <f>AVERAGE(D32:D33)</f>
        <v>852.5</v>
      </c>
      <c r="F32" s="47"/>
      <c r="G32" s="188">
        <f>(E32-D9-E27)*G4</f>
        <v>198.75</v>
      </c>
      <c r="H32" s="188">
        <f>(E32-D9-E27)*H4</f>
        <v>463.74999999999994</v>
      </c>
      <c r="I32" s="47"/>
      <c r="J32" s="188">
        <f>(E32-E27)*J4+E27</f>
        <v>635.75</v>
      </c>
      <c r="K32" s="188">
        <f>(E32-E27)*K4+E27</f>
        <v>346.75</v>
      </c>
    </row>
    <row r="33" spans="1:12" x14ac:dyDescent="0.25">
      <c r="A33" s="200"/>
      <c r="B33" s="178"/>
      <c r="C33" s="27" t="s">
        <v>61</v>
      </c>
      <c r="D33" s="96">
        <f>E9+E23+E27</f>
        <v>848</v>
      </c>
      <c r="E33" s="179"/>
      <c r="F33" s="47"/>
      <c r="G33" s="188"/>
      <c r="H33" s="188"/>
      <c r="I33" s="47"/>
      <c r="J33" s="188"/>
      <c r="K33" s="188"/>
    </row>
    <row r="34" spans="1:12" x14ac:dyDescent="0.25">
      <c r="A34" s="200"/>
      <c r="B34" s="36"/>
      <c r="D34" s="35"/>
      <c r="E34" s="36"/>
      <c r="F34" s="47"/>
      <c r="I34" s="47"/>
    </row>
    <row r="35" spans="1:12" x14ac:dyDescent="0.25">
      <c r="A35" s="200"/>
      <c r="B35" s="178" t="s">
        <v>52</v>
      </c>
      <c r="C35" s="27" t="s">
        <v>62</v>
      </c>
      <c r="D35" s="96">
        <f>E12+E19+E27</f>
        <v>715</v>
      </c>
      <c r="E35" s="179">
        <f>AVERAGE(D35:D36)</f>
        <v>710.5</v>
      </c>
      <c r="F35" s="47"/>
      <c r="G35" s="188">
        <f>(E35-D9-E27)*G4</f>
        <v>156.15</v>
      </c>
      <c r="H35" s="188">
        <f>(E35-D9-E27)*H4</f>
        <v>364.34999999999997</v>
      </c>
      <c r="I35" s="47"/>
      <c r="J35" s="188">
        <f>(E35-E27)*J4+E27</f>
        <v>536.34999999999991</v>
      </c>
      <c r="K35" s="188">
        <f>(E35-E27)*K4+E27</f>
        <v>304.14999999999998</v>
      </c>
    </row>
    <row r="36" spans="1:12" x14ac:dyDescent="0.25">
      <c r="A36" s="200"/>
      <c r="B36" s="178"/>
      <c r="C36" s="27" t="s">
        <v>64</v>
      </c>
      <c r="D36" s="96">
        <f>E16+E19+E27</f>
        <v>706</v>
      </c>
      <c r="E36" s="179"/>
      <c r="F36" s="47"/>
      <c r="G36" s="188"/>
      <c r="H36" s="188"/>
      <c r="I36" s="47"/>
      <c r="J36" s="188"/>
      <c r="K36" s="188"/>
    </row>
    <row r="37" spans="1:12" x14ac:dyDescent="0.25">
      <c r="A37" s="200"/>
      <c r="B37" s="36"/>
      <c r="D37" s="35"/>
      <c r="E37" s="36"/>
      <c r="F37" s="47"/>
      <c r="I37" s="47"/>
    </row>
    <row r="38" spans="1:12" x14ac:dyDescent="0.25">
      <c r="A38" s="200"/>
      <c r="B38" s="183" t="s">
        <v>50</v>
      </c>
      <c r="C38" s="27" t="s">
        <v>63</v>
      </c>
      <c r="D38" s="96">
        <f>E12+E23+E27</f>
        <v>777</v>
      </c>
      <c r="E38" s="179">
        <f>AVERAGE(D38:D39)</f>
        <v>772.5</v>
      </c>
      <c r="F38" s="47"/>
      <c r="G38" s="188">
        <f>(E38-D16-E27)*G4</f>
        <v>174.75</v>
      </c>
      <c r="H38" s="188">
        <f>(E38-D16-E27)*H4</f>
        <v>407.75</v>
      </c>
      <c r="I38" s="47"/>
      <c r="J38" s="188">
        <f>(E38-E27)*J4+E27</f>
        <v>579.75</v>
      </c>
      <c r="K38" s="188">
        <f>(E38-E27)*K4+E27</f>
        <v>322.75</v>
      </c>
    </row>
    <row r="39" spans="1:12" x14ac:dyDescent="0.25">
      <c r="A39" s="201"/>
      <c r="B39" s="184"/>
      <c r="C39" s="27" t="s">
        <v>65</v>
      </c>
      <c r="D39" s="96">
        <f>E16+E23+E27</f>
        <v>768</v>
      </c>
      <c r="E39" s="179"/>
      <c r="F39" s="47"/>
      <c r="G39" s="188"/>
      <c r="H39" s="188"/>
      <c r="I39" s="47"/>
      <c r="J39" s="188"/>
      <c r="K39" s="188"/>
    </row>
    <row r="40" spans="1:12" x14ac:dyDescent="0.25">
      <c r="A40" s="48"/>
      <c r="B40" s="49"/>
      <c r="C40" s="50"/>
      <c r="D40" s="51"/>
      <c r="E40" s="49"/>
      <c r="F40" s="47"/>
      <c r="G40" s="51"/>
      <c r="H40" s="51"/>
      <c r="I40" s="47"/>
      <c r="J40" s="47"/>
      <c r="K40" s="47"/>
    </row>
    <row r="41" spans="1:12" x14ac:dyDescent="0.25">
      <c r="F41" s="47"/>
      <c r="G41" s="185" t="s">
        <v>75</v>
      </c>
      <c r="H41" s="185"/>
      <c r="I41" s="47"/>
      <c r="J41" s="185" t="s">
        <v>76</v>
      </c>
      <c r="K41" s="185"/>
    </row>
    <row r="42" spans="1:12" ht="13.5" customHeight="1" x14ac:dyDescent="0.25">
      <c r="F42" s="47"/>
      <c r="G42" s="98" t="s">
        <v>67</v>
      </c>
      <c r="H42" s="98" t="s">
        <v>47</v>
      </c>
      <c r="I42" s="47"/>
      <c r="J42" s="98" t="s">
        <v>67</v>
      </c>
      <c r="K42" s="98" t="s">
        <v>47</v>
      </c>
    </row>
    <row r="43" spans="1:12" ht="21" customHeight="1" x14ac:dyDescent="0.25">
      <c r="A43" s="198" t="s">
        <v>66</v>
      </c>
      <c r="B43" s="96" t="s">
        <v>48</v>
      </c>
      <c r="C43" s="186" t="s">
        <v>68</v>
      </c>
      <c r="D43" s="187"/>
      <c r="E43" s="96">
        <f>AVERAGE(E29,E35)</f>
        <v>750.5</v>
      </c>
      <c r="F43" s="47"/>
      <c r="G43" s="96">
        <f>(E43-D9-E27)*G4</f>
        <v>168.15</v>
      </c>
      <c r="H43" s="96">
        <f>(E43-D16-E27)*H4</f>
        <v>392.34999999999997</v>
      </c>
      <c r="I43" s="47"/>
      <c r="J43" s="96">
        <f>E43-G43</f>
        <v>582.35</v>
      </c>
      <c r="K43" s="96">
        <f>E43-H43</f>
        <v>358.15000000000003</v>
      </c>
    </row>
    <row r="44" spans="1:12" ht="29.25" customHeight="1" x14ac:dyDescent="0.25">
      <c r="A44" s="198"/>
      <c r="B44" s="96" t="s">
        <v>49</v>
      </c>
      <c r="C44" s="186" t="s">
        <v>69</v>
      </c>
      <c r="D44" s="187"/>
      <c r="E44" s="96">
        <f>AVERAGE(E32,E38)</f>
        <v>812.5</v>
      </c>
      <c r="F44" s="47"/>
      <c r="G44" s="96">
        <f>(E44-D16-E27)*G4</f>
        <v>186.75</v>
      </c>
      <c r="H44" s="96">
        <f>(E44-D16-E27)*H4</f>
        <v>435.75</v>
      </c>
      <c r="I44" s="47"/>
      <c r="J44" s="96">
        <f>E44-G44</f>
        <v>625.75</v>
      </c>
      <c r="K44" s="96">
        <f>E44-H44</f>
        <v>376.75</v>
      </c>
    </row>
    <row r="45" spans="1:12" x14ac:dyDescent="0.25">
      <c r="A45" s="48"/>
      <c r="B45" s="49"/>
      <c r="C45" s="50"/>
      <c r="D45" s="51"/>
      <c r="E45" s="49"/>
      <c r="F45" s="47"/>
      <c r="G45" s="51"/>
      <c r="H45" s="51"/>
      <c r="I45" s="47"/>
      <c r="J45" s="47"/>
      <c r="K45" s="47"/>
    </row>
    <row r="46" spans="1:12" x14ac:dyDescent="0.25">
      <c r="A46" s="192" t="s">
        <v>77</v>
      </c>
      <c r="B46" s="27"/>
      <c r="C46" s="42" t="s">
        <v>79</v>
      </c>
      <c r="D46" s="52" t="s">
        <v>67</v>
      </c>
      <c r="E46" s="42" t="s">
        <v>47</v>
      </c>
    </row>
    <row r="47" spans="1:12" ht="23.25" x14ac:dyDescent="0.25">
      <c r="A47" s="193"/>
      <c r="B47" s="53" t="s">
        <v>70</v>
      </c>
      <c r="C47" s="96">
        <v>5000</v>
      </c>
      <c r="D47" s="96">
        <f>C47*10%</f>
        <v>500</v>
      </c>
      <c r="E47" s="96">
        <f>C47*90%</f>
        <v>4500</v>
      </c>
    </row>
    <row r="48" spans="1:12" ht="21" customHeight="1" x14ac:dyDescent="0.25">
      <c r="A48" s="193"/>
      <c r="B48" s="53" t="s">
        <v>68</v>
      </c>
      <c r="C48" s="96">
        <f>C47*90%</f>
        <v>4500</v>
      </c>
      <c r="D48" s="96">
        <f>D47*90%</f>
        <v>450</v>
      </c>
      <c r="E48" s="96">
        <f>E47*90%</f>
        <v>4050</v>
      </c>
      <c r="H48">
        <f>60*30%</f>
        <v>18</v>
      </c>
      <c r="J48">
        <f>60*70%</f>
        <v>42</v>
      </c>
      <c r="L48" s="31"/>
    </row>
    <row r="49" spans="1:12" ht="34.5" x14ac:dyDescent="0.25">
      <c r="A49" s="194"/>
      <c r="B49" s="53" t="s">
        <v>69</v>
      </c>
      <c r="C49" s="96">
        <f>C47*10%</f>
        <v>500</v>
      </c>
      <c r="D49" s="96">
        <f>D47*10%</f>
        <v>50</v>
      </c>
      <c r="E49" s="96">
        <f>E47*10%</f>
        <v>450</v>
      </c>
      <c r="H49">
        <f>D47*H48</f>
        <v>9000</v>
      </c>
      <c r="J49">
        <f>J48*E47</f>
        <v>189000</v>
      </c>
      <c r="K49" s="31">
        <f>H49+J49</f>
        <v>198000</v>
      </c>
      <c r="L49" s="31"/>
    </row>
    <row r="50" spans="1:12" x14ac:dyDescent="0.25">
      <c r="A50" s="47"/>
      <c r="B50" s="47"/>
      <c r="C50" s="47"/>
      <c r="D50" s="47"/>
      <c r="E50" s="47"/>
    </row>
    <row r="51" spans="1:12" x14ac:dyDescent="0.25">
      <c r="A51" s="177" t="s">
        <v>78</v>
      </c>
      <c r="C51" s="42" t="s">
        <v>109</v>
      </c>
      <c r="D51" s="52" t="s">
        <v>67</v>
      </c>
      <c r="E51" s="42" t="s">
        <v>47</v>
      </c>
      <c r="J51" s="31"/>
      <c r="L51" s="32"/>
    </row>
    <row r="52" spans="1:12" ht="34.5" x14ac:dyDescent="0.25">
      <c r="A52" s="177"/>
      <c r="B52" s="74" t="s">
        <v>68</v>
      </c>
      <c r="C52" s="43">
        <f>D52+E52</f>
        <v>1664684.9999999998</v>
      </c>
      <c r="D52" s="44">
        <f>D48*G43</f>
        <v>75667.5</v>
      </c>
      <c r="E52" s="44">
        <f>E48*H43</f>
        <v>1589017.4999999998</v>
      </c>
    </row>
    <row r="53" spans="1:12" ht="34.5" x14ac:dyDescent="0.25">
      <c r="A53" s="177"/>
      <c r="B53" s="74" t="s">
        <v>69</v>
      </c>
      <c r="C53" s="43">
        <f>D53+E53</f>
        <v>205425</v>
      </c>
      <c r="D53" s="44">
        <f>D49*G44</f>
        <v>9337.5</v>
      </c>
      <c r="E53" s="44">
        <f>E49*H44</f>
        <v>196087.5</v>
      </c>
    </row>
    <row r="54" spans="1:12" x14ac:dyDescent="0.25">
      <c r="A54" s="177"/>
      <c r="B54" s="75" t="s">
        <v>71</v>
      </c>
      <c r="C54" s="54">
        <f>C52+C53</f>
        <v>1870109.9999999998</v>
      </c>
      <c r="D54" s="43">
        <f>D52+D53</f>
        <v>85005</v>
      </c>
      <c r="E54" s="43">
        <f>E52+E53</f>
        <v>1785104.9999999998</v>
      </c>
      <c r="L54" s="31"/>
    </row>
    <row r="55" spans="1:12" x14ac:dyDescent="0.25">
      <c r="A55" s="47"/>
      <c r="B55" s="47"/>
      <c r="C55" s="47"/>
      <c r="D55" s="47"/>
      <c r="E55" s="47"/>
    </row>
    <row r="56" spans="1:12" x14ac:dyDescent="0.25">
      <c r="A56" s="177" t="s">
        <v>80</v>
      </c>
      <c r="C56" s="42" t="s">
        <v>109</v>
      </c>
      <c r="D56" s="52" t="s">
        <v>67</v>
      </c>
      <c r="E56" s="42" t="s">
        <v>47</v>
      </c>
    </row>
    <row r="57" spans="1:12" ht="34.5" x14ac:dyDescent="0.25">
      <c r="A57" s="177"/>
      <c r="B57" s="74" t="s">
        <v>68</v>
      </c>
      <c r="C57" s="43">
        <f>D57+E57</f>
        <v>1712565.0000000002</v>
      </c>
      <c r="D57" s="44">
        <f>D48*J43</f>
        <v>262057.5</v>
      </c>
      <c r="E57" s="44">
        <f>E48*K43</f>
        <v>1450507.5000000002</v>
      </c>
    </row>
    <row r="58" spans="1:12" ht="34.5" x14ac:dyDescent="0.25">
      <c r="A58" s="177"/>
      <c r="B58" s="74" t="s">
        <v>69</v>
      </c>
      <c r="C58" s="43">
        <f>D58+E58</f>
        <v>200825</v>
      </c>
      <c r="D58" s="44">
        <f>D49*J44</f>
        <v>31287.5</v>
      </c>
      <c r="E58" s="44">
        <f>E49*K44</f>
        <v>169537.5</v>
      </c>
    </row>
    <row r="59" spans="1:12" ht="23.25" x14ac:dyDescent="0.25">
      <c r="A59" s="177"/>
      <c r="B59" s="75" t="s">
        <v>99</v>
      </c>
      <c r="C59" s="54">
        <f>C57+C58</f>
        <v>1913390.0000000002</v>
      </c>
      <c r="D59" s="43">
        <f>D57+D58</f>
        <v>293345</v>
      </c>
      <c r="E59" s="43">
        <f>E57+E58</f>
        <v>1620045.0000000002</v>
      </c>
    </row>
    <row r="60" spans="1:12" x14ac:dyDescent="0.25">
      <c r="A60" s="177"/>
      <c r="B60" s="75"/>
      <c r="C60" s="54"/>
      <c r="D60" s="43"/>
      <c r="E60" s="43"/>
    </row>
    <row r="61" spans="1:12" ht="23.25" x14ac:dyDescent="0.25">
      <c r="A61" s="177"/>
      <c r="B61" s="75" t="s">
        <v>100</v>
      </c>
      <c r="C61" s="54">
        <f>C47*50</f>
        <v>250000</v>
      </c>
      <c r="D61" s="43"/>
      <c r="E61" s="43"/>
      <c r="H61" s="33"/>
    </row>
    <row r="62" spans="1:12" ht="15.75" x14ac:dyDescent="0.25">
      <c r="A62" s="177"/>
      <c r="B62" s="75" t="s">
        <v>71</v>
      </c>
      <c r="C62" s="86">
        <f>C59+C61</f>
        <v>2163390</v>
      </c>
      <c r="D62" s="43"/>
      <c r="E62" s="43"/>
      <c r="G62" s="33"/>
      <c r="H62" s="95">
        <v>1665000</v>
      </c>
      <c r="J62" s="95"/>
    </row>
    <row r="63" spans="1:12" x14ac:dyDescent="0.25">
      <c r="A63" s="47"/>
      <c r="B63" s="47"/>
      <c r="C63" s="47"/>
      <c r="D63" s="47"/>
      <c r="E63" s="47"/>
      <c r="G63" s="33"/>
      <c r="H63" s="33">
        <f>C62-H62</f>
        <v>498390</v>
      </c>
    </row>
    <row r="64" spans="1:12" x14ac:dyDescent="0.25">
      <c r="H64" s="33">
        <f>H63-240000</f>
        <v>258390</v>
      </c>
    </row>
    <row r="65" spans="2:8" ht="34.5" x14ac:dyDescent="0.25">
      <c r="B65" s="73" t="s">
        <v>137</v>
      </c>
      <c r="C65">
        <f>32000-25000</f>
        <v>7000</v>
      </c>
      <c r="D65">
        <v>60</v>
      </c>
      <c r="E65">
        <f>C65*D65</f>
        <v>420000</v>
      </c>
      <c r="G65" s="33"/>
      <c r="H65" s="33"/>
    </row>
    <row r="66" spans="2:8" x14ac:dyDescent="0.25">
      <c r="G66" s="33"/>
    </row>
    <row r="67" spans="2:8" ht="18.75" x14ac:dyDescent="0.3">
      <c r="B67" s="55" t="s">
        <v>81</v>
      </c>
      <c r="C67" s="56">
        <f>C54+C62</f>
        <v>4033500</v>
      </c>
    </row>
  </sheetData>
  <mergeCells count="75">
    <mergeCell ref="A51:A54"/>
    <mergeCell ref="A56:A62"/>
    <mergeCell ref="G41:H41"/>
    <mergeCell ref="J41:K41"/>
    <mergeCell ref="A43:A44"/>
    <mergeCell ref="C43:D43"/>
    <mergeCell ref="C44:D44"/>
    <mergeCell ref="A46:A49"/>
    <mergeCell ref="J35:J36"/>
    <mergeCell ref="K35:K36"/>
    <mergeCell ref="B38:B39"/>
    <mergeCell ref="E38:E39"/>
    <mergeCell ref="G38:G39"/>
    <mergeCell ref="H38:H39"/>
    <mergeCell ref="J38:J39"/>
    <mergeCell ref="K38:K39"/>
    <mergeCell ref="K29:K30"/>
    <mergeCell ref="B32:B33"/>
    <mergeCell ref="E32:E33"/>
    <mergeCell ref="G32:G33"/>
    <mergeCell ref="H32:H33"/>
    <mergeCell ref="J32:J33"/>
    <mergeCell ref="K32:K33"/>
    <mergeCell ref="J29:J30"/>
    <mergeCell ref="A29:A39"/>
    <mergeCell ref="B29:B30"/>
    <mergeCell ref="E29:E30"/>
    <mergeCell ref="G29:G30"/>
    <mergeCell ref="H29:H30"/>
    <mergeCell ref="B35:B36"/>
    <mergeCell ref="E35:E36"/>
    <mergeCell ref="G35:G36"/>
    <mergeCell ref="H35:H36"/>
    <mergeCell ref="K19:K21"/>
    <mergeCell ref="B23:B25"/>
    <mergeCell ref="E23:E25"/>
    <mergeCell ref="G23:G25"/>
    <mergeCell ref="H23:H25"/>
    <mergeCell ref="J23:J25"/>
    <mergeCell ref="K23:K25"/>
    <mergeCell ref="J19:J21"/>
    <mergeCell ref="A19:A27"/>
    <mergeCell ref="B19:B21"/>
    <mergeCell ref="E19:E21"/>
    <mergeCell ref="G19:G21"/>
    <mergeCell ref="H19:H21"/>
    <mergeCell ref="K9:K10"/>
    <mergeCell ref="K16:K17"/>
    <mergeCell ref="B12:B14"/>
    <mergeCell ref="E12:E14"/>
    <mergeCell ref="G12:G14"/>
    <mergeCell ref="H12:H14"/>
    <mergeCell ref="J12:J14"/>
    <mergeCell ref="K12:K14"/>
    <mergeCell ref="B16:B17"/>
    <mergeCell ref="E16:E17"/>
    <mergeCell ref="G16:G17"/>
    <mergeCell ref="H16:H17"/>
    <mergeCell ref="J16:J17"/>
    <mergeCell ref="A1:K1"/>
    <mergeCell ref="G2:H2"/>
    <mergeCell ref="J2:K2"/>
    <mergeCell ref="D4:E4"/>
    <mergeCell ref="A5:A17"/>
    <mergeCell ref="B5:B7"/>
    <mergeCell ref="E5:E7"/>
    <mergeCell ref="G5:G7"/>
    <mergeCell ref="H5:H7"/>
    <mergeCell ref="J5:J7"/>
    <mergeCell ref="K5:K7"/>
    <mergeCell ref="B9:B10"/>
    <mergeCell ref="E9:E10"/>
    <mergeCell ref="G9:G10"/>
    <mergeCell ref="H9:H10"/>
    <mergeCell ref="J9:J10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O41"/>
  <sheetViews>
    <sheetView topLeftCell="A23" workbookViewId="0">
      <selection activeCell="D35" sqref="D35:I41"/>
    </sheetView>
  </sheetViews>
  <sheetFormatPr defaultRowHeight="15" x14ac:dyDescent="0.25"/>
  <cols>
    <col min="4" max="4" width="19.5703125" customWidth="1"/>
    <col min="5" max="5" width="11.7109375" customWidth="1"/>
    <col min="6" max="6" width="17.7109375" style="35" customWidth="1"/>
    <col min="7" max="7" width="19" style="35" customWidth="1"/>
    <col min="8" max="8" width="15.5703125" customWidth="1"/>
    <col min="9" max="9" width="16.5703125" bestFit="1" customWidth="1"/>
  </cols>
  <sheetData>
    <row r="2" spans="4:15" x14ac:dyDescent="0.25">
      <c r="F2" s="209" t="s">
        <v>39</v>
      </c>
      <c r="G2" s="209"/>
      <c r="H2" s="211" t="s">
        <v>130</v>
      </c>
      <c r="I2" s="211"/>
    </row>
    <row r="3" spans="4:15" x14ac:dyDescent="0.25">
      <c r="F3" s="210">
        <v>110</v>
      </c>
      <c r="G3" s="210"/>
      <c r="H3" s="210">
        <v>60</v>
      </c>
      <c r="I3" s="210"/>
      <c r="L3" s="105"/>
      <c r="M3" s="105"/>
      <c r="N3" s="105"/>
      <c r="O3" s="105"/>
    </row>
    <row r="4" spans="4:15" x14ac:dyDescent="0.25">
      <c r="F4" s="35">
        <v>33</v>
      </c>
      <c r="G4" s="35">
        <v>77</v>
      </c>
      <c r="H4" s="35">
        <f>H3*30%</f>
        <v>18</v>
      </c>
      <c r="I4" s="35">
        <f>H3*70%</f>
        <v>42</v>
      </c>
      <c r="J4" s="35"/>
      <c r="K4" s="35"/>
    </row>
    <row r="5" spans="4:15" ht="22.5" x14ac:dyDescent="0.25">
      <c r="D5" s="105" t="s">
        <v>111</v>
      </c>
      <c r="E5" s="35">
        <v>25000</v>
      </c>
    </row>
    <row r="6" spans="4:15" ht="33.75" x14ac:dyDescent="0.25">
      <c r="D6" s="105" t="s">
        <v>112</v>
      </c>
      <c r="E6" s="35">
        <v>32000</v>
      </c>
      <c r="F6" s="107">
        <f>E8*G4</f>
        <v>246400</v>
      </c>
      <c r="G6" s="107">
        <f>E9*F4</f>
        <v>950400</v>
      </c>
      <c r="H6" s="107">
        <f>E8*I4</f>
        <v>134400</v>
      </c>
      <c r="I6" s="107">
        <f>E9*H4</f>
        <v>518400</v>
      </c>
    </row>
    <row r="7" spans="4:15" x14ac:dyDescent="0.25">
      <c r="D7" s="105"/>
      <c r="E7" s="35"/>
      <c r="G7" s="107">
        <f>F6+G6</f>
        <v>1196800</v>
      </c>
      <c r="I7" s="107">
        <f>H6+I6</f>
        <v>652800</v>
      </c>
    </row>
    <row r="8" spans="4:15" x14ac:dyDescent="0.25">
      <c r="D8" s="105" t="s">
        <v>67</v>
      </c>
      <c r="E8" s="35">
        <f>E6*10%</f>
        <v>3200</v>
      </c>
      <c r="F8" s="108">
        <f>E8*F4</f>
        <v>105600</v>
      </c>
      <c r="G8" s="107"/>
      <c r="H8" s="109">
        <f>E8*H4</f>
        <v>57600</v>
      </c>
      <c r="I8" s="31"/>
    </row>
    <row r="9" spans="4:15" x14ac:dyDescent="0.25">
      <c r="D9" s="105" t="s">
        <v>47</v>
      </c>
      <c r="E9" s="35">
        <f>E6*90%</f>
        <v>28800</v>
      </c>
      <c r="F9" s="107"/>
      <c r="G9" s="108">
        <f>E9*G4</f>
        <v>2217600</v>
      </c>
      <c r="H9" s="31"/>
      <c r="I9" s="109">
        <f>E9*I4</f>
        <v>1209600</v>
      </c>
    </row>
    <row r="11" spans="4:15" x14ac:dyDescent="0.25">
      <c r="G11" s="110">
        <f>F8+G9</f>
        <v>2323200</v>
      </c>
      <c r="I11" s="111">
        <f>H8+I9</f>
        <v>1267200</v>
      </c>
    </row>
    <row r="13" spans="4:15" x14ac:dyDescent="0.25">
      <c r="F13" s="112"/>
      <c r="G13" s="113"/>
      <c r="H13" s="33"/>
      <c r="I13" s="33"/>
    </row>
    <row r="16" spans="4:15" x14ac:dyDescent="0.25">
      <c r="G16" s="112">
        <f>G11/12*5</f>
        <v>968000</v>
      </c>
      <c r="I16" s="33">
        <f>I11/12*5</f>
        <v>528000</v>
      </c>
    </row>
    <row r="18" spans="4:12" x14ac:dyDescent="0.25">
      <c r="D18" s="212"/>
      <c r="E18" s="214" t="s">
        <v>116</v>
      </c>
      <c r="F18" s="211" t="s">
        <v>39</v>
      </c>
      <c r="G18" s="211"/>
      <c r="H18" s="211" t="s">
        <v>130</v>
      </c>
      <c r="I18" s="211"/>
    </row>
    <row r="19" spans="4:12" x14ac:dyDescent="0.25">
      <c r="D19" s="216"/>
      <c r="E19" s="217"/>
      <c r="F19" s="188" t="s">
        <v>117</v>
      </c>
      <c r="G19" s="188"/>
      <c r="H19" s="188" t="s">
        <v>118</v>
      </c>
      <c r="I19" s="188"/>
    </row>
    <row r="20" spans="4:12" x14ac:dyDescent="0.25">
      <c r="D20" s="213"/>
      <c r="E20" s="215"/>
      <c r="F20" s="42" t="s">
        <v>73</v>
      </c>
      <c r="G20" s="42" t="s">
        <v>72</v>
      </c>
      <c r="H20" s="42" t="s">
        <v>73</v>
      </c>
      <c r="I20" s="42" t="s">
        <v>72</v>
      </c>
    </row>
    <row r="21" spans="4:12" ht="23.25" x14ac:dyDescent="0.25">
      <c r="D21" s="119" t="s">
        <v>111</v>
      </c>
      <c r="E21" s="100">
        <v>32000</v>
      </c>
      <c r="F21" s="100"/>
      <c r="G21" s="115">
        <f>F26+G26</f>
        <v>3520000</v>
      </c>
      <c r="H21" s="100"/>
      <c r="I21" s="115">
        <f>H26+I26</f>
        <v>1920000</v>
      </c>
    </row>
    <row r="22" spans="4:12" x14ac:dyDescent="0.25">
      <c r="D22" s="120"/>
      <c r="E22" s="27"/>
      <c r="F22" s="100"/>
      <c r="G22" s="100"/>
      <c r="H22" s="27"/>
      <c r="I22" s="27"/>
    </row>
    <row r="23" spans="4:12" x14ac:dyDescent="0.25">
      <c r="D23" s="121" t="s">
        <v>113</v>
      </c>
      <c r="E23" s="100">
        <f>E21*10%</f>
        <v>3200</v>
      </c>
      <c r="F23" s="116">
        <f>E23*33</f>
        <v>105600</v>
      </c>
      <c r="G23" s="116">
        <f>E23*77</f>
        <v>246400</v>
      </c>
      <c r="H23" s="117">
        <f>E23*18</f>
        <v>57600</v>
      </c>
      <c r="I23" s="117">
        <f>E23*42</f>
        <v>134400</v>
      </c>
    </row>
    <row r="24" spans="4:12" x14ac:dyDescent="0.25">
      <c r="D24" s="122" t="s">
        <v>114</v>
      </c>
      <c r="E24" s="100">
        <f>E21*90%</f>
        <v>28800</v>
      </c>
      <c r="F24" s="116">
        <f>E24*77</f>
        <v>2217600</v>
      </c>
      <c r="G24" s="116">
        <f>E24*33</f>
        <v>950400</v>
      </c>
      <c r="H24" s="117">
        <f>E24*42</f>
        <v>1209600</v>
      </c>
      <c r="I24" s="117">
        <f>E24*18</f>
        <v>518400</v>
      </c>
    </row>
    <row r="25" spans="4:12" x14ac:dyDescent="0.25">
      <c r="D25" s="120"/>
      <c r="E25" s="27"/>
      <c r="F25" s="100"/>
      <c r="G25" s="100"/>
      <c r="H25" s="27"/>
      <c r="I25" s="27"/>
    </row>
    <row r="26" spans="4:12" x14ac:dyDescent="0.25">
      <c r="D26" s="123" t="s">
        <v>115</v>
      </c>
      <c r="E26" s="27"/>
      <c r="F26" s="115">
        <f>F23+F24</f>
        <v>2323200</v>
      </c>
      <c r="G26" s="115">
        <f>G23+G24</f>
        <v>1196800</v>
      </c>
      <c r="H26" s="118">
        <f>H23+H24</f>
        <v>1267200</v>
      </c>
      <c r="I26" s="118">
        <f>I23+I24</f>
        <v>652800</v>
      </c>
      <c r="L26">
        <f>238000/110</f>
        <v>2163.6363636363635</v>
      </c>
    </row>
    <row r="27" spans="4:12" x14ac:dyDescent="0.25">
      <c r="L27">
        <f>238000/60</f>
        <v>3966.6666666666665</v>
      </c>
    </row>
    <row r="28" spans="4:12" x14ac:dyDescent="0.25">
      <c r="E28">
        <f>E21/12*5</f>
        <v>13333.333333333332</v>
      </c>
      <c r="F28" s="107">
        <f>G21/12*4</f>
        <v>1173333.3333333333</v>
      </c>
      <c r="G28" s="110">
        <f>E28*40</f>
        <v>533333.33333333326</v>
      </c>
      <c r="H28" s="111">
        <f>I21/12*4</f>
        <v>640000</v>
      </c>
      <c r="I28" s="111">
        <f>E28*40</f>
        <v>533333.33333333326</v>
      </c>
    </row>
    <row r="29" spans="4:12" x14ac:dyDescent="0.25">
      <c r="G29" s="112">
        <f>F28-G28</f>
        <v>640000</v>
      </c>
      <c r="I29" s="111">
        <f>H28-I28</f>
        <v>106666.66666666674</v>
      </c>
    </row>
    <row r="30" spans="4:12" x14ac:dyDescent="0.25">
      <c r="G30" s="110">
        <f>G29-H30</f>
        <v>312000</v>
      </c>
      <c r="H30" s="31">
        <v>328000</v>
      </c>
      <c r="I30" s="111">
        <f>I29-H30</f>
        <v>-221333.33333333326</v>
      </c>
    </row>
    <row r="31" spans="4:12" x14ac:dyDescent="0.25">
      <c r="G31" s="110"/>
      <c r="I31" s="111"/>
    </row>
    <row r="32" spans="4:12" x14ac:dyDescent="0.25">
      <c r="H32" s="111">
        <f>H28-H30</f>
        <v>312000</v>
      </c>
    </row>
    <row r="35" spans="4:9" x14ac:dyDescent="0.25">
      <c r="D35" s="212"/>
      <c r="E35" s="214" t="s">
        <v>116</v>
      </c>
      <c r="F35" s="211" t="s">
        <v>39</v>
      </c>
      <c r="G35" s="211"/>
      <c r="H35" s="211" t="s">
        <v>130</v>
      </c>
      <c r="I35" s="211"/>
    </row>
    <row r="36" spans="4:9" x14ac:dyDescent="0.25">
      <c r="D36" s="213"/>
      <c r="E36" s="215"/>
      <c r="F36" s="42" t="s">
        <v>73</v>
      </c>
      <c r="G36" s="42" t="s">
        <v>72</v>
      </c>
      <c r="H36" s="42" t="s">
        <v>73</v>
      </c>
      <c r="I36" s="42" t="s">
        <v>72</v>
      </c>
    </row>
    <row r="37" spans="4:9" ht="23.25" x14ac:dyDescent="0.25">
      <c r="D37" s="119" t="s">
        <v>111</v>
      </c>
      <c r="E37" s="101">
        <v>32000</v>
      </c>
      <c r="F37" s="101"/>
      <c r="G37" s="115">
        <v>3520000</v>
      </c>
      <c r="H37" s="101"/>
      <c r="I37" s="115">
        <v>1920000</v>
      </c>
    </row>
    <row r="38" spans="4:9" x14ac:dyDescent="0.25">
      <c r="D38" s="153"/>
      <c r="E38" s="132"/>
      <c r="F38" s="154"/>
      <c r="G38" s="154"/>
      <c r="H38" s="132"/>
      <c r="I38" s="132"/>
    </row>
    <row r="39" spans="4:9" ht="22.5" x14ac:dyDescent="0.25">
      <c r="D39" s="147" t="s">
        <v>139</v>
      </c>
      <c r="E39" s="148">
        <v>10000</v>
      </c>
      <c r="F39" s="149">
        <f>G37/12*4</f>
        <v>1173333.3333333333</v>
      </c>
      <c r="G39" s="149">
        <f>E39*40</f>
        <v>400000</v>
      </c>
      <c r="H39" s="149">
        <f>I37/12*4</f>
        <v>640000</v>
      </c>
      <c r="I39" s="149">
        <f>E39*40</f>
        <v>400000</v>
      </c>
    </row>
    <row r="40" spans="4:9" ht="22.5" x14ac:dyDescent="0.25">
      <c r="D40" s="147" t="s">
        <v>140</v>
      </c>
      <c r="E40" s="27"/>
      <c r="F40" s="101"/>
      <c r="G40" s="150">
        <f>F39-G39</f>
        <v>773333.33333333326</v>
      </c>
      <c r="H40" s="27"/>
      <c r="I40" s="151">
        <f>H39-I39</f>
        <v>240000</v>
      </c>
    </row>
    <row r="41" spans="4:9" ht="57" x14ac:dyDescent="0.25">
      <c r="D41" s="119" t="s">
        <v>141</v>
      </c>
      <c r="E41" s="27"/>
      <c r="F41" s="115"/>
      <c r="G41" s="152">
        <f>G40-240000</f>
        <v>533333.33333333326</v>
      </c>
      <c r="H41" s="118"/>
      <c r="I41" s="152">
        <f>I40-240000</f>
        <v>0</v>
      </c>
    </row>
  </sheetData>
  <mergeCells count="14">
    <mergeCell ref="D35:D36"/>
    <mergeCell ref="E35:E36"/>
    <mergeCell ref="F35:G35"/>
    <mergeCell ref="H35:I35"/>
    <mergeCell ref="D18:D20"/>
    <mergeCell ref="E18:E20"/>
    <mergeCell ref="F19:G19"/>
    <mergeCell ref="H19:I19"/>
    <mergeCell ref="F2:G2"/>
    <mergeCell ref="F3:G3"/>
    <mergeCell ref="H2:I2"/>
    <mergeCell ref="H3:I3"/>
    <mergeCell ref="F18:G18"/>
    <mergeCell ref="H18:I18"/>
  </mergeCells>
  <pageMargins left="0.7" right="0.7" top="0.75" bottom="0.75" header="0.3" footer="0.3"/>
  <pageSetup paperSize="9" orientation="portrait" horizontalDpi="4294967294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O31"/>
  <sheetViews>
    <sheetView workbookViewId="0">
      <selection activeCell="H2" sqref="H2:I2"/>
    </sheetView>
  </sheetViews>
  <sheetFormatPr defaultRowHeight="15" x14ac:dyDescent="0.25"/>
  <cols>
    <col min="4" max="4" width="19.5703125" customWidth="1"/>
    <col min="5" max="5" width="11.7109375" customWidth="1"/>
    <col min="6" max="6" width="17.7109375" style="35" customWidth="1"/>
    <col min="7" max="7" width="19" style="35" customWidth="1"/>
    <col min="8" max="8" width="15.5703125" customWidth="1"/>
    <col min="9" max="9" width="16.5703125" bestFit="1" customWidth="1"/>
  </cols>
  <sheetData>
    <row r="2" spans="4:15" x14ac:dyDescent="0.25">
      <c r="F2" s="209" t="s">
        <v>39</v>
      </c>
      <c r="G2" s="209"/>
      <c r="H2" s="211" t="s">
        <v>130</v>
      </c>
      <c r="I2" s="211"/>
    </row>
    <row r="3" spans="4:15" x14ac:dyDescent="0.25">
      <c r="F3" s="210">
        <v>110</v>
      </c>
      <c r="G3" s="210"/>
      <c r="H3" s="210">
        <v>60</v>
      </c>
      <c r="I3" s="210"/>
      <c r="L3" s="105"/>
      <c r="M3" s="105"/>
      <c r="N3" s="105"/>
      <c r="O3" s="105"/>
    </row>
    <row r="4" spans="4:15" x14ac:dyDescent="0.25">
      <c r="F4" s="35">
        <v>33</v>
      </c>
      <c r="G4" s="35">
        <v>77</v>
      </c>
      <c r="H4" s="35">
        <f>H3*30%</f>
        <v>18</v>
      </c>
      <c r="I4" s="35">
        <f>H3*70%</f>
        <v>42</v>
      </c>
      <c r="J4" s="35"/>
      <c r="K4" s="35"/>
    </row>
    <row r="5" spans="4:15" ht="22.5" x14ac:dyDescent="0.25">
      <c r="D5" s="105" t="s">
        <v>111</v>
      </c>
      <c r="E5" s="35">
        <v>25000</v>
      </c>
    </row>
    <row r="6" spans="4:15" ht="33.75" x14ac:dyDescent="0.25">
      <c r="D6" s="105" t="s">
        <v>112</v>
      </c>
      <c r="E6" s="35">
        <v>32000</v>
      </c>
      <c r="F6" s="107">
        <f>E8*G4</f>
        <v>246400</v>
      </c>
      <c r="G6" s="107">
        <f>E9*F4</f>
        <v>950400</v>
      </c>
      <c r="H6" s="107">
        <f>E8*I4</f>
        <v>134400</v>
      </c>
      <c r="I6" s="107">
        <f>E9*H4</f>
        <v>518400</v>
      </c>
    </row>
    <row r="7" spans="4:15" x14ac:dyDescent="0.25">
      <c r="D7" s="105"/>
      <c r="E7" s="35"/>
      <c r="G7" s="107">
        <f>F6+G6</f>
        <v>1196800</v>
      </c>
      <c r="I7" s="107">
        <f>H6+I6</f>
        <v>652800</v>
      </c>
    </row>
    <row r="8" spans="4:15" x14ac:dyDescent="0.25">
      <c r="D8" s="105" t="s">
        <v>67</v>
      </c>
      <c r="E8" s="35">
        <f>E6*10%</f>
        <v>3200</v>
      </c>
      <c r="F8" s="108">
        <f>E8*F4</f>
        <v>105600</v>
      </c>
      <c r="G8" s="107"/>
      <c r="H8" s="109">
        <f>E8*H4</f>
        <v>57600</v>
      </c>
      <c r="I8" s="31"/>
    </row>
    <row r="9" spans="4:15" x14ac:dyDescent="0.25">
      <c r="D9" s="105" t="s">
        <v>47</v>
      </c>
      <c r="E9" s="35">
        <f>E6*90%</f>
        <v>28800</v>
      </c>
      <c r="F9" s="107"/>
      <c r="G9" s="108">
        <f>E9*G4</f>
        <v>2217600</v>
      </c>
      <c r="H9" s="31"/>
      <c r="I9" s="109">
        <f>E9*I4</f>
        <v>1209600</v>
      </c>
    </row>
    <row r="11" spans="4:15" x14ac:dyDescent="0.25">
      <c r="G11" s="110">
        <f>F8+G9</f>
        <v>2323200</v>
      </c>
      <c r="I11" s="111">
        <f>H8+I9</f>
        <v>1267200</v>
      </c>
    </row>
    <row r="13" spans="4:15" x14ac:dyDescent="0.25">
      <c r="F13" s="112"/>
      <c r="G13" s="113"/>
      <c r="H13" s="33"/>
      <c r="I13" s="33"/>
    </row>
    <row r="16" spans="4:15" x14ac:dyDescent="0.25">
      <c r="G16" s="112">
        <f>G11/12*5</f>
        <v>968000</v>
      </c>
      <c r="I16" s="33">
        <f>I11/12*5</f>
        <v>528000</v>
      </c>
    </row>
    <row r="18" spans="4:12" x14ac:dyDescent="0.25">
      <c r="D18" s="212"/>
      <c r="E18" s="214" t="s">
        <v>116</v>
      </c>
      <c r="F18" s="211" t="s">
        <v>39</v>
      </c>
      <c r="G18" s="211"/>
      <c r="H18" s="211" t="s">
        <v>130</v>
      </c>
      <c r="I18" s="211"/>
    </row>
    <row r="19" spans="4:12" x14ac:dyDescent="0.25">
      <c r="D19" s="216"/>
      <c r="E19" s="217"/>
      <c r="F19" s="188" t="s">
        <v>117</v>
      </c>
      <c r="G19" s="188"/>
      <c r="H19" s="188" t="s">
        <v>118</v>
      </c>
      <c r="I19" s="188"/>
    </row>
    <row r="20" spans="4:12" x14ac:dyDescent="0.25">
      <c r="D20" s="213"/>
      <c r="E20" s="215"/>
      <c r="F20" s="42" t="s">
        <v>73</v>
      </c>
      <c r="G20" s="42" t="s">
        <v>72</v>
      </c>
      <c r="H20" s="42" t="s">
        <v>73</v>
      </c>
      <c r="I20" s="42" t="s">
        <v>72</v>
      </c>
    </row>
    <row r="21" spans="4:12" ht="23.25" x14ac:dyDescent="0.25">
      <c r="D21" s="119" t="s">
        <v>111</v>
      </c>
      <c r="E21" s="100">
        <v>8000</v>
      </c>
      <c r="F21" s="100"/>
      <c r="G21" s="115">
        <f>F26+G26</f>
        <v>880000</v>
      </c>
      <c r="H21" s="100"/>
      <c r="I21" s="115">
        <f>H26+I26</f>
        <v>480000</v>
      </c>
    </row>
    <row r="22" spans="4:12" x14ac:dyDescent="0.25">
      <c r="D22" s="120"/>
      <c r="E22" s="27"/>
      <c r="F22" s="100"/>
      <c r="G22" s="100"/>
      <c r="H22" s="27"/>
      <c r="I22" s="27"/>
    </row>
    <row r="23" spans="4:12" x14ac:dyDescent="0.25">
      <c r="D23" s="121" t="s">
        <v>113</v>
      </c>
      <c r="E23" s="100">
        <f>E21*10%</f>
        <v>800</v>
      </c>
      <c r="F23" s="116">
        <f>E23*33</f>
        <v>26400</v>
      </c>
      <c r="G23" s="116">
        <f>E23*77</f>
        <v>61600</v>
      </c>
      <c r="H23" s="117">
        <f>E23*18</f>
        <v>14400</v>
      </c>
      <c r="I23" s="117">
        <f>E23*42</f>
        <v>33600</v>
      </c>
    </row>
    <row r="24" spans="4:12" x14ac:dyDescent="0.25">
      <c r="D24" s="122" t="s">
        <v>114</v>
      </c>
      <c r="E24" s="100">
        <f>E21*90%</f>
        <v>7200</v>
      </c>
      <c r="F24" s="116">
        <f>E24*77</f>
        <v>554400</v>
      </c>
      <c r="G24" s="116">
        <f>E24*33</f>
        <v>237600</v>
      </c>
      <c r="H24" s="117">
        <f>E24*42</f>
        <v>302400</v>
      </c>
      <c r="I24" s="117">
        <f>E24*18</f>
        <v>129600</v>
      </c>
    </row>
    <row r="25" spans="4:12" x14ac:dyDescent="0.25">
      <c r="D25" s="120"/>
      <c r="E25" s="27"/>
      <c r="F25" s="100"/>
      <c r="G25" s="100"/>
      <c r="H25" s="27"/>
      <c r="I25" s="27"/>
    </row>
    <row r="26" spans="4:12" x14ac:dyDescent="0.25">
      <c r="D26" s="123" t="s">
        <v>115</v>
      </c>
      <c r="E26" s="27"/>
      <c r="F26" s="115">
        <f>F23+F24</f>
        <v>580800</v>
      </c>
      <c r="G26" s="115">
        <f>G23+G24</f>
        <v>299200</v>
      </c>
      <c r="H26" s="118">
        <f>H23+H24</f>
        <v>316800</v>
      </c>
      <c r="I26" s="118">
        <f>I23+I24</f>
        <v>163200</v>
      </c>
      <c r="L26">
        <f>238000/110</f>
        <v>2163.6363636363635</v>
      </c>
    </row>
    <row r="27" spans="4:12" x14ac:dyDescent="0.25">
      <c r="L27">
        <f>238000/60</f>
        <v>3966.6666666666665</v>
      </c>
    </row>
    <row r="28" spans="4:12" x14ac:dyDescent="0.25">
      <c r="G28" s="110">
        <f>G21/12*5</f>
        <v>366666.66666666663</v>
      </c>
      <c r="I28" s="111">
        <f>I21/12*5</f>
        <v>200000</v>
      </c>
    </row>
    <row r="30" spans="4:12" x14ac:dyDescent="0.25">
      <c r="F30" s="35">
        <f>G26/G21*100</f>
        <v>34</v>
      </c>
      <c r="G30" s="110">
        <f>G28*34%</f>
        <v>124666.66666666666</v>
      </c>
      <c r="I30" s="111">
        <f>I28*F30%</f>
        <v>68000</v>
      </c>
    </row>
    <row r="31" spans="4:12" x14ac:dyDescent="0.25">
      <c r="F31" s="35">
        <f>F26/G21*100</f>
        <v>66</v>
      </c>
      <c r="G31" s="110">
        <f>G28*F31%</f>
        <v>242000</v>
      </c>
      <c r="I31" s="111">
        <f>I28*F31%</f>
        <v>132000</v>
      </c>
    </row>
  </sheetData>
  <mergeCells count="10">
    <mergeCell ref="F2:G2"/>
    <mergeCell ref="H2:I2"/>
    <mergeCell ref="F3:G3"/>
    <mergeCell ref="H3:I3"/>
    <mergeCell ref="D18:D20"/>
    <mergeCell ref="E18:E20"/>
    <mergeCell ref="F18:G18"/>
    <mergeCell ref="H18:I18"/>
    <mergeCell ref="F19:G19"/>
    <mergeCell ref="H19:I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opLeftCell="A49" workbookViewId="0">
      <selection activeCell="J53" sqref="J53"/>
    </sheetView>
  </sheetViews>
  <sheetFormatPr defaultRowHeight="15" x14ac:dyDescent="0.25"/>
  <cols>
    <col min="2" max="2" width="18.5703125" bestFit="1" customWidth="1"/>
    <col min="3" max="3" width="42.5703125" bestFit="1" customWidth="1"/>
    <col min="4" max="4" width="17.42578125" customWidth="1"/>
    <col min="5" max="5" width="18.140625" customWidth="1"/>
    <col min="6" max="6" width="4" customWidth="1"/>
    <col min="7" max="7" width="14.5703125" bestFit="1" customWidth="1"/>
    <col min="8" max="8" width="10.42578125" customWidth="1"/>
    <col min="9" max="9" width="4" customWidth="1"/>
    <col min="10" max="10" width="14.5703125" bestFit="1" customWidth="1"/>
    <col min="11" max="11" width="10" customWidth="1"/>
    <col min="12" max="12" width="17" customWidth="1"/>
    <col min="13" max="13" width="15.5703125" customWidth="1"/>
  </cols>
  <sheetData>
    <row r="1" spans="1:11" x14ac:dyDescent="0.25">
      <c r="A1" s="202" t="s">
        <v>82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x14ac:dyDescent="0.25">
      <c r="F2" s="47"/>
      <c r="G2" s="189" t="s">
        <v>73</v>
      </c>
      <c r="H2" s="189"/>
      <c r="I2" s="47"/>
      <c r="J2" s="189" t="s">
        <v>72</v>
      </c>
      <c r="K2" s="189"/>
    </row>
    <row r="3" spans="1:11" x14ac:dyDescent="0.25">
      <c r="F3" s="47"/>
      <c r="G3" s="45" t="s">
        <v>67</v>
      </c>
      <c r="H3" s="45" t="s">
        <v>47</v>
      </c>
      <c r="I3" s="47"/>
      <c r="J3" s="45" t="s">
        <v>67</v>
      </c>
      <c r="K3" s="45" t="s">
        <v>47</v>
      </c>
    </row>
    <row r="4" spans="1:11" ht="34.5" customHeight="1" x14ac:dyDescent="0.25">
      <c r="D4" s="190" t="s">
        <v>74</v>
      </c>
      <c r="E4" s="191"/>
      <c r="F4" s="47"/>
      <c r="G4" s="46">
        <v>0</v>
      </c>
      <c r="H4" s="46">
        <v>0</v>
      </c>
      <c r="I4" s="47"/>
      <c r="J4" s="46">
        <v>1</v>
      </c>
      <c r="K4" s="46">
        <v>1</v>
      </c>
    </row>
    <row r="5" spans="1:11" x14ac:dyDescent="0.25">
      <c r="A5" s="177" t="s">
        <v>51</v>
      </c>
      <c r="B5" s="178" t="s">
        <v>43</v>
      </c>
      <c r="C5" s="27" t="s">
        <v>39</v>
      </c>
      <c r="D5" s="167">
        <v>60</v>
      </c>
      <c r="E5" s="179">
        <f>D5+D6+D7</f>
        <v>438</v>
      </c>
      <c r="F5" s="47"/>
      <c r="G5" s="188">
        <f>E5*$G$4</f>
        <v>0</v>
      </c>
      <c r="H5" s="188">
        <f>E5*H4</f>
        <v>0</v>
      </c>
      <c r="I5" s="47"/>
      <c r="J5" s="188">
        <v>0</v>
      </c>
      <c r="K5" s="188">
        <f>E5*K4</f>
        <v>438</v>
      </c>
    </row>
    <row r="6" spans="1:11" x14ac:dyDescent="0.25">
      <c r="A6" s="177"/>
      <c r="B6" s="178"/>
      <c r="C6" s="27" t="s">
        <v>40</v>
      </c>
      <c r="D6" s="167">
        <f>'მკურნალობაში ჩართვის ჯგუფები'!E6</f>
        <v>369</v>
      </c>
      <c r="E6" s="179"/>
      <c r="F6" s="47"/>
      <c r="G6" s="188"/>
      <c r="H6" s="188"/>
      <c r="I6" s="47"/>
      <c r="J6" s="188"/>
      <c r="K6" s="188"/>
    </row>
    <row r="7" spans="1:11" x14ac:dyDescent="0.25">
      <c r="A7" s="177"/>
      <c r="B7" s="178"/>
      <c r="C7" s="27" t="s">
        <v>42</v>
      </c>
      <c r="D7" s="167">
        <f>'მკურნალობაში ჩართვის ჯგუფები'!E8</f>
        <v>9</v>
      </c>
      <c r="E7" s="179"/>
      <c r="F7" s="47"/>
      <c r="G7" s="188"/>
      <c r="H7" s="188"/>
      <c r="I7" s="47"/>
      <c r="J7" s="188"/>
      <c r="K7" s="188"/>
    </row>
    <row r="8" spans="1:11" x14ac:dyDescent="0.25">
      <c r="A8" s="177"/>
      <c r="D8" s="169"/>
      <c r="E8" s="36"/>
      <c r="F8" s="47"/>
      <c r="I8" s="47"/>
    </row>
    <row r="9" spans="1:11" x14ac:dyDescent="0.25">
      <c r="A9" s="177"/>
      <c r="B9" s="178" t="s">
        <v>44</v>
      </c>
      <c r="C9" s="27" t="s">
        <v>39</v>
      </c>
      <c r="D9" s="167">
        <v>60</v>
      </c>
      <c r="E9" s="179">
        <f>D9+D10</f>
        <v>429</v>
      </c>
      <c r="F9" s="47"/>
      <c r="G9" s="188">
        <f>E9*G4</f>
        <v>0</v>
      </c>
      <c r="H9" s="188">
        <f>E9*H4</f>
        <v>0</v>
      </c>
      <c r="I9" s="47"/>
      <c r="J9" s="188">
        <v>0</v>
      </c>
      <c r="K9" s="188">
        <f>E9*K4</f>
        <v>429</v>
      </c>
    </row>
    <row r="10" spans="1:11" x14ac:dyDescent="0.25">
      <c r="A10" s="177"/>
      <c r="B10" s="178"/>
      <c r="C10" s="27" t="s">
        <v>40</v>
      </c>
      <c r="D10" s="167">
        <f>'მკურნალობაში ჩართვის ჯგუფები'!E6</f>
        <v>369</v>
      </c>
      <c r="E10" s="179"/>
      <c r="F10" s="47"/>
      <c r="G10" s="188"/>
      <c r="H10" s="188"/>
      <c r="I10" s="47"/>
      <c r="J10" s="188"/>
      <c r="K10" s="188"/>
    </row>
    <row r="11" spans="1:11" x14ac:dyDescent="0.25">
      <c r="A11" s="177"/>
      <c r="D11" s="169"/>
      <c r="E11" s="36"/>
      <c r="F11" s="47"/>
      <c r="I11" s="47"/>
    </row>
    <row r="12" spans="1:11" x14ac:dyDescent="0.25">
      <c r="A12" s="177"/>
      <c r="B12" s="178" t="s">
        <v>45</v>
      </c>
      <c r="C12" s="27" t="s">
        <v>39</v>
      </c>
      <c r="D12" s="167">
        <v>60</v>
      </c>
      <c r="E12" s="179">
        <f>D12+D13+D14</f>
        <v>358</v>
      </c>
      <c r="F12" s="47"/>
      <c r="G12" s="188">
        <f>E12*G4</f>
        <v>0</v>
      </c>
      <c r="H12" s="188">
        <f>E12*H4</f>
        <v>0</v>
      </c>
      <c r="I12" s="47"/>
      <c r="J12" s="188">
        <v>0</v>
      </c>
      <c r="K12" s="188">
        <f>E12*K4</f>
        <v>358</v>
      </c>
    </row>
    <row r="13" spans="1:11" x14ac:dyDescent="0.25">
      <c r="A13" s="177"/>
      <c r="B13" s="178"/>
      <c r="C13" s="27" t="s">
        <v>41</v>
      </c>
      <c r="D13" s="167">
        <f>'მკურნალობაში ჩართვის ჯგუფები'!E7</f>
        <v>289</v>
      </c>
      <c r="E13" s="179"/>
      <c r="F13" s="47"/>
      <c r="G13" s="188"/>
      <c r="H13" s="188"/>
      <c r="I13" s="47"/>
      <c r="J13" s="188"/>
      <c r="K13" s="188"/>
    </row>
    <row r="14" spans="1:11" x14ac:dyDescent="0.25">
      <c r="A14" s="177"/>
      <c r="B14" s="178"/>
      <c r="C14" s="27" t="s">
        <v>42</v>
      </c>
      <c r="D14" s="167">
        <f>'მკურნალობაში ჩართვის ჯგუფები'!E8</f>
        <v>9</v>
      </c>
      <c r="E14" s="179"/>
      <c r="F14" s="47"/>
      <c r="G14" s="188"/>
      <c r="H14" s="188"/>
      <c r="I14" s="47"/>
      <c r="J14" s="188"/>
      <c r="K14" s="188"/>
    </row>
    <row r="15" spans="1:11" x14ac:dyDescent="0.25">
      <c r="A15" s="177"/>
      <c r="D15" s="169"/>
      <c r="E15" s="36"/>
      <c r="F15" s="47"/>
      <c r="I15" s="47"/>
    </row>
    <row r="16" spans="1:11" x14ac:dyDescent="0.25">
      <c r="A16" s="177"/>
      <c r="B16" s="178" t="s">
        <v>46</v>
      </c>
      <c r="C16" s="27" t="s">
        <v>39</v>
      </c>
      <c r="D16" s="167">
        <v>60</v>
      </c>
      <c r="E16" s="179">
        <f>D16+D17</f>
        <v>349</v>
      </c>
      <c r="F16" s="47"/>
      <c r="G16" s="188">
        <f>E16*G4</f>
        <v>0</v>
      </c>
      <c r="H16" s="188">
        <f>E16*H4</f>
        <v>0</v>
      </c>
      <c r="I16" s="47"/>
      <c r="J16" s="188">
        <v>0</v>
      </c>
      <c r="K16" s="188">
        <f>E16*K4</f>
        <v>349</v>
      </c>
    </row>
    <row r="17" spans="1:11" x14ac:dyDescent="0.25">
      <c r="A17" s="177"/>
      <c r="B17" s="178"/>
      <c r="C17" s="27" t="s">
        <v>41</v>
      </c>
      <c r="D17" s="167">
        <f>'მკურნალობაში ჩართვის ჯგუფები'!E7</f>
        <v>289</v>
      </c>
      <c r="E17" s="179"/>
      <c r="F17" s="47"/>
      <c r="G17" s="188"/>
      <c r="H17" s="188"/>
      <c r="I17" s="47"/>
      <c r="J17" s="188"/>
      <c r="K17" s="188"/>
    </row>
    <row r="18" spans="1:11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</row>
    <row r="19" spans="1:11" x14ac:dyDescent="0.25">
      <c r="A19" s="177" t="s">
        <v>54</v>
      </c>
      <c r="B19" s="178" t="s">
        <v>55</v>
      </c>
      <c r="C19" s="29" t="s">
        <v>33</v>
      </c>
      <c r="D19" s="167">
        <f>'მონიტორინგის კვლევების ჯგუფები'!E5</f>
        <v>236</v>
      </c>
      <c r="E19" s="179">
        <f>AVERAGE(D19:D21)</f>
        <v>227</v>
      </c>
      <c r="F19" s="47"/>
      <c r="G19" s="195">
        <f>E19*G4</f>
        <v>0</v>
      </c>
      <c r="H19" s="195">
        <f>E19*H4</f>
        <v>0</v>
      </c>
      <c r="I19" s="47"/>
      <c r="J19" s="195">
        <v>0</v>
      </c>
      <c r="K19" s="195">
        <f>E19*K4</f>
        <v>227</v>
      </c>
    </row>
    <row r="20" spans="1:11" x14ac:dyDescent="0.25">
      <c r="A20" s="177"/>
      <c r="B20" s="178"/>
      <c r="C20" s="29" t="s">
        <v>31</v>
      </c>
      <c r="D20" s="167">
        <f>'მონიტორინგის კვლევების ჯგუფები'!E6</f>
        <v>227</v>
      </c>
      <c r="E20" s="179"/>
      <c r="F20" s="47"/>
      <c r="G20" s="196"/>
      <c r="H20" s="196"/>
      <c r="I20" s="47"/>
      <c r="J20" s="196"/>
      <c r="K20" s="196"/>
    </row>
    <row r="21" spans="1:11" x14ac:dyDescent="0.25">
      <c r="A21" s="177"/>
      <c r="B21" s="178"/>
      <c r="C21" s="37" t="s">
        <v>34</v>
      </c>
      <c r="D21" s="167">
        <f>'მონიტორინგის კვლევების ჯგუფები'!E7</f>
        <v>218</v>
      </c>
      <c r="E21" s="179"/>
      <c r="F21" s="47"/>
      <c r="G21" s="197"/>
      <c r="H21" s="197"/>
      <c r="I21" s="47"/>
      <c r="J21" s="197"/>
      <c r="K21" s="197"/>
    </row>
    <row r="22" spans="1:11" x14ac:dyDescent="0.25">
      <c r="A22" s="177"/>
      <c r="E22" s="36"/>
      <c r="F22" s="47"/>
      <c r="I22" s="47"/>
    </row>
    <row r="23" spans="1:11" x14ac:dyDescent="0.25">
      <c r="A23" s="177"/>
      <c r="B23" s="178" t="s">
        <v>56</v>
      </c>
      <c r="C23" s="29" t="s">
        <v>35</v>
      </c>
      <c r="D23" s="167">
        <f>'მონიტორინგის კვლევების ჯგუფები'!E8</f>
        <v>304</v>
      </c>
      <c r="E23" s="180">
        <f>AVERAGE(D23:D25)</f>
        <v>289</v>
      </c>
      <c r="F23" s="47"/>
      <c r="G23" s="188">
        <f>E23*G4</f>
        <v>0</v>
      </c>
      <c r="H23" s="195">
        <f>E23*H4</f>
        <v>0</v>
      </c>
      <c r="I23" s="47"/>
      <c r="J23" s="188">
        <v>0</v>
      </c>
      <c r="K23" s="195">
        <f>E23*K4</f>
        <v>289</v>
      </c>
    </row>
    <row r="24" spans="1:11" x14ac:dyDescent="0.25">
      <c r="A24" s="177"/>
      <c r="B24" s="178"/>
      <c r="C24" s="29" t="s">
        <v>32</v>
      </c>
      <c r="D24" s="167">
        <f>'მონიტორინგის კვლევების ჯგუფები'!E9</f>
        <v>286</v>
      </c>
      <c r="E24" s="181"/>
      <c r="F24" s="47"/>
      <c r="G24" s="188"/>
      <c r="H24" s="196"/>
      <c r="I24" s="47"/>
      <c r="J24" s="188"/>
      <c r="K24" s="196"/>
    </row>
    <row r="25" spans="1:11" x14ac:dyDescent="0.25">
      <c r="A25" s="177"/>
      <c r="B25" s="178"/>
      <c r="C25" s="37" t="s">
        <v>36</v>
      </c>
      <c r="D25" s="167">
        <f>'მონიტორინგის კვლევების ჯგუფები'!E10</f>
        <v>277</v>
      </c>
      <c r="E25" s="182"/>
      <c r="F25" s="47"/>
      <c r="G25" s="188"/>
      <c r="H25" s="197"/>
      <c r="I25" s="47"/>
      <c r="J25" s="188"/>
      <c r="K25" s="197"/>
    </row>
    <row r="26" spans="1:11" x14ac:dyDescent="0.25">
      <c r="A26" s="177"/>
      <c r="E26" s="36"/>
      <c r="F26" s="47"/>
      <c r="I26" s="47"/>
    </row>
    <row r="27" spans="1:11" x14ac:dyDescent="0.25">
      <c r="A27" s="177"/>
      <c r="B27" s="165" t="s">
        <v>57</v>
      </c>
      <c r="C27" s="27" t="s">
        <v>53</v>
      </c>
      <c r="D27" s="38">
        <f>'მონიტორინგის კვლევების ჯგუფები'!E11</f>
        <v>130</v>
      </c>
      <c r="E27" s="168">
        <v>130</v>
      </c>
      <c r="F27" s="47"/>
      <c r="G27" s="167">
        <v>0</v>
      </c>
      <c r="H27" s="167">
        <v>0</v>
      </c>
      <c r="I27" s="47"/>
      <c r="J27" s="167">
        <v>0</v>
      </c>
      <c r="K27" s="167">
        <f>E27</f>
        <v>130</v>
      </c>
    </row>
    <row r="28" spans="1:11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5">
      <c r="A29" s="199" t="s">
        <v>66</v>
      </c>
      <c r="B29" s="178" t="s">
        <v>48</v>
      </c>
      <c r="C29" s="27" t="s">
        <v>58</v>
      </c>
      <c r="D29" s="167">
        <f>E5+E19+E27</f>
        <v>795</v>
      </c>
      <c r="E29" s="179">
        <f>AVERAGE(D29:D30)</f>
        <v>790.5</v>
      </c>
      <c r="F29" s="47"/>
      <c r="G29" s="188">
        <f>(E29-E27)*G4</f>
        <v>0</v>
      </c>
      <c r="H29" s="188">
        <f>(E29-E27)*H4</f>
        <v>0</v>
      </c>
      <c r="I29" s="47"/>
      <c r="J29" s="188">
        <v>0</v>
      </c>
      <c r="K29" s="188">
        <f>(E29-E27)*K4+E27</f>
        <v>790.5</v>
      </c>
    </row>
    <row r="30" spans="1:11" x14ac:dyDescent="0.25">
      <c r="A30" s="200"/>
      <c r="B30" s="178"/>
      <c r="C30" s="27" t="s">
        <v>60</v>
      </c>
      <c r="D30" s="167">
        <f>E9+E19+E27</f>
        <v>786</v>
      </c>
      <c r="E30" s="179"/>
      <c r="F30" s="47"/>
      <c r="G30" s="188"/>
      <c r="H30" s="188"/>
      <c r="I30" s="47"/>
      <c r="J30" s="188"/>
      <c r="K30" s="188"/>
    </row>
    <row r="31" spans="1:11" x14ac:dyDescent="0.25">
      <c r="A31" s="200"/>
      <c r="B31" s="36"/>
      <c r="D31" s="169"/>
      <c r="E31" s="36"/>
      <c r="F31" s="47"/>
      <c r="I31" s="47"/>
    </row>
    <row r="32" spans="1:11" x14ac:dyDescent="0.25">
      <c r="A32" s="200"/>
      <c r="B32" s="178" t="s">
        <v>49</v>
      </c>
      <c r="C32" s="27" t="s">
        <v>59</v>
      </c>
      <c r="D32" s="167">
        <f>E5+E23+E27</f>
        <v>857</v>
      </c>
      <c r="E32" s="179">
        <f>AVERAGE(D32:D33)</f>
        <v>852.5</v>
      </c>
      <c r="F32" s="47"/>
      <c r="G32" s="188">
        <f>(E32-E27)*G4</f>
        <v>0</v>
      </c>
      <c r="H32" s="188">
        <f>(E32-E27)*H4</f>
        <v>0</v>
      </c>
      <c r="I32" s="47"/>
      <c r="J32" s="188">
        <v>0</v>
      </c>
      <c r="K32" s="188">
        <f>(E32-E27)*K4+E27</f>
        <v>852.5</v>
      </c>
    </row>
    <row r="33" spans="1:11" x14ac:dyDescent="0.25">
      <c r="A33" s="200"/>
      <c r="B33" s="178"/>
      <c r="C33" s="27" t="s">
        <v>61</v>
      </c>
      <c r="D33" s="167">
        <f>E9+E23+E27</f>
        <v>848</v>
      </c>
      <c r="E33" s="179"/>
      <c r="F33" s="47"/>
      <c r="G33" s="188"/>
      <c r="H33" s="188"/>
      <c r="I33" s="47"/>
      <c r="J33" s="188"/>
      <c r="K33" s="188"/>
    </row>
    <row r="34" spans="1:11" x14ac:dyDescent="0.25">
      <c r="A34" s="200"/>
      <c r="B34" s="36"/>
      <c r="D34" s="169"/>
      <c r="E34" s="36"/>
      <c r="F34" s="47"/>
      <c r="I34" s="47"/>
    </row>
    <row r="35" spans="1:11" x14ac:dyDescent="0.25">
      <c r="A35" s="200"/>
      <c r="B35" s="178" t="s">
        <v>52</v>
      </c>
      <c r="C35" s="27" t="s">
        <v>62</v>
      </c>
      <c r="D35" s="167">
        <f>E12+E19+E27</f>
        <v>715</v>
      </c>
      <c r="E35" s="179">
        <f>AVERAGE(D35:D36)</f>
        <v>710.5</v>
      </c>
      <c r="F35" s="47"/>
      <c r="G35" s="188">
        <f>(E35-E27)*G4</f>
        <v>0</v>
      </c>
      <c r="H35" s="188">
        <f>(E35-E27)*H4</f>
        <v>0</v>
      </c>
      <c r="I35" s="47"/>
      <c r="J35" s="188">
        <v>0</v>
      </c>
      <c r="K35" s="188">
        <f>(E35-E27)*K4+E27</f>
        <v>710.5</v>
      </c>
    </row>
    <row r="36" spans="1:11" x14ac:dyDescent="0.25">
      <c r="A36" s="200"/>
      <c r="B36" s="178"/>
      <c r="C36" s="27" t="s">
        <v>64</v>
      </c>
      <c r="D36" s="167">
        <f>E16+E19+E27</f>
        <v>706</v>
      </c>
      <c r="E36" s="179"/>
      <c r="F36" s="47"/>
      <c r="G36" s="188"/>
      <c r="H36" s="188"/>
      <c r="I36" s="47"/>
      <c r="J36" s="188"/>
      <c r="K36" s="188"/>
    </row>
    <row r="37" spans="1:11" x14ac:dyDescent="0.25">
      <c r="A37" s="200"/>
      <c r="B37" s="36"/>
      <c r="D37" s="169"/>
      <c r="E37" s="36"/>
      <c r="F37" s="47"/>
      <c r="I37" s="47"/>
    </row>
    <row r="38" spans="1:11" x14ac:dyDescent="0.25">
      <c r="A38" s="200"/>
      <c r="B38" s="183" t="s">
        <v>50</v>
      </c>
      <c r="C38" s="27" t="s">
        <v>63</v>
      </c>
      <c r="D38" s="167">
        <f>E12+E23+E27</f>
        <v>777</v>
      </c>
      <c r="E38" s="179">
        <f>AVERAGE(D38:D39)</f>
        <v>772.5</v>
      </c>
      <c r="F38" s="47"/>
      <c r="G38" s="188">
        <f>(E38-E27)*G4</f>
        <v>0</v>
      </c>
      <c r="H38" s="188">
        <f>(E38-E27)*H4</f>
        <v>0</v>
      </c>
      <c r="I38" s="47"/>
      <c r="J38" s="188">
        <v>0</v>
      </c>
      <c r="K38" s="188">
        <f>(E38-E27)*K4+E27</f>
        <v>772.5</v>
      </c>
    </row>
    <row r="39" spans="1:11" x14ac:dyDescent="0.25">
      <c r="A39" s="201"/>
      <c r="B39" s="184"/>
      <c r="C39" s="27" t="s">
        <v>65</v>
      </c>
      <c r="D39" s="167">
        <f>E16+E23+E27</f>
        <v>768</v>
      </c>
      <c r="E39" s="179"/>
      <c r="F39" s="47"/>
      <c r="G39" s="188"/>
      <c r="H39" s="188"/>
      <c r="I39" s="47"/>
      <c r="J39" s="188"/>
      <c r="K39" s="188"/>
    </row>
    <row r="40" spans="1:11" x14ac:dyDescent="0.25">
      <c r="A40" s="48"/>
      <c r="B40" s="49"/>
      <c r="C40" s="50"/>
      <c r="D40" s="51"/>
      <c r="E40" s="49"/>
      <c r="F40" s="47"/>
      <c r="G40" s="51"/>
      <c r="H40" s="51"/>
      <c r="I40" s="47"/>
      <c r="J40" s="47"/>
      <c r="K40" s="47"/>
    </row>
    <row r="41" spans="1:11" x14ac:dyDescent="0.25">
      <c r="F41" s="47"/>
      <c r="G41" s="185" t="s">
        <v>75</v>
      </c>
      <c r="H41" s="185"/>
      <c r="I41" s="47"/>
      <c r="J41" s="185" t="s">
        <v>76</v>
      </c>
      <c r="K41" s="185"/>
    </row>
    <row r="42" spans="1:11" ht="13.5" customHeight="1" x14ac:dyDescent="0.25">
      <c r="F42" s="47"/>
      <c r="G42" s="166" t="s">
        <v>67</v>
      </c>
      <c r="H42" s="166" t="s">
        <v>47</v>
      </c>
      <c r="I42" s="47"/>
      <c r="J42" s="166" t="s">
        <v>67</v>
      </c>
      <c r="K42" s="166" t="s">
        <v>47</v>
      </c>
    </row>
    <row r="43" spans="1:11" ht="21" customHeight="1" x14ac:dyDescent="0.25">
      <c r="A43" s="198" t="s">
        <v>66</v>
      </c>
      <c r="B43" s="167" t="s">
        <v>48</v>
      </c>
      <c r="C43" s="186" t="s">
        <v>68</v>
      </c>
      <c r="D43" s="187"/>
      <c r="E43" s="167">
        <f>AVERAGE(E29,E35)</f>
        <v>750.5</v>
      </c>
      <c r="F43" s="47"/>
      <c r="G43" s="167">
        <v>0</v>
      </c>
      <c r="H43" s="167">
        <v>0</v>
      </c>
      <c r="I43" s="47"/>
      <c r="J43" s="167">
        <v>0</v>
      </c>
      <c r="K43" s="167">
        <f>E43-H43</f>
        <v>750.5</v>
      </c>
    </row>
    <row r="44" spans="1:11" ht="29.25" customHeight="1" x14ac:dyDescent="0.25">
      <c r="A44" s="198"/>
      <c r="B44" s="167" t="s">
        <v>49</v>
      </c>
      <c r="C44" s="186" t="s">
        <v>69</v>
      </c>
      <c r="D44" s="187"/>
      <c r="E44" s="167">
        <f>AVERAGE(E32,E38)</f>
        <v>812.5</v>
      </c>
      <c r="F44" s="47"/>
      <c r="G44" s="167">
        <v>0</v>
      </c>
      <c r="H44" s="167">
        <v>0</v>
      </c>
      <c r="I44" s="47"/>
      <c r="J44" s="167">
        <v>0</v>
      </c>
      <c r="K44" s="167">
        <f>E44-H44</f>
        <v>812.5</v>
      </c>
    </row>
    <row r="45" spans="1:11" x14ac:dyDescent="0.25">
      <c r="A45" s="48"/>
      <c r="B45" s="49"/>
      <c r="C45" s="50"/>
      <c r="D45" s="51"/>
      <c r="E45" s="49"/>
      <c r="F45" s="47"/>
      <c r="G45" s="51"/>
      <c r="H45" s="51"/>
      <c r="I45" s="47"/>
      <c r="J45" s="47"/>
      <c r="K45" s="47"/>
    </row>
    <row r="46" spans="1:11" x14ac:dyDescent="0.25">
      <c r="A46" s="192" t="s">
        <v>77</v>
      </c>
      <c r="B46" s="27"/>
      <c r="C46" s="42" t="s">
        <v>79</v>
      </c>
      <c r="D46" s="52" t="s">
        <v>67</v>
      </c>
      <c r="E46" s="42" t="s">
        <v>47</v>
      </c>
    </row>
    <row r="47" spans="1:11" ht="23.25" x14ac:dyDescent="0.25">
      <c r="A47" s="193"/>
      <c r="B47" s="53" t="s">
        <v>70</v>
      </c>
      <c r="C47" s="167">
        <v>3000</v>
      </c>
      <c r="D47" s="167">
        <f>C47*10%</f>
        <v>300</v>
      </c>
      <c r="E47" s="167">
        <f>C47*90%</f>
        <v>2700</v>
      </c>
    </row>
    <row r="48" spans="1:11" ht="21" customHeight="1" x14ac:dyDescent="0.25">
      <c r="A48" s="193"/>
      <c r="B48" s="53" t="s">
        <v>68</v>
      </c>
      <c r="C48" s="167">
        <f>C47*90%</f>
        <v>2700</v>
      </c>
      <c r="D48" s="167">
        <f>D47*90%</f>
        <v>270</v>
      </c>
      <c r="E48" s="167">
        <f>E47*90%</f>
        <v>2430</v>
      </c>
    </row>
    <row r="49" spans="1:5" ht="34.5" x14ac:dyDescent="0.25">
      <c r="A49" s="194"/>
      <c r="B49" s="53" t="s">
        <v>69</v>
      </c>
      <c r="C49" s="167">
        <f>C47*10%</f>
        <v>300</v>
      </c>
      <c r="D49" s="167">
        <f>D47*10%</f>
        <v>30</v>
      </c>
      <c r="E49" s="167">
        <f>E47*10%</f>
        <v>270</v>
      </c>
    </row>
    <row r="50" spans="1:5" x14ac:dyDescent="0.25">
      <c r="A50" s="47"/>
      <c r="B50" s="47"/>
      <c r="C50" s="47"/>
      <c r="D50" s="47"/>
      <c r="E50" s="47"/>
    </row>
    <row r="51" spans="1:5" x14ac:dyDescent="0.25">
      <c r="A51" s="177" t="s">
        <v>78</v>
      </c>
      <c r="C51" s="42" t="s">
        <v>109</v>
      </c>
      <c r="D51" s="52" t="s">
        <v>67</v>
      </c>
      <c r="E51" s="42" t="s">
        <v>47</v>
      </c>
    </row>
    <row r="52" spans="1:5" ht="34.5" x14ac:dyDescent="0.25">
      <c r="A52" s="177"/>
      <c r="B52" s="74" t="s">
        <v>68</v>
      </c>
      <c r="C52" s="43">
        <f>D52+E52</f>
        <v>0</v>
      </c>
      <c r="D52" s="44">
        <f>D48*G43</f>
        <v>0</v>
      </c>
      <c r="E52" s="44">
        <f>E48*H43</f>
        <v>0</v>
      </c>
    </row>
    <row r="53" spans="1:5" ht="34.5" x14ac:dyDescent="0.25">
      <c r="A53" s="177"/>
      <c r="B53" s="74" t="s">
        <v>69</v>
      </c>
      <c r="C53" s="43">
        <f>D53+E53</f>
        <v>0</v>
      </c>
      <c r="D53" s="44">
        <f>D49*G44</f>
        <v>0</v>
      </c>
      <c r="E53" s="44">
        <f>E49*H44</f>
        <v>0</v>
      </c>
    </row>
    <row r="54" spans="1:5" x14ac:dyDescent="0.25">
      <c r="A54" s="177"/>
      <c r="B54" s="75" t="s">
        <v>71</v>
      </c>
      <c r="C54" s="54">
        <f>C52+C53</f>
        <v>0</v>
      </c>
      <c r="D54" s="43">
        <f>D52+D53</f>
        <v>0</v>
      </c>
      <c r="E54" s="43">
        <f>E52+E53</f>
        <v>0</v>
      </c>
    </row>
    <row r="55" spans="1:5" x14ac:dyDescent="0.25">
      <c r="A55" s="47"/>
      <c r="B55" s="47"/>
      <c r="C55" s="47"/>
      <c r="D55" s="47"/>
      <c r="E55" s="47"/>
    </row>
    <row r="56" spans="1:5" x14ac:dyDescent="0.25">
      <c r="A56" s="177" t="s">
        <v>80</v>
      </c>
      <c r="C56" s="42" t="s">
        <v>109</v>
      </c>
      <c r="D56" s="52" t="s">
        <v>67</v>
      </c>
      <c r="E56" s="42" t="s">
        <v>47</v>
      </c>
    </row>
    <row r="57" spans="1:5" ht="34.5" x14ac:dyDescent="0.25">
      <c r="A57" s="177"/>
      <c r="B57" s="74" t="s">
        <v>68</v>
      </c>
      <c r="C57" s="43">
        <f>D57+E57</f>
        <v>1823715</v>
      </c>
      <c r="D57" s="44">
        <f>D48*J43</f>
        <v>0</v>
      </c>
      <c r="E57" s="44">
        <f>E48*K43</f>
        <v>1823715</v>
      </c>
    </row>
    <row r="58" spans="1:5" ht="34.5" x14ac:dyDescent="0.25">
      <c r="A58" s="177"/>
      <c r="B58" s="74" t="s">
        <v>69</v>
      </c>
      <c r="C58" s="43">
        <f>D58+E58</f>
        <v>219375</v>
      </c>
      <c r="D58" s="44">
        <f>D49*J44</f>
        <v>0</v>
      </c>
      <c r="E58" s="44">
        <f>E49*K44</f>
        <v>219375</v>
      </c>
    </row>
    <row r="59" spans="1:5" ht="23.25" x14ac:dyDescent="0.25">
      <c r="A59" s="177"/>
      <c r="B59" s="75" t="s">
        <v>99</v>
      </c>
      <c r="C59" s="54">
        <f>C57+C58</f>
        <v>2043090</v>
      </c>
      <c r="D59" s="43">
        <f>D57+D58</f>
        <v>0</v>
      </c>
      <c r="E59" s="43">
        <f>E57+E58</f>
        <v>2043090</v>
      </c>
    </row>
    <row r="60" spans="1:5" x14ac:dyDescent="0.25">
      <c r="A60" s="177"/>
      <c r="B60" s="75"/>
      <c r="C60" s="54"/>
      <c r="D60" s="43"/>
      <c r="E60" s="43"/>
    </row>
    <row r="61" spans="1:5" ht="23.25" x14ac:dyDescent="0.25">
      <c r="A61" s="177"/>
      <c r="B61" s="75" t="s">
        <v>100</v>
      </c>
      <c r="C61" s="54">
        <f>C47*50</f>
        <v>150000</v>
      </c>
      <c r="D61" s="43"/>
      <c r="E61" s="43"/>
    </row>
    <row r="62" spans="1:5" ht="15.75" x14ac:dyDescent="0.25">
      <c r="A62" s="177"/>
      <c r="B62" s="75" t="s">
        <v>71</v>
      </c>
      <c r="C62" s="86">
        <f>C59+C61+E65</f>
        <v>2578090</v>
      </c>
      <c r="D62" s="43"/>
      <c r="E62" s="43"/>
    </row>
    <row r="63" spans="1:5" x14ac:dyDescent="0.25">
      <c r="A63" s="47"/>
      <c r="B63" s="47"/>
      <c r="C63" s="47"/>
      <c r="D63" s="47"/>
      <c r="E63" s="47"/>
    </row>
    <row r="65" spans="2:5" ht="34.5" x14ac:dyDescent="0.25">
      <c r="B65" s="73" t="s">
        <v>137</v>
      </c>
      <c r="C65">
        <f>32000-25000</f>
        <v>7000</v>
      </c>
      <c r="D65">
        <v>55</v>
      </c>
      <c r="E65">
        <f>C65*D65</f>
        <v>385000</v>
      </c>
    </row>
    <row r="67" spans="2:5" ht="18.75" x14ac:dyDescent="0.3">
      <c r="B67" s="55" t="s">
        <v>81</v>
      </c>
      <c r="C67" s="56">
        <f>C54+C62</f>
        <v>2578090</v>
      </c>
    </row>
  </sheetData>
  <mergeCells count="75">
    <mergeCell ref="A1:K1"/>
    <mergeCell ref="G2:H2"/>
    <mergeCell ref="J2:K2"/>
    <mergeCell ref="D4:E4"/>
    <mergeCell ref="A5:A17"/>
    <mergeCell ref="B5:B7"/>
    <mergeCell ref="E5:E7"/>
    <mergeCell ref="G5:G7"/>
    <mergeCell ref="H5:H7"/>
    <mergeCell ref="J5:J7"/>
    <mergeCell ref="K5:K7"/>
    <mergeCell ref="B9:B10"/>
    <mergeCell ref="E9:E10"/>
    <mergeCell ref="G9:G10"/>
    <mergeCell ref="H9:H10"/>
    <mergeCell ref="J9:J10"/>
    <mergeCell ref="K9:K10"/>
    <mergeCell ref="K16:K17"/>
    <mergeCell ref="B12:B14"/>
    <mergeCell ref="E12:E14"/>
    <mergeCell ref="G12:G14"/>
    <mergeCell ref="H12:H14"/>
    <mergeCell ref="J12:J14"/>
    <mergeCell ref="K12:K14"/>
    <mergeCell ref="B16:B17"/>
    <mergeCell ref="E16:E17"/>
    <mergeCell ref="G16:G17"/>
    <mergeCell ref="H16:H17"/>
    <mergeCell ref="J16:J17"/>
    <mergeCell ref="A19:A27"/>
    <mergeCell ref="B19:B21"/>
    <mergeCell ref="E19:E21"/>
    <mergeCell ref="G19:G21"/>
    <mergeCell ref="H19:H21"/>
    <mergeCell ref="K19:K21"/>
    <mergeCell ref="B23:B25"/>
    <mergeCell ref="E23:E25"/>
    <mergeCell ref="G23:G25"/>
    <mergeCell ref="H23:H25"/>
    <mergeCell ref="J23:J25"/>
    <mergeCell ref="K23:K25"/>
    <mergeCell ref="J19:J21"/>
    <mergeCell ref="A29:A39"/>
    <mergeCell ref="B29:B30"/>
    <mergeCell ref="E29:E30"/>
    <mergeCell ref="G29:G30"/>
    <mergeCell ref="H29:H30"/>
    <mergeCell ref="B35:B36"/>
    <mergeCell ref="E35:E36"/>
    <mergeCell ref="G35:G36"/>
    <mergeCell ref="H35:H36"/>
    <mergeCell ref="K29:K30"/>
    <mergeCell ref="B32:B33"/>
    <mergeCell ref="E32:E33"/>
    <mergeCell ref="G32:G33"/>
    <mergeCell ref="H32:H33"/>
    <mergeCell ref="J32:J33"/>
    <mergeCell ref="K32:K33"/>
    <mergeCell ref="J29:J30"/>
    <mergeCell ref="J35:J36"/>
    <mergeCell ref="K35:K36"/>
    <mergeCell ref="B38:B39"/>
    <mergeCell ref="E38:E39"/>
    <mergeCell ref="G38:G39"/>
    <mergeCell ref="H38:H39"/>
    <mergeCell ref="J38:J39"/>
    <mergeCell ref="K38:K39"/>
    <mergeCell ref="A51:A54"/>
    <mergeCell ref="A56:A62"/>
    <mergeCell ref="G41:H41"/>
    <mergeCell ref="J41:K41"/>
    <mergeCell ref="A43:A44"/>
    <mergeCell ref="C43:D43"/>
    <mergeCell ref="C44:D44"/>
    <mergeCell ref="A46:A49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selection activeCell="C25" sqref="C25"/>
    </sheetView>
  </sheetViews>
  <sheetFormatPr defaultRowHeight="15" x14ac:dyDescent="0.25"/>
  <cols>
    <col min="2" max="2" width="18.5703125" bestFit="1" customWidth="1"/>
    <col min="3" max="3" width="42.5703125" bestFit="1" customWidth="1"/>
    <col min="4" max="4" width="17.42578125" customWidth="1"/>
    <col min="5" max="5" width="18.140625" customWidth="1"/>
    <col min="6" max="6" width="4" customWidth="1"/>
    <col min="7" max="7" width="16.5703125" bestFit="1" customWidth="1"/>
    <col min="8" max="8" width="19.5703125" customWidth="1"/>
    <col min="9" max="9" width="4" customWidth="1"/>
    <col min="10" max="10" width="15.140625" bestFit="1" customWidth="1"/>
    <col min="11" max="11" width="10" customWidth="1"/>
    <col min="12" max="12" width="17" customWidth="1"/>
    <col min="13" max="13" width="15.5703125" customWidth="1"/>
  </cols>
  <sheetData>
    <row r="1" spans="1:11" x14ac:dyDescent="0.25">
      <c r="A1" s="202" t="s">
        <v>82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x14ac:dyDescent="0.25">
      <c r="F2" s="47"/>
      <c r="G2" s="189" t="s">
        <v>73</v>
      </c>
      <c r="H2" s="189"/>
      <c r="I2" s="47"/>
      <c r="J2" s="189" t="s">
        <v>72</v>
      </c>
      <c r="K2" s="189"/>
    </row>
    <row r="3" spans="1:11" x14ac:dyDescent="0.25">
      <c r="F3" s="47"/>
      <c r="G3" s="45" t="s">
        <v>67</v>
      </c>
      <c r="H3" s="45" t="s">
        <v>47</v>
      </c>
      <c r="I3" s="47"/>
      <c r="J3" s="45" t="s">
        <v>67</v>
      </c>
      <c r="K3" s="45" t="s">
        <v>47</v>
      </c>
    </row>
    <row r="4" spans="1:11" ht="34.5" customHeight="1" x14ac:dyDescent="0.25">
      <c r="D4" s="190" t="s">
        <v>74</v>
      </c>
      <c r="E4" s="191"/>
      <c r="F4" s="47"/>
      <c r="G4" s="46">
        <v>0.3</v>
      </c>
      <c r="H4" s="46">
        <v>0.7</v>
      </c>
      <c r="I4" s="47"/>
      <c r="J4" s="46">
        <v>0.7</v>
      </c>
      <c r="K4" s="46">
        <v>0.3</v>
      </c>
    </row>
    <row r="5" spans="1:11" x14ac:dyDescent="0.25">
      <c r="A5" s="177" t="s">
        <v>51</v>
      </c>
      <c r="B5" s="178" t="s">
        <v>43</v>
      </c>
      <c r="C5" s="27" t="s">
        <v>39</v>
      </c>
      <c r="D5" s="100">
        <v>110</v>
      </c>
      <c r="E5" s="179">
        <f>D5+D6+D7</f>
        <v>488</v>
      </c>
      <c r="F5" s="47"/>
      <c r="G5" s="188">
        <f>(D6+D7)*$G$4</f>
        <v>113.39999999999999</v>
      </c>
      <c r="H5" s="188">
        <f>(D6+D7)*H4</f>
        <v>264.59999999999997</v>
      </c>
      <c r="I5" s="47"/>
      <c r="J5" s="188">
        <f>E5*J4</f>
        <v>341.59999999999997</v>
      </c>
      <c r="K5" s="188">
        <f>E5*K4</f>
        <v>146.4</v>
      </c>
    </row>
    <row r="6" spans="1:11" x14ac:dyDescent="0.25">
      <c r="A6" s="177"/>
      <c r="B6" s="178"/>
      <c r="C6" s="27" t="s">
        <v>40</v>
      </c>
      <c r="D6" s="100">
        <f>'მკურნალობაში ჩართვის ჯგუფები'!E6</f>
        <v>369</v>
      </c>
      <c r="E6" s="179"/>
      <c r="F6" s="47"/>
      <c r="G6" s="188"/>
      <c r="H6" s="188"/>
      <c r="I6" s="47"/>
      <c r="J6" s="188"/>
      <c r="K6" s="188"/>
    </row>
    <row r="7" spans="1:11" x14ac:dyDescent="0.25">
      <c r="A7" s="177"/>
      <c r="B7" s="178"/>
      <c r="C7" s="27" t="s">
        <v>42</v>
      </c>
      <c r="D7" s="100">
        <f>'მკურნალობაში ჩართვის ჯგუფები'!E8</f>
        <v>9</v>
      </c>
      <c r="E7" s="179"/>
      <c r="F7" s="47"/>
      <c r="G7" s="188"/>
      <c r="H7" s="188"/>
      <c r="I7" s="47"/>
      <c r="J7" s="188"/>
      <c r="K7" s="188"/>
    </row>
    <row r="8" spans="1:11" x14ac:dyDescent="0.25">
      <c r="A8" s="177"/>
      <c r="D8" s="35"/>
      <c r="E8" s="36"/>
      <c r="F8" s="47"/>
      <c r="I8" s="47"/>
    </row>
    <row r="9" spans="1:11" x14ac:dyDescent="0.25">
      <c r="A9" s="177"/>
      <c r="B9" s="178" t="s">
        <v>44</v>
      </c>
      <c r="C9" s="27" t="s">
        <v>39</v>
      </c>
      <c r="D9" s="100">
        <v>110</v>
      </c>
      <c r="E9" s="179">
        <f>D9+D10</f>
        <v>479</v>
      </c>
      <c r="F9" s="47"/>
      <c r="G9" s="188">
        <f>D10*G4</f>
        <v>110.7</v>
      </c>
      <c r="H9" s="188">
        <f>D10*H4</f>
        <v>258.3</v>
      </c>
      <c r="I9" s="47"/>
      <c r="J9" s="188">
        <f>E9*J4</f>
        <v>335.29999999999995</v>
      </c>
      <c r="K9" s="188">
        <f>E9*K4</f>
        <v>143.69999999999999</v>
      </c>
    </row>
    <row r="10" spans="1:11" x14ac:dyDescent="0.25">
      <c r="A10" s="177"/>
      <c r="B10" s="178"/>
      <c r="C10" s="27" t="s">
        <v>40</v>
      </c>
      <c r="D10" s="100">
        <f>'მკურნალობაში ჩართვის ჯგუფები'!E6</f>
        <v>369</v>
      </c>
      <c r="E10" s="179"/>
      <c r="F10" s="47"/>
      <c r="G10" s="188"/>
      <c r="H10" s="188"/>
      <c r="I10" s="47"/>
      <c r="J10" s="188"/>
      <c r="K10" s="188"/>
    </row>
    <row r="11" spans="1:11" x14ac:dyDescent="0.25">
      <c r="A11" s="177"/>
      <c r="D11" s="35"/>
      <c r="E11" s="36"/>
      <c r="F11" s="47"/>
      <c r="I11" s="47"/>
    </row>
    <row r="12" spans="1:11" x14ac:dyDescent="0.25">
      <c r="A12" s="177"/>
      <c r="B12" s="178" t="s">
        <v>45</v>
      </c>
      <c r="C12" s="27" t="s">
        <v>39</v>
      </c>
      <c r="D12" s="100">
        <v>110</v>
      </c>
      <c r="E12" s="179">
        <f>D12+D13+D14</f>
        <v>408</v>
      </c>
      <c r="F12" s="47"/>
      <c r="G12" s="188">
        <f>(D13+D14)*G4</f>
        <v>89.399999999999991</v>
      </c>
      <c r="H12" s="188">
        <f>(D13+D14)*H4</f>
        <v>208.6</v>
      </c>
      <c r="I12" s="47"/>
      <c r="J12" s="188">
        <f>E12*J4</f>
        <v>285.59999999999997</v>
      </c>
      <c r="K12" s="188">
        <f>E12*K4</f>
        <v>122.39999999999999</v>
      </c>
    </row>
    <row r="13" spans="1:11" x14ac:dyDescent="0.25">
      <c r="A13" s="177"/>
      <c r="B13" s="178"/>
      <c r="C13" s="27" t="s">
        <v>41</v>
      </c>
      <c r="D13" s="100">
        <f>'მკურნალობაში ჩართვის ჯგუფები'!E7</f>
        <v>289</v>
      </c>
      <c r="E13" s="179"/>
      <c r="F13" s="47"/>
      <c r="G13" s="188"/>
      <c r="H13" s="188"/>
      <c r="I13" s="47"/>
      <c r="J13" s="188"/>
      <c r="K13" s="188"/>
    </row>
    <row r="14" spans="1:11" x14ac:dyDescent="0.25">
      <c r="A14" s="177"/>
      <c r="B14" s="178"/>
      <c r="C14" s="27" t="s">
        <v>42</v>
      </c>
      <c r="D14" s="100">
        <f>'მკურნალობაში ჩართვის ჯგუფები'!E8</f>
        <v>9</v>
      </c>
      <c r="E14" s="179"/>
      <c r="F14" s="47"/>
      <c r="G14" s="188"/>
      <c r="H14" s="188"/>
      <c r="I14" s="47"/>
      <c r="J14" s="188"/>
      <c r="K14" s="188"/>
    </row>
    <row r="15" spans="1:11" x14ac:dyDescent="0.25">
      <c r="A15" s="177"/>
      <c r="D15" s="35"/>
      <c r="E15" s="36"/>
      <c r="F15" s="47"/>
      <c r="I15" s="47"/>
    </row>
    <row r="16" spans="1:11" x14ac:dyDescent="0.25">
      <c r="A16" s="177"/>
      <c r="B16" s="178" t="s">
        <v>46</v>
      </c>
      <c r="C16" s="27" t="s">
        <v>39</v>
      </c>
      <c r="D16" s="100">
        <v>110</v>
      </c>
      <c r="E16" s="179">
        <f>D16+D17</f>
        <v>399</v>
      </c>
      <c r="F16" s="47"/>
      <c r="G16" s="188">
        <f>D17*G4</f>
        <v>86.7</v>
      </c>
      <c r="H16" s="188">
        <f>D17*H4</f>
        <v>202.29999999999998</v>
      </c>
      <c r="I16" s="47"/>
      <c r="J16" s="188">
        <f>E16*J4</f>
        <v>279.29999999999995</v>
      </c>
      <c r="K16" s="188">
        <f>E16*K4</f>
        <v>119.69999999999999</v>
      </c>
    </row>
    <row r="17" spans="1:12" x14ac:dyDescent="0.25">
      <c r="A17" s="177"/>
      <c r="B17" s="178"/>
      <c r="C17" s="27" t="s">
        <v>41</v>
      </c>
      <c r="D17" s="100">
        <f>'მკურნალობაში ჩართვის ჯგუფები'!E7</f>
        <v>289</v>
      </c>
      <c r="E17" s="179"/>
      <c r="F17" s="47"/>
      <c r="G17" s="188"/>
      <c r="H17" s="188"/>
      <c r="I17" s="47"/>
      <c r="J17" s="188"/>
      <c r="K17" s="188"/>
    </row>
    <row r="18" spans="1:12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</row>
    <row r="19" spans="1:12" x14ac:dyDescent="0.25">
      <c r="A19" s="177" t="s">
        <v>51</v>
      </c>
      <c r="B19" s="178" t="s">
        <v>48</v>
      </c>
      <c r="C19" s="29"/>
      <c r="D19" s="100">
        <f>E16</f>
        <v>399</v>
      </c>
      <c r="E19" s="179">
        <f>AVERAGE(D19:D20)</f>
        <v>403.5</v>
      </c>
      <c r="F19" s="47"/>
      <c r="G19" s="195">
        <f>AVERAGE(G5,G9,G12,G16)</f>
        <v>100.05</v>
      </c>
      <c r="H19" s="195">
        <f>AVERAGE(H5,H9,H12,H16)</f>
        <v>233.45</v>
      </c>
      <c r="I19" s="47"/>
      <c r="J19" s="195">
        <f>AVERAGE(J5,J9,J12,J16)</f>
        <v>310.44999999999993</v>
      </c>
      <c r="K19" s="195">
        <f>AVERAGE(K5,K9,K12,K16)</f>
        <v>133.05000000000001</v>
      </c>
    </row>
    <row r="20" spans="1:12" x14ac:dyDescent="0.25">
      <c r="A20" s="177"/>
      <c r="B20" s="178"/>
      <c r="C20" s="29"/>
      <c r="D20" s="100">
        <f>E12</f>
        <v>408</v>
      </c>
      <c r="E20" s="179"/>
      <c r="F20" s="47"/>
      <c r="G20" s="196"/>
      <c r="H20" s="196"/>
      <c r="I20" s="47"/>
      <c r="J20" s="196"/>
      <c r="K20" s="196"/>
    </row>
    <row r="21" spans="1:12" x14ac:dyDescent="0.25">
      <c r="A21" s="177"/>
      <c r="E21" s="36"/>
      <c r="F21" s="47"/>
      <c r="I21" s="47"/>
    </row>
    <row r="22" spans="1:12" x14ac:dyDescent="0.25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</row>
    <row r="23" spans="1:12" x14ac:dyDescent="0.25">
      <c r="A23" s="192" t="s">
        <v>77</v>
      </c>
      <c r="B23" s="27"/>
      <c r="C23" s="42" t="s">
        <v>79</v>
      </c>
      <c r="D23" s="52" t="s">
        <v>67</v>
      </c>
      <c r="E23" s="42" t="s">
        <v>47</v>
      </c>
    </row>
    <row r="24" spans="1:12" ht="23.25" x14ac:dyDescent="0.25">
      <c r="A24" s="193"/>
      <c r="B24" s="53" t="s">
        <v>70</v>
      </c>
      <c r="C24" s="100">
        <v>5000</v>
      </c>
      <c r="D24" s="100">
        <f>C24*10%</f>
        <v>500</v>
      </c>
      <c r="E24" s="100">
        <f>C24*90%</f>
        <v>4500</v>
      </c>
    </row>
    <row r="25" spans="1:12" x14ac:dyDescent="0.25">
      <c r="A25" s="47"/>
      <c r="B25" s="47"/>
      <c r="C25" s="47"/>
      <c r="D25" s="47"/>
      <c r="E25" s="47"/>
    </row>
    <row r="26" spans="1:12" x14ac:dyDescent="0.25">
      <c r="A26" s="177" t="s">
        <v>119</v>
      </c>
      <c r="C26" s="42" t="s">
        <v>109</v>
      </c>
      <c r="D26" s="52" t="s">
        <v>67</v>
      </c>
      <c r="E26" s="42" t="s">
        <v>47</v>
      </c>
      <c r="J26" s="31"/>
      <c r="L26" s="32"/>
    </row>
    <row r="27" spans="1:12" x14ac:dyDescent="0.25">
      <c r="A27" s="177"/>
      <c r="B27" s="74" t="s">
        <v>120</v>
      </c>
      <c r="C27" s="43">
        <f>D27+E27</f>
        <v>1100550</v>
      </c>
      <c r="D27" s="44">
        <f>G19*D24</f>
        <v>50025</v>
      </c>
      <c r="E27" s="44">
        <f>H19*E24</f>
        <v>1050525</v>
      </c>
    </row>
    <row r="28" spans="1:12" x14ac:dyDescent="0.25">
      <c r="A28" s="177"/>
      <c r="B28" s="74" t="s">
        <v>121</v>
      </c>
      <c r="C28" s="43">
        <f>D28+E28</f>
        <v>753950</v>
      </c>
      <c r="D28" s="44">
        <f>J19*D24</f>
        <v>155224.99999999997</v>
      </c>
      <c r="E28" s="44">
        <f>K19*E24</f>
        <v>598725</v>
      </c>
      <c r="G28" s="31">
        <v>1662000</v>
      </c>
    </row>
    <row r="29" spans="1:12" x14ac:dyDescent="0.25">
      <c r="A29" s="177"/>
      <c r="B29" s="75" t="s">
        <v>71</v>
      </c>
      <c r="C29" s="54">
        <f>D29+E29</f>
        <v>1854500</v>
      </c>
      <c r="D29" s="43">
        <f>D27+D28</f>
        <v>205249.99999999997</v>
      </c>
      <c r="E29" s="43">
        <f>E27+E28</f>
        <v>1649250</v>
      </c>
      <c r="G29" s="33">
        <f>C29-G28</f>
        <v>192500</v>
      </c>
      <c r="L29" s="31"/>
    </row>
    <row r="30" spans="1:12" x14ac:dyDescent="0.25">
      <c r="A30" s="47"/>
      <c r="B30" s="47"/>
      <c r="C30" s="47"/>
      <c r="D30" s="47"/>
      <c r="E30" s="47"/>
      <c r="G30" s="33">
        <f>G29-238000</f>
        <v>-45500</v>
      </c>
      <c r="H30" s="33"/>
      <c r="J30">
        <f>238000/60</f>
        <v>3966.6666666666665</v>
      </c>
    </row>
    <row r="31" spans="1:12" x14ac:dyDescent="0.25">
      <c r="B31" s="73"/>
      <c r="G31" s="33"/>
      <c r="H31" s="33"/>
      <c r="J31" s="33"/>
    </row>
    <row r="32" spans="1:12" x14ac:dyDescent="0.25">
      <c r="G32" s="33"/>
    </row>
    <row r="33" spans="2:7" ht="18.75" x14ac:dyDescent="0.3">
      <c r="B33" s="55"/>
      <c r="C33" s="56"/>
      <c r="G33" s="33"/>
    </row>
  </sheetData>
  <mergeCells count="38">
    <mergeCell ref="A1:K1"/>
    <mergeCell ref="G2:H2"/>
    <mergeCell ref="J2:K2"/>
    <mergeCell ref="D4:E4"/>
    <mergeCell ref="A5:A17"/>
    <mergeCell ref="B5:B7"/>
    <mergeCell ref="E5:E7"/>
    <mergeCell ref="G5:G7"/>
    <mergeCell ref="H5:H7"/>
    <mergeCell ref="J5:J7"/>
    <mergeCell ref="K5:K7"/>
    <mergeCell ref="B9:B10"/>
    <mergeCell ref="E9:E10"/>
    <mergeCell ref="G9:G10"/>
    <mergeCell ref="H9:H10"/>
    <mergeCell ref="J9:J10"/>
    <mergeCell ref="K9:K10"/>
    <mergeCell ref="K16:K17"/>
    <mergeCell ref="B12:B14"/>
    <mergeCell ref="E12:E14"/>
    <mergeCell ref="G12:G14"/>
    <mergeCell ref="H12:H14"/>
    <mergeCell ref="J12:J14"/>
    <mergeCell ref="K12:K14"/>
    <mergeCell ref="B16:B17"/>
    <mergeCell ref="E16:E17"/>
    <mergeCell ref="G16:G17"/>
    <mergeCell ref="H16:H17"/>
    <mergeCell ref="J16:J17"/>
    <mergeCell ref="A19:A21"/>
    <mergeCell ref="A23:A24"/>
    <mergeCell ref="A26:A29"/>
    <mergeCell ref="K19:K20"/>
    <mergeCell ref="B19:B20"/>
    <mergeCell ref="E19:E20"/>
    <mergeCell ref="G19:G20"/>
    <mergeCell ref="H19:H20"/>
    <mergeCell ref="J19:J20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opLeftCell="A4" workbookViewId="0">
      <selection activeCell="H19" sqref="H19:H20"/>
    </sheetView>
  </sheetViews>
  <sheetFormatPr defaultRowHeight="15" x14ac:dyDescent="0.25"/>
  <cols>
    <col min="2" max="2" width="18.5703125" bestFit="1" customWidth="1"/>
    <col min="3" max="3" width="42.5703125" bestFit="1" customWidth="1"/>
    <col min="4" max="4" width="17.42578125" customWidth="1"/>
    <col min="5" max="5" width="18.140625" customWidth="1"/>
    <col min="6" max="6" width="4" customWidth="1"/>
    <col min="7" max="7" width="16.5703125" bestFit="1" customWidth="1"/>
    <col min="8" max="8" width="19.5703125" customWidth="1"/>
    <col min="9" max="9" width="4" customWidth="1"/>
    <col min="10" max="10" width="15.140625" bestFit="1" customWidth="1"/>
    <col min="11" max="11" width="10" customWidth="1"/>
    <col min="12" max="12" width="17" customWidth="1"/>
    <col min="13" max="13" width="15.5703125" customWidth="1"/>
  </cols>
  <sheetData>
    <row r="1" spans="1:11" x14ac:dyDescent="0.25">
      <c r="A1" s="202" t="s">
        <v>82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x14ac:dyDescent="0.25">
      <c r="F2" s="47"/>
      <c r="G2" s="189" t="s">
        <v>73</v>
      </c>
      <c r="H2" s="189"/>
      <c r="I2" s="47"/>
      <c r="J2" s="189" t="s">
        <v>72</v>
      </c>
      <c r="K2" s="189"/>
    </row>
    <row r="3" spans="1:11" x14ac:dyDescent="0.25">
      <c r="F3" s="47"/>
      <c r="G3" s="45" t="s">
        <v>67</v>
      </c>
      <c r="H3" s="45" t="s">
        <v>47</v>
      </c>
      <c r="I3" s="47"/>
      <c r="J3" s="45" t="s">
        <v>67</v>
      </c>
      <c r="K3" s="45" t="s">
        <v>47</v>
      </c>
    </row>
    <row r="4" spans="1:11" ht="34.5" customHeight="1" x14ac:dyDescent="0.25">
      <c r="D4" s="190" t="s">
        <v>74</v>
      </c>
      <c r="E4" s="191"/>
      <c r="F4" s="47"/>
      <c r="G4" s="46">
        <v>0.3</v>
      </c>
      <c r="H4" s="46">
        <v>0.7</v>
      </c>
      <c r="I4" s="47"/>
      <c r="J4" s="46">
        <v>0.7</v>
      </c>
      <c r="K4" s="46">
        <v>0.3</v>
      </c>
    </row>
    <row r="5" spans="1:11" x14ac:dyDescent="0.25">
      <c r="A5" s="177" t="s">
        <v>51</v>
      </c>
      <c r="B5" s="178" t="s">
        <v>43</v>
      </c>
      <c r="C5" s="27" t="s">
        <v>39</v>
      </c>
      <c r="D5" s="100">
        <v>60</v>
      </c>
      <c r="E5" s="179">
        <f>D5+D6+D7</f>
        <v>438</v>
      </c>
      <c r="F5" s="47"/>
      <c r="G5" s="188">
        <f>(D6+D7)*$G$4</f>
        <v>113.39999999999999</v>
      </c>
      <c r="H5" s="188">
        <f>(D6+D7)*H4</f>
        <v>264.59999999999997</v>
      </c>
      <c r="I5" s="47"/>
      <c r="J5" s="188">
        <f>E5*J4</f>
        <v>306.59999999999997</v>
      </c>
      <c r="K5" s="188">
        <f>E5*K4</f>
        <v>131.4</v>
      </c>
    </row>
    <row r="6" spans="1:11" x14ac:dyDescent="0.25">
      <c r="A6" s="177"/>
      <c r="B6" s="178"/>
      <c r="C6" s="27" t="s">
        <v>40</v>
      </c>
      <c r="D6" s="100">
        <f>'მკურნალობაში ჩართვის ჯგუფები'!E6</f>
        <v>369</v>
      </c>
      <c r="E6" s="179"/>
      <c r="F6" s="47"/>
      <c r="G6" s="188"/>
      <c r="H6" s="188"/>
      <c r="I6" s="47"/>
      <c r="J6" s="188"/>
      <c r="K6" s="188"/>
    </row>
    <row r="7" spans="1:11" x14ac:dyDescent="0.25">
      <c r="A7" s="177"/>
      <c r="B7" s="178"/>
      <c r="C7" s="27" t="s">
        <v>42</v>
      </c>
      <c r="D7" s="100">
        <f>'მკურნალობაში ჩართვის ჯგუფები'!E8</f>
        <v>9</v>
      </c>
      <c r="E7" s="179"/>
      <c r="F7" s="47"/>
      <c r="G7" s="188"/>
      <c r="H7" s="188"/>
      <c r="I7" s="47"/>
      <c r="J7" s="188"/>
      <c r="K7" s="188"/>
    </row>
    <row r="8" spans="1:11" x14ac:dyDescent="0.25">
      <c r="A8" s="177"/>
      <c r="D8" s="35"/>
      <c r="E8" s="36"/>
      <c r="F8" s="47"/>
      <c r="I8" s="47"/>
    </row>
    <row r="9" spans="1:11" x14ac:dyDescent="0.25">
      <c r="A9" s="177"/>
      <c r="B9" s="178" t="s">
        <v>44</v>
      </c>
      <c r="C9" s="27" t="s">
        <v>39</v>
      </c>
      <c r="D9" s="100">
        <v>60</v>
      </c>
      <c r="E9" s="179">
        <f>D9+D10</f>
        <v>429</v>
      </c>
      <c r="F9" s="47"/>
      <c r="G9" s="188">
        <f>D10*G4</f>
        <v>110.7</v>
      </c>
      <c r="H9" s="188">
        <f>D10*H4</f>
        <v>258.3</v>
      </c>
      <c r="I9" s="47"/>
      <c r="J9" s="188">
        <f>E9*J4</f>
        <v>300.29999999999995</v>
      </c>
      <c r="K9" s="188">
        <f>E9*K4</f>
        <v>128.69999999999999</v>
      </c>
    </row>
    <row r="10" spans="1:11" x14ac:dyDescent="0.25">
      <c r="A10" s="177"/>
      <c r="B10" s="178"/>
      <c r="C10" s="27" t="s">
        <v>40</v>
      </c>
      <c r="D10" s="100">
        <f>'მკურნალობაში ჩართვის ჯგუფები'!E6</f>
        <v>369</v>
      </c>
      <c r="E10" s="179"/>
      <c r="F10" s="47"/>
      <c r="G10" s="188"/>
      <c r="H10" s="188"/>
      <c r="I10" s="47"/>
      <c r="J10" s="188"/>
      <c r="K10" s="188"/>
    </row>
    <row r="11" spans="1:11" x14ac:dyDescent="0.25">
      <c r="A11" s="177"/>
      <c r="D11" s="35"/>
      <c r="E11" s="36"/>
      <c r="F11" s="47"/>
      <c r="I11" s="47"/>
    </row>
    <row r="12" spans="1:11" x14ac:dyDescent="0.25">
      <c r="A12" s="177"/>
      <c r="B12" s="178" t="s">
        <v>45</v>
      </c>
      <c r="C12" s="27" t="s">
        <v>39</v>
      </c>
      <c r="D12" s="100">
        <v>60</v>
      </c>
      <c r="E12" s="179">
        <f>D12+D13+D14</f>
        <v>358</v>
      </c>
      <c r="F12" s="47"/>
      <c r="G12" s="188">
        <f>(D13+D14)*G4</f>
        <v>89.399999999999991</v>
      </c>
      <c r="H12" s="188">
        <f>(D13+D14)*H4</f>
        <v>208.6</v>
      </c>
      <c r="I12" s="47"/>
      <c r="J12" s="188">
        <f>E12*J4</f>
        <v>250.6</v>
      </c>
      <c r="K12" s="188">
        <f>E12*K4</f>
        <v>107.39999999999999</v>
      </c>
    </row>
    <row r="13" spans="1:11" x14ac:dyDescent="0.25">
      <c r="A13" s="177"/>
      <c r="B13" s="178"/>
      <c r="C13" s="27" t="s">
        <v>41</v>
      </c>
      <c r="D13" s="100">
        <f>'მკურნალობაში ჩართვის ჯგუფები'!E7</f>
        <v>289</v>
      </c>
      <c r="E13" s="179"/>
      <c r="F13" s="47"/>
      <c r="G13" s="188"/>
      <c r="H13" s="188"/>
      <c r="I13" s="47"/>
      <c r="J13" s="188"/>
      <c r="K13" s="188"/>
    </row>
    <row r="14" spans="1:11" x14ac:dyDescent="0.25">
      <c r="A14" s="177"/>
      <c r="B14" s="178"/>
      <c r="C14" s="27" t="s">
        <v>42</v>
      </c>
      <c r="D14" s="100">
        <f>'მკურნალობაში ჩართვის ჯგუფები'!E8</f>
        <v>9</v>
      </c>
      <c r="E14" s="179"/>
      <c r="F14" s="47"/>
      <c r="G14" s="188"/>
      <c r="H14" s="188"/>
      <c r="I14" s="47"/>
      <c r="J14" s="188"/>
      <c r="K14" s="188"/>
    </row>
    <row r="15" spans="1:11" x14ac:dyDescent="0.25">
      <c r="A15" s="177"/>
      <c r="D15" s="35"/>
      <c r="E15" s="36"/>
      <c r="F15" s="47"/>
      <c r="I15" s="47"/>
    </row>
    <row r="16" spans="1:11" x14ac:dyDescent="0.25">
      <c r="A16" s="177"/>
      <c r="B16" s="178" t="s">
        <v>46</v>
      </c>
      <c r="C16" s="27" t="s">
        <v>39</v>
      </c>
      <c r="D16" s="100">
        <v>60</v>
      </c>
      <c r="E16" s="179">
        <f>D16+D17</f>
        <v>349</v>
      </c>
      <c r="F16" s="47"/>
      <c r="G16" s="188">
        <f>D17*G4</f>
        <v>86.7</v>
      </c>
      <c r="H16" s="188">
        <f>D17*H4</f>
        <v>202.29999999999998</v>
      </c>
      <c r="I16" s="47"/>
      <c r="J16" s="188">
        <f>E16*J4</f>
        <v>244.29999999999998</v>
      </c>
      <c r="K16" s="188">
        <f>E16*K4</f>
        <v>104.7</v>
      </c>
    </row>
    <row r="17" spans="1:12" x14ac:dyDescent="0.25">
      <c r="A17" s="177"/>
      <c r="B17" s="178"/>
      <c r="C17" s="27" t="s">
        <v>41</v>
      </c>
      <c r="D17" s="100">
        <f>'მკურნალობაში ჩართვის ჯგუფები'!E7</f>
        <v>289</v>
      </c>
      <c r="E17" s="179"/>
      <c r="F17" s="47"/>
      <c r="G17" s="188"/>
      <c r="H17" s="188"/>
      <c r="I17" s="47"/>
      <c r="J17" s="188"/>
      <c r="K17" s="188"/>
    </row>
    <row r="18" spans="1:12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</row>
    <row r="19" spans="1:12" x14ac:dyDescent="0.25">
      <c r="A19" s="177" t="s">
        <v>51</v>
      </c>
      <c r="B19" s="178" t="s">
        <v>48</v>
      </c>
      <c r="C19" s="29"/>
      <c r="D19" s="100">
        <f>E16</f>
        <v>349</v>
      </c>
      <c r="E19" s="179">
        <f>AVERAGE(D19:D20)</f>
        <v>353.5</v>
      </c>
      <c r="F19" s="47"/>
      <c r="G19" s="195">
        <f>AVERAGE(G5,G9,G12,G16)</f>
        <v>100.05</v>
      </c>
      <c r="H19" s="195">
        <f>AVERAGE(H5,H9,H12,H16)</f>
        <v>233.45</v>
      </c>
      <c r="I19" s="47"/>
      <c r="J19" s="195">
        <f>AVERAGE(J5,J9,J12,J16)</f>
        <v>275.45</v>
      </c>
      <c r="K19" s="195">
        <f>AVERAGE(K5,K9,K12,K16)</f>
        <v>118.05</v>
      </c>
    </row>
    <row r="20" spans="1:12" x14ac:dyDescent="0.25">
      <c r="A20" s="177"/>
      <c r="B20" s="178"/>
      <c r="C20" s="29"/>
      <c r="D20" s="100">
        <f>E12</f>
        <v>358</v>
      </c>
      <c r="E20" s="179"/>
      <c r="F20" s="47"/>
      <c r="G20" s="196"/>
      <c r="H20" s="196"/>
      <c r="I20" s="47"/>
      <c r="J20" s="196"/>
      <c r="K20" s="196"/>
    </row>
    <row r="21" spans="1:12" x14ac:dyDescent="0.25">
      <c r="A21" s="177"/>
      <c r="E21" s="36"/>
      <c r="F21" s="47"/>
      <c r="I21" s="47"/>
    </row>
    <row r="22" spans="1:12" x14ac:dyDescent="0.25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</row>
    <row r="23" spans="1:12" x14ac:dyDescent="0.25">
      <c r="A23" s="192" t="s">
        <v>77</v>
      </c>
      <c r="B23" s="27"/>
      <c r="C23" s="42" t="s">
        <v>79</v>
      </c>
      <c r="D23" s="52" t="s">
        <v>67</v>
      </c>
      <c r="E23" s="42" t="s">
        <v>47</v>
      </c>
    </row>
    <row r="24" spans="1:12" ht="23.25" x14ac:dyDescent="0.25">
      <c r="A24" s="193"/>
      <c r="B24" s="53" t="s">
        <v>70</v>
      </c>
      <c r="C24" s="100">
        <v>5000</v>
      </c>
      <c r="D24" s="100">
        <f>C24*10%</f>
        <v>500</v>
      </c>
      <c r="E24" s="100">
        <f>C24*90%</f>
        <v>4500</v>
      </c>
    </row>
    <row r="25" spans="1:12" x14ac:dyDescent="0.25">
      <c r="A25" s="47"/>
      <c r="B25" s="47"/>
      <c r="C25" s="47"/>
      <c r="D25" s="47"/>
      <c r="E25" s="47"/>
    </row>
    <row r="26" spans="1:12" x14ac:dyDescent="0.25">
      <c r="A26" s="177" t="s">
        <v>119</v>
      </c>
      <c r="C26" s="42" t="s">
        <v>109</v>
      </c>
      <c r="D26" s="52" t="s">
        <v>67</v>
      </c>
      <c r="E26" s="42" t="s">
        <v>47</v>
      </c>
      <c r="J26" s="31"/>
      <c r="L26" s="32"/>
    </row>
    <row r="27" spans="1:12" x14ac:dyDescent="0.25">
      <c r="A27" s="177"/>
      <c r="B27" s="74" t="s">
        <v>120</v>
      </c>
      <c r="C27" s="43">
        <f>D27+E27</f>
        <v>1100550</v>
      </c>
      <c r="D27" s="44">
        <f>G19*D24</f>
        <v>50025</v>
      </c>
      <c r="E27" s="44">
        <f>H19*E24</f>
        <v>1050525</v>
      </c>
    </row>
    <row r="28" spans="1:12" x14ac:dyDescent="0.25">
      <c r="A28" s="177"/>
      <c r="B28" s="74" t="s">
        <v>121</v>
      </c>
      <c r="C28" s="43">
        <f>D28+E28</f>
        <v>668950</v>
      </c>
      <c r="D28" s="44">
        <f>J19*D24</f>
        <v>137725</v>
      </c>
      <c r="E28" s="44">
        <f>K19*E24</f>
        <v>531225</v>
      </c>
      <c r="G28" s="31">
        <v>1663000</v>
      </c>
    </row>
    <row r="29" spans="1:12" x14ac:dyDescent="0.25">
      <c r="A29" s="177"/>
      <c r="B29" s="75" t="s">
        <v>71</v>
      </c>
      <c r="C29" s="54">
        <f>D29+E29</f>
        <v>1769500</v>
      </c>
      <c r="D29" s="43">
        <f>D27+D28</f>
        <v>187750</v>
      </c>
      <c r="E29" s="43">
        <f>E27+E28</f>
        <v>1581750</v>
      </c>
      <c r="G29" s="95">
        <f>C29-G28</f>
        <v>106500</v>
      </c>
      <c r="L29" s="31"/>
    </row>
    <row r="30" spans="1:12" x14ac:dyDescent="0.25">
      <c r="A30" s="47"/>
      <c r="B30" s="47"/>
      <c r="C30" s="47"/>
      <c r="D30" s="47"/>
      <c r="E30" s="47"/>
      <c r="G30" s="33">
        <f>G29-238000</f>
        <v>-131500</v>
      </c>
      <c r="H30" s="33"/>
    </row>
    <row r="31" spans="1:12" x14ac:dyDescent="0.25">
      <c r="B31" s="73"/>
      <c r="G31" s="33"/>
      <c r="H31" s="33"/>
      <c r="J31" s="33"/>
    </row>
    <row r="32" spans="1:12" x14ac:dyDescent="0.25">
      <c r="G32" s="33"/>
    </row>
    <row r="33" spans="2:7" ht="18.75" x14ac:dyDescent="0.3">
      <c r="B33" s="55"/>
      <c r="C33" s="56"/>
      <c r="G33" s="33"/>
    </row>
  </sheetData>
  <mergeCells count="38">
    <mergeCell ref="A1:K1"/>
    <mergeCell ref="G2:H2"/>
    <mergeCell ref="J2:K2"/>
    <mergeCell ref="D4:E4"/>
    <mergeCell ref="A5:A17"/>
    <mergeCell ref="B5:B7"/>
    <mergeCell ref="E5:E7"/>
    <mergeCell ref="G5:G7"/>
    <mergeCell ref="H5:H7"/>
    <mergeCell ref="J5:J7"/>
    <mergeCell ref="K5:K7"/>
    <mergeCell ref="B9:B10"/>
    <mergeCell ref="E9:E10"/>
    <mergeCell ref="G9:G10"/>
    <mergeCell ref="H9:H10"/>
    <mergeCell ref="J9:J10"/>
    <mergeCell ref="K9:K10"/>
    <mergeCell ref="K16:K17"/>
    <mergeCell ref="B12:B14"/>
    <mergeCell ref="E12:E14"/>
    <mergeCell ref="G12:G14"/>
    <mergeCell ref="H12:H14"/>
    <mergeCell ref="J12:J14"/>
    <mergeCell ref="K12:K14"/>
    <mergeCell ref="B16:B17"/>
    <mergeCell ref="E16:E17"/>
    <mergeCell ref="G16:G17"/>
    <mergeCell ref="H16:H17"/>
    <mergeCell ref="J16:J17"/>
    <mergeCell ref="A23:A24"/>
    <mergeCell ref="A26:A29"/>
    <mergeCell ref="K19:K20"/>
    <mergeCell ref="A19:A21"/>
    <mergeCell ref="B19:B20"/>
    <mergeCell ref="E19:E20"/>
    <mergeCell ref="G19:G20"/>
    <mergeCell ref="H19:H20"/>
    <mergeCell ref="J19:J20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M27"/>
  <sheetViews>
    <sheetView workbookViewId="0">
      <selection activeCell="H25" sqref="H25"/>
    </sheetView>
  </sheetViews>
  <sheetFormatPr defaultRowHeight="15" x14ac:dyDescent="0.25"/>
  <cols>
    <col min="5" max="5" width="20.5703125" customWidth="1"/>
    <col min="6" max="6" width="13" customWidth="1"/>
    <col min="7" max="7" width="15" customWidth="1"/>
    <col min="8" max="8" width="15.85546875" customWidth="1"/>
    <col min="9" max="9" width="15.28515625" customWidth="1"/>
    <col min="10" max="10" width="15.5703125" customWidth="1"/>
    <col min="11" max="11" width="15.140625" bestFit="1" customWidth="1"/>
    <col min="12" max="13" width="9.85546875" bestFit="1" customWidth="1"/>
  </cols>
  <sheetData>
    <row r="4" spans="5:13" s="106" customFormat="1" ht="42.75" customHeight="1" x14ac:dyDescent="0.25">
      <c r="E4" s="114" t="s">
        <v>124</v>
      </c>
      <c r="F4" s="114" t="s">
        <v>125</v>
      </c>
      <c r="G4" s="114" t="s">
        <v>122</v>
      </c>
      <c r="H4" s="114" t="s">
        <v>123</v>
      </c>
      <c r="I4" s="114" t="s">
        <v>129</v>
      </c>
      <c r="J4" s="114" t="s">
        <v>131</v>
      </c>
      <c r="K4" s="107"/>
    </row>
    <row r="5" spans="5:13" x14ac:dyDescent="0.25">
      <c r="E5" s="129" t="s">
        <v>132</v>
      </c>
      <c r="F5" s="130">
        <v>25000</v>
      </c>
      <c r="G5" s="131">
        <v>0.3</v>
      </c>
      <c r="H5" s="131">
        <v>0.7</v>
      </c>
      <c r="I5" s="130">
        <v>10637000</v>
      </c>
      <c r="J5" s="130">
        <v>10270000</v>
      </c>
      <c r="K5" s="124"/>
      <c r="L5" s="124"/>
    </row>
    <row r="6" spans="5:13" ht="23.25" x14ac:dyDescent="0.25">
      <c r="E6" s="133" t="s">
        <v>134</v>
      </c>
      <c r="F6" s="134">
        <v>25000</v>
      </c>
      <c r="G6" s="135">
        <v>0.3</v>
      </c>
      <c r="H6" s="135">
        <v>0.7</v>
      </c>
      <c r="I6" s="134">
        <v>12452000</v>
      </c>
      <c r="J6" s="134">
        <v>11237000</v>
      </c>
      <c r="K6" s="124"/>
      <c r="L6" s="124"/>
    </row>
    <row r="7" spans="5:13" x14ac:dyDescent="0.25">
      <c r="E7" s="139"/>
      <c r="F7" s="140"/>
      <c r="G7" s="141"/>
      <c r="H7" s="141"/>
      <c r="I7" s="140"/>
      <c r="J7" s="140"/>
      <c r="K7" s="124"/>
    </row>
    <row r="8" spans="5:13" x14ac:dyDescent="0.25">
      <c r="E8" s="136" t="s">
        <v>133</v>
      </c>
      <c r="F8" s="137">
        <v>25000</v>
      </c>
      <c r="G8" s="138">
        <v>0.05</v>
      </c>
      <c r="H8" s="138">
        <v>0.2</v>
      </c>
      <c r="I8" s="137">
        <v>18673000</v>
      </c>
      <c r="J8" s="137">
        <v>17690000</v>
      </c>
      <c r="K8" s="124"/>
      <c r="L8" s="124"/>
    </row>
    <row r="9" spans="5:13" ht="23.25" x14ac:dyDescent="0.25">
      <c r="E9" s="133" t="s">
        <v>135</v>
      </c>
      <c r="F9" s="134">
        <v>25000</v>
      </c>
      <c r="G9" s="135">
        <v>0.05</v>
      </c>
      <c r="H9" s="135">
        <v>0.2</v>
      </c>
      <c r="I9" s="134">
        <v>19182000</v>
      </c>
      <c r="J9" s="134">
        <v>17967000</v>
      </c>
      <c r="K9" s="124"/>
    </row>
    <row r="10" spans="5:13" x14ac:dyDescent="0.25">
      <c r="E10" s="139"/>
      <c r="F10" s="140"/>
      <c r="G10" s="141"/>
      <c r="H10" s="141"/>
      <c r="I10" s="140"/>
      <c r="J10" s="140"/>
      <c r="K10" s="124"/>
    </row>
    <row r="11" spans="5:13" x14ac:dyDescent="0.25">
      <c r="E11" s="136" t="s">
        <v>132</v>
      </c>
      <c r="F11" s="137">
        <v>25000</v>
      </c>
      <c r="G11" s="142" t="s">
        <v>136</v>
      </c>
      <c r="H11" s="143" t="s">
        <v>126</v>
      </c>
      <c r="I11" s="137">
        <v>20565000</v>
      </c>
      <c r="J11" s="137">
        <v>19350000</v>
      </c>
      <c r="K11" s="124"/>
      <c r="M11" s="124"/>
    </row>
    <row r="12" spans="5:13" x14ac:dyDescent="0.25">
      <c r="E12" s="144" t="s">
        <v>133</v>
      </c>
      <c r="F12" s="134">
        <v>25000</v>
      </c>
      <c r="G12" s="145" t="s">
        <v>127</v>
      </c>
      <c r="H12" s="145" t="s">
        <v>128</v>
      </c>
      <c r="I12" s="134">
        <v>19190000</v>
      </c>
      <c r="J12" s="134">
        <v>17975000</v>
      </c>
      <c r="K12" s="124"/>
      <c r="M12" s="124"/>
    </row>
    <row r="13" spans="5:13" x14ac:dyDescent="0.25">
      <c r="E13" s="146"/>
      <c r="F13" s="146"/>
      <c r="G13" s="146"/>
      <c r="H13" s="146"/>
      <c r="I13" s="146"/>
      <c r="J13" s="146"/>
      <c r="K13" s="124"/>
    </row>
    <row r="14" spans="5:13" x14ac:dyDescent="0.25">
      <c r="E14" s="136" t="s">
        <v>133</v>
      </c>
      <c r="F14" s="137">
        <v>25000</v>
      </c>
      <c r="G14" s="138">
        <v>0</v>
      </c>
      <c r="H14" s="138">
        <v>0</v>
      </c>
      <c r="I14" s="137">
        <v>21802500</v>
      </c>
      <c r="J14" s="137">
        <v>20587500</v>
      </c>
      <c r="K14" s="124"/>
    </row>
    <row r="15" spans="5:13" x14ac:dyDescent="0.25">
      <c r="E15" s="125"/>
      <c r="F15" s="126"/>
      <c r="G15" s="127"/>
      <c r="H15" s="128"/>
      <c r="I15" s="124"/>
    </row>
    <row r="16" spans="5:13" x14ac:dyDescent="0.25">
      <c r="E16" s="125"/>
      <c r="F16" s="126"/>
      <c r="G16" s="128"/>
      <c r="H16" s="128"/>
      <c r="I16" s="124"/>
    </row>
    <row r="17" spans="9:9" x14ac:dyDescent="0.25">
      <c r="I17" s="124"/>
    </row>
    <row r="18" spans="9:9" x14ac:dyDescent="0.25">
      <c r="I18" s="124"/>
    </row>
    <row r="19" spans="9:9" x14ac:dyDescent="0.25">
      <c r="I19" s="124"/>
    </row>
    <row r="20" spans="9:9" x14ac:dyDescent="0.25">
      <c r="I20" s="124"/>
    </row>
    <row r="21" spans="9:9" x14ac:dyDescent="0.25">
      <c r="I21" s="124"/>
    </row>
    <row r="22" spans="9:9" x14ac:dyDescent="0.25">
      <c r="I22" s="124"/>
    </row>
    <row r="23" spans="9:9" x14ac:dyDescent="0.25">
      <c r="I23" s="124"/>
    </row>
    <row r="24" spans="9:9" x14ac:dyDescent="0.25">
      <c r="I24" s="124"/>
    </row>
    <row r="25" spans="9:9" x14ac:dyDescent="0.25">
      <c r="I25" s="124"/>
    </row>
    <row r="26" spans="9:9" x14ac:dyDescent="0.25">
      <c r="I26" s="124"/>
    </row>
    <row r="27" spans="9:9" x14ac:dyDescent="0.25">
      <c r="I27" s="124"/>
    </row>
  </sheetData>
  <pageMargins left="0.7" right="0.7" top="0.75" bottom="0.75" header="0.3" footer="0.3"/>
  <pageSetup paperSize="9" orientation="portrait" horizontalDpi="4294967294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opLeftCell="A19" workbookViewId="0">
      <selection activeCell="H8" sqref="H8"/>
    </sheetView>
  </sheetViews>
  <sheetFormatPr defaultRowHeight="15" x14ac:dyDescent="0.25"/>
  <cols>
    <col min="2" max="2" width="18.5703125" bestFit="1" customWidth="1"/>
    <col min="3" max="3" width="42.5703125" bestFit="1" customWidth="1"/>
    <col min="4" max="4" width="17.42578125" customWidth="1"/>
    <col min="5" max="5" width="18.140625" customWidth="1"/>
    <col min="6" max="6" width="4" customWidth="1"/>
    <col min="7" max="7" width="14.5703125" bestFit="1" customWidth="1"/>
    <col min="8" max="8" width="19.5703125" customWidth="1"/>
    <col min="9" max="9" width="4" customWidth="1"/>
    <col min="10" max="10" width="15.140625" bestFit="1" customWidth="1"/>
    <col min="11" max="11" width="16.42578125" customWidth="1"/>
    <col min="12" max="12" width="17" customWidth="1"/>
    <col min="13" max="13" width="15.5703125" customWidth="1"/>
  </cols>
  <sheetData>
    <row r="1" spans="1:11" x14ac:dyDescent="0.25">
      <c r="A1" s="202" t="s">
        <v>144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x14ac:dyDescent="0.25">
      <c r="F2" s="47"/>
      <c r="G2" s="189" t="s">
        <v>73</v>
      </c>
      <c r="H2" s="189"/>
      <c r="I2" s="47"/>
      <c r="J2" s="189" t="s">
        <v>72</v>
      </c>
      <c r="K2" s="189"/>
    </row>
    <row r="3" spans="1:11" x14ac:dyDescent="0.25">
      <c r="F3" s="47"/>
      <c r="G3" s="45" t="s">
        <v>67</v>
      </c>
      <c r="H3" s="45" t="s">
        <v>47</v>
      </c>
      <c r="I3" s="47"/>
      <c r="J3" s="45" t="s">
        <v>67</v>
      </c>
      <c r="K3" s="45" t="s">
        <v>47</v>
      </c>
    </row>
    <row r="4" spans="1:11" ht="34.5" customHeight="1" x14ac:dyDescent="0.25">
      <c r="D4" s="190" t="s">
        <v>74</v>
      </c>
      <c r="E4" s="191"/>
      <c r="F4" s="47"/>
      <c r="G4" s="46">
        <v>0.3</v>
      </c>
      <c r="H4" s="46">
        <v>0.7</v>
      </c>
      <c r="I4" s="47"/>
      <c r="J4" s="46">
        <v>0.7</v>
      </c>
      <c r="K4" s="46">
        <v>0.3</v>
      </c>
    </row>
    <row r="5" spans="1:11" x14ac:dyDescent="0.25">
      <c r="A5" s="177" t="s">
        <v>51</v>
      </c>
      <c r="B5" s="178" t="s">
        <v>43</v>
      </c>
      <c r="C5" s="27" t="s">
        <v>39</v>
      </c>
      <c r="D5" s="155">
        <v>60</v>
      </c>
      <c r="E5" s="179">
        <f>D5+D6+D7</f>
        <v>438</v>
      </c>
      <c r="F5" s="47"/>
      <c r="G5" s="188">
        <f>(D6+D7)*$G$4</f>
        <v>113.39999999999999</v>
      </c>
      <c r="H5" s="188">
        <f>(D6+D7)*H4</f>
        <v>264.59999999999997</v>
      </c>
      <c r="I5" s="47"/>
      <c r="J5" s="188">
        <f>E5*J4</f>
        <v>306.59999999999997</v>
      </c>
      <c r="K5" s="188">
        <f>E5*K4</f>
        <v>131.4</v>
      </c>
    </row>
    <row r="6" spans="1:11" x14ac:dyDescent="0.25">
      <c r="A6" s="177"/>
      <c r="B6" s="178"/>
      <c r="C6" s="27" t="s">
        <v>40</v>
      </c>
      <c r="D6" s="155">
        <f>'მკურნალობაში ჩართვის ჯგუფები'!E6</f>
        <v>369</v>
      </c>
      <c r="E6" s="179"/>
      <c r="F6" s="47"/>
      <c r="G6" s="188"/>
      <c r="H6" s="188"/>
      <c r="I6" s="47"/>
      <c r="J6" s="188"/>
      <c r="K6" s="188"/>
    </row>
    <row r="7" spans="1:11" x14ac:dyDescent="0.25">
      <c r="A7" s="177"/>
      <c r="B7" s="178"/>
      <c r="C7" s="27" t="s">
        <v>42</v>
      </c>
      <c r="D7" s="155">
        <f>'მკურნალობაში ჩართვის ჯგუფები'!E8</f>
        <v>9</v>
      </c>
      <c r="E7" s="179"/>
      <c r="F7" s="47"/>
      <c r="G7" s="188"/>
      <c r="H7" s="188"/>
      <c r="I7" s="47"/>
      <c r="J7" s="188"/>
      <c r="K7" s="188"/>
    </row>
    <row r="8" spans="1:11" x14ac:dyDescent="0.25">
      <c r="A8" s="177"/>
      <c r="D8" s="159"/>
      <c r="E8" s="36"/>
      <c r="F8" s="47"/>
      <c r="I8" s="47"/>
    </row>
    <row r="9" spans="1:11" x14ac:dyDescent="0.25">
      <c r="A9" s="177"/>
      <c r="B9" s="178" t="s">
        <v>44</v>
      </c>
      <c r="C9" s="27" t="s">
        <v>39</v>
      </c>
      <c r="D9" s="155">
        <v>60</v>
      </c>
      <c r="E9" s="179">
        <f>D9+D10</f>
        <v>429</v>
      </c>
      <c r="F9" s="47"/>
      <c r="G9" s="188">
        <f>D10*G4</f>
        <v>110.7</v>
      </c>
      <c r="H9" s="188">
        <f>D10*H4</f>
        <v>258.3</v>
      </c>
      <c r="I9" s="47"/>
      <c r="J9" s="188">
        <f>E9*J4</f>
        <v>300.29999999999995</v>
      </c>
      <c r="K9" s="188">
        <f>E9*K4</f>
        <v>128.69999999999999</v>
      </c>
    </row>
    <row r="10" spans="1:11" x14ac:dyDescent="0.25">
      <c r="A10" s="177"/>
      <c r="B10" s="178"/>
      <c r="C10" s="27" t="s">
        <v>40</v>
      </c>
      <c r="D10" s="155">
        <f>'მკურნალობაში ჩართვის ჯგუფები'!E6</f>
        <v>369</v>
      </c>
      <c r="E10" s="179"/>
      <c r="F10" s="47"/>
      <c r="G10" s="188"/>
      <c r="H10" s="188"/>
      <c r="I10" s="47"/>
      <c r="J10" s="188"/>
      <c r="K10" s="188"/>
    </row>
    <row r="11" spans="1:11" x14ac:dyDescent="0.25">
      <c r="A11" s="177"/>
      <c r="D11" s="159"/>
      <c r="E11" s="36"/>
      <c r="F11" s="47"/>
      <c r="I11" s="47"/>
    </row>
    <row r="12" spans="1:11" x14ac:dyDescent="0.25">
      <c r="A12" s="177"/>
      <c r="B12" s="178" t="s">
        <v>45</v>
      </c>
      <c r="C12" s="27" t="s">
        <v>39</v>
      </c>
      <c r="D12" s="155">
        <v>60</v>
      </c>
      <c r="E12" s="179">
        <f>D12+D13+D14</f>
        <v>358</v>
      </c>
      <c r="F12" s="47"/>
      <c r="G12" s="188">
        <f>(D13+D14)*G4</f>
        <v>89.399999999999991</v>
      </c>
      <c r="H12" s="188">
        <f>(D13+D14)*H4</f>
        <v>208.6</v>
      </c>
      <c r="I12" s="47"/>
      <c r="J12" s="188">
        <f>E12*J4</f>
        <v>250.6</v>
      </c>
      <c r="K12" s="188">
        <f>E12*K4</f>
        <v>107.39999999999999</v>
      </c>
    </row>
    <row r="13" spans="1:11" x14ac:dyDescent="0.25">
      <c r="A13" s="177"/>
      <c r="B13" s="178"/>
      <c r="C13" s="27" t="s">
        <v>41</v>
      </c>
      <c r="D13" s="155">
        <f>'მკურნალობაში ჩართვის ჯგუფები'!E7</f>
        <v>289</v>
      </c>
      <c r="E13" s="179"/>
      <c r="F13" s="47"/>
      <c r="G13" s="188"/>
      <c r="H13" s="188"/>
      <c r="I13" s="47"/>
      <c r="J13" s="188"/>
      <c r="K13" s="188"/>
    </row>
    <row r="14" spans="1:11" x14ac:dyDescent="0.25">
      <c r="A14" s="177"/>
      <c r="B14" s="178"/>
      <c r="C14" s="27" t="s">
        <v>42</v>
      </c>
      <c r="D14" s="155">
        <f>'მკურნალობაში ჩართვის ჯგუფები'!E8</f>
        <v>9</v>
      </c>
      <c r="E14" s="179"/>
      <c r="F14" s="47"/>
      <c r="G14" s="188"/>
      <c r="H14" s="188"/>
      <c r="I14" s="47"/>
      <c r="J14" s="188"/>
      <c r="K14" s="188"/>
    </row>
    <row r="15" spans="1:11" x14ac:dyDescent="0.25">
      <c r="A15" s="177"/>
      <c r="D15" s="159"/>
      <c r="E15" s="36"/>
      <c r="F15" s="47"/>
      <c r="I15" s="47"/>
    </row>
    <row r="16" spans="1:11" x14ac:dyDescent="0.25">
      <c r="A16" s="177"/>
      <c r="B16" s="178" t="s">
        <v>46</v>
      </c>
      <c r="C16" s="27" t="s">
        <v>39</v>
      </c>
      <c r="D16" s="155">
        <v>60</v>
      </c>
      <c r="E16" s="179">
        <f>D16+D17</f>
        <v>349</v>
      </c>
      <c r="F16" s="47"/>
      <c r="G16" s="188">
        <f>D17*G4</f>
        <v>86.7</v>
      </c>
      <c r="H16" s="188">
        <f>D17*H4</f>
        <v>202.29999999999998</v>
      </c>
      <c r="I16" s="47"/>
      <c r="J16" s="188">
        <f>E16*J4</f>
        <v>244.29999999999998</v>
      </c>
      <c r="K16" s="188">
        <f>E16*K4</f>
        <v>104.7</v>
      </c>
    </row>
    <row r="17" spans="1:11" x14ac:dyDescent="0.25">
      <c r="A17" s="177"/>
      <c r="B17" s="178"/>
      <c r="C17" s="27" t="s">
        <v>41</v>
      </c>
      <c r="D17" s="155">
        <f>'მკურნალობაში ჩართვის ჯგუფები'!E7</f>
        <v>289</v>
      </c>
      <c r="E17" s="179"/>
      <c r="F17" s="47"/>
      <c r="G17" s="188"/>
      <c r="H17" s="188"/>
      <c r="I17" s="47"/>
      <c r="J17" s="188"/>
      <c r="K17" s="188"/>
    </row>
    <row r="18" spans="1:11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</row>
    <row r="19" spans="1:11" x14ac:dyDescent="0.25">
      <c r="A19" s="177" t="s">
        <v>54</v>
      </c>
      <c r="B19" s="178" t="s">
        <v>55</v>
      </c>
      <c r="C19" s="29" t="s">
        <v>33</v>
      </c>
      <c r="D19" s="155">
        <f>'მონიტორინგის კვლევების ჯგუფებიC'!E5</f>
        <v>186</v>
      </c>
      <c r="E19" s="179">
        <f>AVERAGE(D19:D21)</f>
        <v>177</v>
      </c>
      <c r="F19" s="47"/>
      <c r="G19" s="195">
        <f>(E19-D5)*G4</f>
        <v>35.1</v>
      </c>
      <c r="H19" s="195">
        <f>(E19-D5)*H4</f>
        <v>81.899999999999991</v>
      </c>
      <c r="I19" s="47"/>
      <c r="J19" s="195">
        <f>E19*J4</f>
        <v>123.89999999999999</v>
      </c>
      <c r="K19" s="195">
        <f>E19*K4</f>
        <v>53.1</v>
      </c>
    </row>
    <row r="20" spans="1:11" x14ac:dyDescent="0.25">
      <c r="A20" s="177"/>
      <c r="B20" s="178"/>
      <c r="C20" s="29" t="s">
        <v>31</v>
      </c>
      <c r="D20" s="155">
        <f>'მონიტორინგის კვლევების ჯგუფებიC'!E6</f>
        <v>177</v>
      </c>
      <c r="E20" s="179"/>
      <c r="F20" s="47"/>
      <c r="G20" s="196"/>
      <c r="H20" s="196"/>
      <c r="I20" s="47"/>
      <c r="J20" s="196"/>
      <c r="K20" s="196"/>
    </row>
    <row r="21" spans="1:11" x14ac:dyDescent="0.25">
      <c r="A21" s="177"/>
      <c r="B21" s="178"/>
      <c r="C21" s="37" t="s">
        <v>34</v>
      </c>
      <c r="D21" s="155">
        <f>'მონიტორინგის კვლევების ჯგუფებიC'!E7</f>
        <v>168</v>
      </c>
      <c r="E21" s="179"/>
      <c r="F21" s="47"/>
      <c r="G21" s="197"/>
      <c r="H21" s="197"/>
      <c r="I21" s="47"/>
      <c r="J21" s="197"/>
      <c r="K21" s="197"/>
    </row>
    <row r="22" spans="1:11" x14ac:dyDescent="0.25">
      <c r="A22" s="177"/>
      <c r="E22" s="36"/>
      <c r="F22" s="47"/>
      <c r="I22" s="47"/>
    </row>
    <row r="23" spans="1:11" x14ac:dyDescent="0.25">
      <c r="A23" s="177"/>
      <c r="B23" s="178" t="s">
        <v>56</v>
      </c>
      <c r="C23" s="29" t="s">
        <v>35</v>
      </c>
      <c r="D23" s="155">
        <f>'მონიტორინგის კვლევების ჯგუფებიC'!E8</f>
        <v>254</v>
      </c>
      <c r="E23" s="180">
        <f>AVERAGE(D23:D25)</f>
        <v>239</v>
      </c>
      <c r="F23" s="47"/>
      <c r="G23" s="188">
        <f>(E23-D5)*G4</f>
        <v>53.699999999999996</v>
      </c>
      <c r="H23" s="195">
        <f>(E23-D5)*H4</f>
        <v>125.3</v>
      </c>
      <c r="I23" s="47"/>
      <c r="J23" s="188">
        <f>E23*J4</f>
        <v>167.29999999999998</v>
      </c>
      <c r="K23" s="195">
        <f>E23*K4</f>
        <v>71.7</v>
      </c>
    </row>
    <row r="24" spans="1:11" x14ac:dyDescent="0.25">
      <c r="A24" s="177"/>
      <c r="B24" s="178"/>
      <c r="C24" s="29" t="s">
        <v>32</v>
      </c>
      <c r="D24" s="155">
        <f>'მონიტორინგის კვლევების ჯგუფებიC'!E9</f>
        <v>236</v>
      </c>
      <c r="E24" s="181"/>
      <c r="F24" s="47"/>
      <c r="G24" s="188"/>
      <c r="H24" s="196"/>
      <c r="I24" s="47"/>
      <c r="J24" s="188"/>
      <c r="K24" s="196"/>
    </row>
    <row r="25" spans="1:11" x14ac:dyDescent="0.25">
      <c r="A25" s="177"/>
      <c r="B25" s="178"/>
      <c r="C25" s="37" t="s">
        <v>36</v>
      </c>
      <c r="D25" s="155">
        <f>'მონიტორინგის კვლევების ჯგუფებიC'!E10</f>
        <v>227</v>
      </c>
      <c r="E25" s="182"/>
      <c r="F25" s="47"/>
      <c r="G25" s="188"/>
      <c r="H25" s="197"/>
      <c r="I25" s="47"/>
      <c r="J25" s="188"/>
      <c r="K25" s="197"/>
    </row>
    <row r="26" spans="1:11" x14ac:dyDescent="0.25">
      <c r="A26" s="177"/>
      <c r="E26" s="36"/>
      <c r="F26" s="47"/>
      <c r="I26" s="47"/>
    </row>
    <row r="27" spans="1:11" x14ac:dyDescent="0.25">
      <c r="A27" s="177"/>
      <c r="B27" s="158" t="s">
        <v>57</v>
      </c>
      <c r="C27" s="27" t="s">
        <v>53</v>
      </c>
      <c r="D27" s="38">
        <f>'მონიტორინგის კვლევების ჯგუფები'!E11</f>
        <v>130</v>
      </c>
      <c r="E27" s="156">
        <v>130</v>
      </c>
      <c r="F27" s="47"/>
      <c r="G27" s="155">
        <v>0</v>
      </c>
      <c r="H27" s="155">
        <v>0</v>
      </c>
      <c r="I27" s="47"/>
      <c r="J27" s="155">
        <f>E27</f>
        <v>130</v>
      </c>
      <c r="K27" s="155">
        <f>E27</f>
        <v>130</v>
      </c>
    </row>
    <row r="28" spans="1:11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5">
      <c r="A29" s="199" t="s">
        <v>66</v>
      </c>
      <c r="B29" s="178" t="s">
        <v>48</v>
      </c>
      <c r="C29" s="27" t="s">
        <v>58</v>
      </c>
      <c r="D29" s="155">
        <f>E5+E19+E27</f>
        <v>745</v>
      </c>
      <c r="E29" s="179">
        <f>AVERAGE(D29:D30)</f>
        <v>740.5</v>
      </c>
      <c r="F29" s="47"/>
      <c r="G29" s="188">
        <f>(E29-D5-E27)*G4</f>
        <v>165.15</v>
      </c>
      <c r="H29" s="188">
        <f>(E29-D5-E27)*H4</f>
        <v>385.34999999999997</v>
      </c>
      <c r="I29" s="47"/>
      <c r="J29" s="188">
        <f>(E29-E27)*J4+E27</f>
        <v>557.34999999999991</v>
      </c>
      <c r="K29" s="188">
        <f>(E29-E27)*K4+E27</f>
        <v>313.14999999999998</v>
      </c>
    </row>
    <row r="30" spans="1:11" x14ac:dyDescent="0.25">
      <c r="A30" s="200"/>
      <c r="B30" s="178"/>
      <c r="C30" s="27" t="s">
        <v>60</v>
      </c>
      <c r="D30" s="155">
        <f>E9+E19+E27</f>
        <v>736</v>
      </c>
      <c r="E30" s="179"/>
      <c r="F30" s="47"/>
      <c r="G30" s="188"/>
      <c r="H30" s="188"/>
      <c r="I30" s="47"/>
      <c r="J30" s="188"/>
      <c r="K30" s="188"/>
    </row>
    <row r="31" spans="1:11" x14ac:dyDescent="0.25">
      <c r="A31" s="200"/>
      <c r="B31" s="36"/>
      <c r="D31" s="159"/>
      <c r="E31" s="36"/>
      <c r="F31" s="47"/>
      <c r="I31" s="47"/>
    </row>
    <row r="32" spans="1:11" x14ac:dyDescent="0.25">
      <c r="A32" s="200"/>
      <c r="B32" s="178" t="s">
        <v>49</v>
      </c>
      <c r="C32" s="27" t="s">
        <v>59</v>
      </c>
      <c r="D32" s="155">
        <f>E5+E23+E27</f>
        <v>807</v>
      </c>
      <c r="E32" s="179">
        <f>AVERAGE(D32:D33)</f>
        <v>802.5</v>
      </c>
      <c r="F32" s="47"/>
      <c r="G32" s="188">
        <f>(E32-D9-E27)*G4</f>
        <v>183.75</v>
      </c>
      <c r="H32" s="188">
        <f>(E32-D9-E27)*H4</f>
        <v>428.75</v>
      </c>
      <c r="I32" s="47"/>
      <c r="J32" s="188">
        <f>(E32-E27)*J4+E27</f>
        <v>600.75</v>
      </c>
      <c r="K32" s="188">
        <f>(E32-E27)*K4+E27</f>
        <v>331.75</v>
      </c>
    </row>
    <row r="33" spans="1:12" x14ac:dyDescent="0.25">
      <c r="A33" s="200"/>
      <c r="B33" s="178"/>
      <c r="C33" s="27" t="s">
        <v>61</v>
      </c>
      <c r="D33" s="155">
        <f>E9+E23+E27</f>
        <v>798</v>
      </c>
      <c r="E33" s="179"/>
      <c r="F33" s="47"/>
      <c r="G33" s="188"/>
      <c r="H33" s="188"/>
      <c r="I33" s="47"/>
      <c r="J33" s="188"/>
      <c r="K33" s="188"/>
    </row>
    <row r="34" spans="1:12" x14ac:dyDescent="0.25">
      <c r="A34" s="200"/>
      <c r="B34" s="36"/>
      <c r="D34" s="159"/>
      <c r="E34" s="36"/>
      <c r="F34" s="47"/>
      <c r="I34" s="47"/>
    </row>
    <row r="35" spans="1:12" x14ac:dyDescent="0.25">
      <c r="A35" s="200"/>
      <c r="B35" s="178" t="s">
        <v>52</v>
      </c>
      <c r="C35" s="27" t="s">
        <v>62</v>
      </c>
      <c r="D35" s="155">
        <f>E12+E19+E27</f>
        <v>665</v>
      </c>
      <c r="E35" s="179">
        <f>AVERAGE(D35:D36)</f>
        <v>660.5</v>
      </c>
      <c r="F35" s="47"/>
      <c r="G35" s="188">
        <f>(E35-D9-E27)*G4</f>
        <v>141.15</v>
      </c>
      <c r="H35" s="188">
        <f>(E35-D9-E27)*H4</f>
        <v>329.34999999999997</v>
      </c>
      <c r="I35" s="47"/>
      <c r="J35" s="188">
        <f>(E35-E27)*J4+E27</f>
        <v>501.34999999999997</v>
      </c>
      <c r="K35" s="188">
        <f>(E35-E27)*K4+E27</f>
        <v>289.14999999999998</v>
      </c>
    </row>
    <row r="36" spans="1:12" x14ac:dyDescent="0.25">
      <c r="A36" s="200"/>
      <c r="B36" s="178"/>
      <c r="C36" s="27" t="s">
        <v>64</v>
      </c>
      <c r="D36" s="155">
        <f>E16+E19+E27</f>
        <v>656</v>
      </c>
      <c r="E36" s="179"/>
      <c r="F36" s="47"/>
      <c r="G36" s="188"/>
      <c r="H36" s="188"/>
      <c r="I36" s="47"/>
      <c r="J36" s="188"/>
      <c r="K36" s="188"/>
    </row>
    <row r="37" spans="1:12" x14ac:dyDescent="0.25">
      <c r="A37" s="200"/>
      <c r="B37" s="36"/>
      <c r="D37" s="159"/>
      <c r="E37" s="36"/>
      <c r="F37" s="47"/>
      <c r="I37" s="47"/>
    </row>
    <row r="38" spans="1:12" x14ac:dyDescent="0.25">
      <c r="A38" s="200"/>
      <c r="B38" s="183" t="s">
        <v>50</v>
      </c>
      <c r="C38" s="27" t="s">
        <v>63</v>
      </c>
      <c r="D38" s="155">
        <f>E12+E23+E27</f>
        <v>727</v>
      </c>
      <c r="E38" s="179">
        <f>AVERAGE(D38:D39)</f>
        <v>722.5</v>
      </c>
      <c r="F38" s="47"/>
      <c r="G38" s="188">
        <f>(E38-D16-E27)*G4</f>
        <v>159.75</v>
      </c>
      <c r="H38" s="188">
        <f>(E38-D16-E27)*H4</f>
        <v>372.75</v>
      </c>
      <c r="I38" s="47"/>
      <c r="J38" s="188">
        <f>(E38-E27)*J4+E27</f>
        <v>544.75</v>
      </c>
      <c r="K38" s="188">
        <f>(E38-E27)*K4+E27</f>
        <v>307.75</v>
      </c>
    </row>
    <row r="39" spans="1:12" x14ac:dyDescent="0.25">
      <c r="A39" s="201"/>
      <c r="B39" s="184"/>
      <c r="C39" s="27" t="s">
        <v>65</v>
      </c>
      <c r="D39" s="155">
        <f>E16+E23+E27</f>
        <v>718</v>
      </c>
      <c r="E39" s="179"/>
      <c r="F39" s="47"/>
      <c r="G39" s="188"/>
      <c r="H39" s="188"/>
      <c r="I39" s="47"/>
      <c r="J39" s="188"/>
      <c r="K39" s="188"/>
    </row>
    <row r="40" spans="1:12" x14ac:dyDescent="0.25">
      <c r="A40" s="48"/>
      <c r="B40" s="49"/>
      <c r="C40" s="50"/>
      <c r="D40" s="51"/>
      <c r="E40" s="49"/>
      <c r="F40" s="47"/>
      <c r="G40" s="51"/>
      <c r="H40" s="51"/>
      <c r="I40" s="47"/>
      <c r="J40" s="47"/>
      <c r="K40" s="47"/>
    </row>
    <row r="41" spans="1:12" x14ac:dyDescent="0.25">
      <c r="F41" s="47"/>
      <c r="G41" s="185" t="s">
        <v>75</v>
      </c>
      <c r="H41" s="185"/>
      <c r="I41" s="47"/>
      <c r="J41" s="185" t="s">
        <v>76</v>
      </c>
      <c r="K41" s="185"/>
    </row>
    <row r="42" spans="1:12" ht="13.5" customHeight="1" x14ac:dyDescent="0.25">
      <c r="F42" s="47"/>
      <c r="G42" s="157" t="s">
        <v>67</v>
      </c>
      <c r="H42" s="157" t="s">
        <v>47</v>
      </c>
      <c r="I42" s="47"/>
      <c r="J42" s="157" t="s">
        <v>67</v>
      </c>
      <c r="K42" s="157" t="s">
        <v>47</v>
      </c>
    </row>
    <row r="43" spans="1:12" ht="21" customHeight="1" x14ac:dyDescent="0.25">
      <c r="A43" s="198" t="s">
        <v>66</v>
      </c>
      <c r="B43" s="155" t="s">
        <v>48</v>
      </c>
      <c r="C43" s="186" t="s">
        <v>68</v>
      </c>
      <c r="D43" s="187"/>
      <c r="E43" s="155">
        <f>AVERAGE(E29,E35)</f>
        <v>700.5</v>
      </c>
      <c r="F43" s="47"/>
      <c r="G43" s="155">
        <f>(E43-D9-E27)*G4</f>
        <v>153.15</v>
      </c>
      <c r="H43" s="155">
        <f>(E43-D16-E27)*H4</f>
        <v>357.34999999999997</v>
      </c>
      <c r="I43" s="47"/>
      <c r="J43" s="155">
        <f>E43-G43</f>
        <v>547.35</v>
      </c>
      <c r="K43" s="155">
        <f>E43-H43</f>
        <v>343.15000000000003</v>
      </c>
    </row>
    <row r="44" spans="1:12" ht="29.25" customHeight="1" x14ac:dyDescent="0.25">
      <c r="A44" s="198"/>
      <c r="B44" s="155" t="s">
        <v>49</v>
      </c>
      <c r="C44" s="186" t="s">
        <v>69</v>
      </c>
      <c r="D44" s="187"/>
      <c r="E44" s="155">
        <f>AVERAGE(E32,E38)</f>
        <v>762.5</v>
      </c>
      <c r="F44" s="47"/>
      <c r="G44" s="155">
        <f>(E44-D16-E27)*G4</f>
        <v>171.75</v>
      </c>
      <c r="H44" s="155">
        <f>(E44-D16-E27)*H4</f>
        <v>400.75</v>
      </c>
      <c r="I44" s="47"/>
      <c r="J44" s="155">
        <f>E44-G44</f>
        <v>590.75</v>
      </c>
      <c r="K44" s="155">
        <f>E44-H44</f>
        <v>361.75</v>
      </c>
    </row>
    <row r="45" spans="1:12" x14ac:dyDescent="0.25">
      <c r="A45" s="48"/>
      <c r="B45" s="49"/>
      <c r="C45" s="50"/>
      <c r="D45" s="51"/>
      <c r="E45" s="49"/>
      <c r="F45" s="47"/>
      <c r="G45" s="51"/>
      <c r="H45" s="51"/>
      <c r="I45" s="47"/>
      <c r="J45" s="47"/>
      <c r="K45" s="47"/>
    </row>
    <row r="46" spans="1:12" x14ac:dyDescent="0.25">
      <c r="A46" s="192" t="s">
        <v>77</v>
      </c>
      <c r="B46" s="27"/>
      <c r="C46" s="42" t="s">
        <v>79</v>
      </c>
      <c r="D46" s="52" t="s">
        <v>67</v>
      </c>
      <c r="E46" s="42" t="s">
        <v>47</v>
      </c>
    </row>
    <row r="47" spans="1:12" ht="23.25" x14ac:dyDescent="0.25">
      <c r="A47" s="193"/>
      <c r="B47" s="53" t="s">
        <v>70</v>
      </c>
      <c r="C47" s="155">
        <v>6000</v>
      </c>
      <c r="D47" s="155">
        <f>C47*10%</f>
        <v>600</v>
      </c>
      <c r="E47" s="155">
        <f>C47*90%</f>
        <v>5400</v>
      </c>
    </row>
    <row r="48" spans="1:12" ht="21" customHeight="1" x14ac:dyDescent="0.25">
      <c r="A48" s="193"/>
      <c r="B48" s="53" t="s">
        <v>68</v>
      </c>
      <c r="C48" s="155">
        <f>C47*90%</f>
        <v>5400</v>
      </c>
      <c r="D48" s="155">
        <f>D47*90%</f>
        <v>540</v>
      </c>
      <c r="E48" s="155">
        <f>E47*90%</f>
        <v>4860</v>
      </c>
      <c r="L48" s="31"/>
    </row>
    <row r="49" spans="1:12" ht="34.5" x14ac:dyDescent="0.25">
      <c r="A49" s="194"/>
      <c r="B49" s="53" t="s">
        <v>69</v>
      </c>
      <c r="C49" s="155">
        <f>C47*10%</f>
        <v>600</v>
      </c>
      <c r="D49" s="155">
        <f>D47*10%</f>
        <v>60</v>
      </c>
      <c r="E49" s="155">
        <f>E47*10%</f>
        <v>540</v>
      </c>
      <c r="K49" s="31"/>
      <c r="L49" s="31"/>
    </row>
    <row r="50" spans="1:12" x14ac:dyDescent="0.25">
      <c r="A50" s="47"/>
      <c r="B50" s="47"/>
      <c r="C50" s="47"/>
      <c r="D50" s="47"/>
      <c r="E50" s="47"/>
    </row>
    <row r="51" spans="1:12" x14ac:dyDescent="0.25">
      <c r="A51" s="177" t="s">
        <v>78</v>
      </c>
      <c r="C51" s="42" t="s">
        <v>109</v>
      </c>
      <c r="D51" s="52" t="s">
        <v>67</v>
      </c>
      <c r="E51" s="42" t="s">
        <v>47</v>
      </c>
      <c r="J51" s="31"/>
      <c r="L51" s="32"/>
    </row>
    <row r="52" spans="1:12" ht="34.5" x14ac:dyDescent="0.25">
      <c r="A52" s="177"/>
      <c r="B52" s="74" t="s">
        <v>68</v>
      </c>
      <c r="C52" s="43">
        <f>D52+E52</f>
        <v>1819421.9999999998</v>
      </c>
      <c r="D52" s="44">
        <f>D48*G43</f>
        <v>82701</v>
      </c>
      <c r="E52" s="44">
        <f>E48*H43</f>
        <v>1736720.9999999998</v>
      </c>
    </row>
    <row r="53" spans="1:12" ht="34.5" x14ac:dyDescent="0.25">
      <c r="A53" s="177"/>
      <c r="B53" s="74" t="s">
        <v>69</v>
      </c>
      <c r="C53" s="43">
        <f>D53+E53</f>
        <v>226710</v>
      </c>
      <c r="D53" s="44">
        <f>D49*G44</f>
        <v>10305</v>
      </c>
      <c r="E53" s="44">
        <f>E49*H44</f>
        <v>216405</v>
      </c>
    </row>
    <row r="54" spans="1:12" x14ac:dyDescent="0.25">
      <c r="A54" s="177"/>
      <c r="B54" s="75" t="s">
        <v>71</v>
      </c>
      <c r="C54" s="54">
        <f>C52+C53</f>
        <v>2046131.9999999998</v>
      </c>
      <c r="D54" s="43">
        <f>D52+D53</f>
        <v>93006</v>
      </c>
      <c r="E54" s="43">
        <f>E52+E53</f>
        <v>1953125.9999999998</v>
      </c>
      <c r="L54" s="31"/>
    </row>
    <row r="55" spans="1:12" x14ac:dyDescent="0.25">
      <c r="A55" s="47"/>
      <c r="B55" s="47"/>
      <c r="C55" s="47"/>
      <c r="D55" s="47"/>
      <c r="E55" s="47"/>
    </row>
    <row r="56" spans="1:12" x14ac:dyDescent="0.25">
      <c r="A56" s="177" t="s">
        <v>80</v>
      </c>
      <c r="C56" s="42" t="s">
        <v>109</v>
      </c>
      <c r="D56" s="52" t="s">
        <v>67</v>
      </c>
      <c r="E56" s="42" t="s">
        <v>47</v>
      </c>
    </row>
    <row r="57" spans="1:12" ht="34.5" x14ac:dyDescent="0.25">
      <c r="A57" s="177"/>
      <c r="B57" s="74" t="s">
        <v>68</v>
      </c>
      <c r="C57" s="43">
        <f>D57+E57</f>
        <v>1963278.0000000002</v>
      </c>
      <c r="D57" s="44">
        <f>D48*J43</f>
        <v>295569</v>
      </c>
      <c r="E57" s="44">
        <f>E48*K43</f>
        <v>1667709.0000000002</v>
      </c>
    </row>
    <row r="58" spans="1:12" ht="34.5" x14ac:dyDescent="0.25">
      <c r="A58" s="177"/>
      <c r="B58" s="74" t="s">
        <v>69</v>
      </c>
      <c r="C58" s="43">
        <f>D58+E58</f>
        <v>230790</v>
      </c>
      <c r="D58" s="44">
        <f>D49*J44</f>
        <v>35445</v>
      </c>
      <c r="E58" s="44">
        <f>E49*K44</f>
        <v>195345</v>
      </c>
    </row>
    <row r="59" spans="1:12" ht="23.25" x14ac:dyDescent="0.25">
      <c r="A59" s="177"/>
      <c r="B59" s="75" t="s">
        <v>99</v>
      </c>
      <c r="C59" s="54">
        <f>C57+C58</f>
        <v>2194068</v>
      </c>
      <c r="D59" s="43">
        <f>D57+D58</f>
        <v>331014</v>
      </c>
      <c r="E59" s="43">
        <f>E57+E58</f>
        <v>1863054.0000000002</v>
      </c>
    </row>
    <row r="60" spans="1:12" x14ac:dyDescent="0.25">
      <c r="A60" s="177"/>
      <c r="B60" s="75"/>
      <c r="C60" s="54"/>
      <c r="D60" s="43"/>
      <c r="E60" s="43"/>
    </row>
    <row r="61" spans="1:12" ht="23.25" x14ac:dyDescent="0.25">
      <c r="A61" s="177"/>
      <c r="B61" s="75" t="s">
        <v>100</v>
      </c>
      <c r="C61" s="54">
        <f>C47*50</f>
        <v>300000</v>
      </c>
      <c r="D61" s="43"/>
      <c r="E61" s="43"/>
      <c r="H61" s="33"/>
    </row>
    <row r="62" spans="1:12" ht="15.75" x14ac:dyDescent="0.25">
      <c r="A62" s="177"/>
      <c r="B62" s="75" t="s">
        <v>71</v>
      </c>
      <c r="C62" s="86">
        <f>C59+C61</f>
        <v>2494068</v>
      </c>
      <c r="D62" s="43"/>
      <c r="E62" s="43"/>
      <c r="G62" s="33"/>
      <c r="H62" s="95">
        <v>1665000</v>
      </c>
      <c r="J62" s="95"/>
    </row>
    <row r="63" spans="1:12" x14ac:dyDescent="0.25">
      <c r="A63" s="47"/>
      <c r="B63" s="47"/>
      <c r="C63" s="47"/>
      <c r="D63" s="47"/>
      <c r="E63" s="47"/>
      <c r="G63" s="33"/>
      <c r="H63" s="33">
        <f>C62-H62</f>
        <v>829068</v>
      </c>
    </row>
    <row r="64" spans="1:12" x14ac:dyDescent="0.25">
      <c r="H64" s="33">
        <f>H63-240000</f>
        <v>589068</v>
      </c>
    </row>
    <row r="65" spans="2:8" ht="34.5" x14ac:dyDescent="0.25">
      <c r="B65" s="73" t="s">
        <v>137</v>
      </c>
      <c r="C65">
        <f>32000-25000</f>
        <v>7000</v>
      </c>
      <c r="D65">
        <v>60</v>
      </c>
      <c r="E65">
        <f>C65*D65</f>
        <v>420000</v>
      </c>
      <c r="G65" s="33"/>
      <c r="H65" s="33"/>
    </row>
    <row r="66" spans="2:8" x14ac:dyDescent="0.25">
      <c r="G66" s="33"/>
    </row>
    <row r="67" spans="2:8" ht="18.75" x14ac:dyDescent="0.3">
      <c r="B67" s="55" t="s">
        <v>81</v>
      </c>
      <c r="C67" s="56">
        <f>C54+C62</f>
        <v>4540200</v>
      </c>
    </row>
  </sheetData>
  <mergeCells count="75">
    <mergeCell ref="A51:A54"/>
    <mergeCell ref="A56:A62"/>
    <mergeCell ref="G41:H41"/>
    <mergeCell ref="J41:K41"/>
    <mergeCell ref="A43:A44"/>
    <mergeCell ref="C43:D43"/>
    <mergeCell ref="C44:D44"/>
    <mergeCell ref="A46:A49"/>
    <mergeCell ref="J35:J36"/>
    <mergeCell ref="K35:K36"/>
    <mergeCell ref="B38:B39"/>
    <mergeCell ref="E38:E39"/>
    <mergeCell ref="G38:G39"/>
    <mergeCell ref="H38:H39"/>
    <mergeCell ref="J38:J39"/>
    <mergeCell ref="K38:K39"/>
    <mergeCell ref="K29:K30"/>
    <mergeCell ref="B32:B33"/>
    <mergeCell ref="E32:E33"/>
    <mergeCell ref="G32:G33"/>
    <mergeCell ref="H32:H33"/>
    <mergeCell ref="J32:J33"/>
    <mergeCell ref="K32:K33"/>
    <mergeCell ref="J29:J30"/>
    <mergeCell ref="A29:A39"/>
    <mergeCell ref="B29:B30"/>
    <mergeCell ref="E29:E30"/>
    <mergeCell ref="G29:G30"/>
    <mergeCell ref="H29:H30"/>
    <mergeCell ref="B35:B36"/>
    <mergeCell ref="E35:E36"/>
    <mergeCell ref="G35:G36"/>
    <mergeCell ref="H35:H36"/>
    <mergeCell ref="K19:K21"/>
    <mergeCell ref="B23:B25"/>
    <mergeCell ref="E23:E25"/>
    <mergeCell ref="G23:G25"/>
    <mergeCell ref="H23:H25"/>
    <mergeCell ref="J23:J25"/>
    <mergeCell ref="K23:K25"/>
    <mergeCell ref="J19:J21"/>
    <mergeCell ref="A19:A27"/>
    <mergeCell ref="B19:B21"/>
    <mergeCell ref="E19:E21"/>
    <mergeCell ref="G19:G21"/>
    <mergeCell ref="H19:H21"/>
    <mergeCell ref="K9:K10"/>
    <mergeCell ref="K16:K17"/>
    <mergeCell ref="B12:B14"/>
    <mergeCell ref="E12:E14"/>
    <mergeCell ref="G12:G14"/>
    <mergeCell ref="H12:H14"/>
    <mergeCell ref="J12:J14"/>
    <mergeCell ref="K12:K14"/>
    <mergeCell ref="B16:B17"/>
    <mergeCell ref="E16:E17"/>
    <mergeCell ref="G16:G17"/>
    <mergeCell ref="H16:H17"/>
    <mergeCell ref="J16:J17"/>
    <mergeCell ref="A1:K1"/>
    <mergeCell ref="G2:H2"/>
    <mergeCell ref="J2:K2"/>
    <mergeCell ref="D4:E4"/>
    <mergeCell ref="A5:A17"/>
    <mergeCell ref="B5:B7"/>
    <mergeCell ref="E5:E7"/>
    <mergeCell ref="G5:G7"/>
    <mergeCell ref="H5:H7"/>
    <mergeCell ref="J5:J7"/>
    <mergeCell ref="K5:K7"/>
    <mergeCell ref="B9:B10"/>
    <mergeCell ref="E9:E10"/>
    <mergeCell ref="G9:G10"/>
    <mergeCell ref="H9:H10"/>
    <mergeCell ref="J9:J10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C21" sqref="C21"/>
    </sheetView>
  </sheetViews>
  <sheetFormatPr defaultRowHeight="15" x14ac:dyDescent="0.25"/>
  <cols>
    <col min="2" max="2" width="18.5703125" bestFit="1" customWidth="1"/>
    <col min="3" max="3" width="42.5703125" bestFit="1" customWidth="1"/>
    <col min="4" max="4" width="17.42578125" customWidth="1"/>
    <col min="5" max="5" width="18.140625" customWidth="1"/>
    <col min="6" max="6" width="4" customWidth="1"/>
    <col min="7" max="7" width="14.5703125" bestFit="1" customWidth="1"/>
    <col min="8" max="8" width="10.42578125" customWidth="1"/>
    <col min="9" max="9" width="4" customWidth="1"/>
    <col min="10" max="10" width="14.5703125" bestFit="1" customWidth="1"/>
    <col min="11" max="11" width="10" customWidth="1"/>
    <col min="12" max="12" width="17" customWidth="1"/>
    <col min="13" max="13" width="15.5703125" customWidth="1"/>
  </cols>
  <sheetData>
    <row r="1" spans="1:11" x14ac:dyDescent="0.25">
      <c r="A1" s="202" t="s">
        <v>82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x14ac:dyDescent="0.25">
      <c r="F2" s="47"/>
      <c r="G2" s="189" t="s">
        <v>73</v>
      </c>
      <c r="H2" s="189"/>
      <c r="I2" s="47"/>
      <c r="J2" s="189" t="s">
        <v>72</v>
      </c>
      <c r="K2" s="189"/>
    </row>
    <row r="3" spans="1:11" x14ac:dyDescent="0.25">
      <c r="F3" s="47"/>
      <c r="G3" s="45" t="s">
        <v>67</v>
      </c>
      <c r="H3" s="45" t="s">
        <v>47</v>
      </c>
      <c r="I3" s="47"/>
      <c r="J3" s="45" t="s">
        <v>67</v>
      </c>
      <c r="K3" s="45" t="s">
        <v>47</v>
      </c>
    </row>
    <row r="4" spans="1:11" ht="34.5" customHeight="1" x14ac:dyDescent="0.25">
      <c r="D4" s="190" t="s">
        <v>74</v>
      </c>
      <c r="E4" s="191"/>
      <c r="F4" s="47"/>
      <c r="G4" s="46">
        <v>0</v>
      </c>
      <c r="H4" s="46">
        <v>0</v>
      </c>
      <c r="I4" s="47"/>
      <c r="J4" s="46">
        <v>1</v>
      </c>
      <c r="K4" s="46">
        <v>1</v>
      </c>
    </row>
    <row r="5" spans="1:11" x14ac:dyDescent="0.25">
      <c r="A5" s="177" t="s">
        <v>51</v>
      </c>
      <c r="B5" s="178" t="s">
        <v>43</v>
      </c>
      <c r="C5" s="27" t="s">
        <v>39</v>
      </c>
      <c r="D5" s="160">
        <v>110</v>
      </c>
      <c r="E5" s="179">
        <f>D5+D6+D7</f>
        <v>488</v>
      </c>
      <c r="F5" s="47"/>
      <c r="G5" s="188">
        <f>E5*$G$4</f>
        <v>0</v>
      </c>
      <c r="H5" s="188">
        <f>E5*H4</f>
        <v>0</v>
      </c>
      <c r="I5" s="47"/>
      <c r="J5" s="188">
        <f>E5*J4</f>
        <v>488</v>
      </c>
      <c r="K5" s="188">
        <f>E5*K4</f>
        <v>488</v>
      </c>
    </row>
    <row r="6" spans="1:11" x14ac:dyDescent="0.25">
      <c r="A6" s="177"/>
      <c r="B6" s="178"/>
      <c r="C6" s="27" t="s">
        <v>40</v>
      </c>
      <c r="D6" s="160">
        <f>'მკურნალობაში ჩართვის ჯგუფები'!E6</f>
        <v>369</v>
      </c>
      <c r="E6" s="179"/>
      <c r="F6" s="47"/>
      <c r="G6" s="188"/>
      <c r="H6" s="188"/>
      <c r="I6" s="47"/>
      <c r="J6" s="188"/>
      <c r="K6" s="188"/>
    </row>
    <row r="7" spans="1:11" x14ac:dyDescent="0.25">
      <c r="A7" s="177"/>
      <c r="B7" s="178"/>
      <c r="C7" s="27" t="s">
        <v>42</v>
      </c>
      <c r="D7" s="160">
        <f>'მკურნალობაში ჩართვის ჯგუფები'!E8</f>
        <v>9</v>
      </c>
      <c r="E7" s="179"/>
      <c r="F7" s="47"/>
      <c r="G7" s="188"/>
      <c r="H7" s="188"/>
      <c r="I7" s="47"/>
      <c r="J7" s="188"/>
      <c r="K7" s="188"/>
    </row>
    <row r="8" spans="1:11" x14ac:dyDescent="0.25">
      <c r="A8" s="177"/>
      <c r="D8" s="161"/>
      <c r="E8" s="36"/>
      <c r="F8" s="47"/>
      <c r="I8" s="47"/>
    </row>
    <row r="9" spans="1:11" x14ac:dyDescent="0.25">
      <c r="A9" s="177"/>
      <c r="B9" s="178" t="s">
        <v>44</v>
      </c>
      <c r="C9" s="27" t="s">
        <v>39</v>
      </c>
      <c r="D9" s="160">
        <v>110</v>
      </c>
      <c r="E9" s="179">
        <f>D9+D10</f>
        <v>479</v>
      </c>
      <c r="F9" s="47"/>
      <c r="G9" s="188">
        <f>E9*G4</f>
        <v>0</v>
      </c>
      <c r="H9" s="188">
        <f>E9*H4</f>
        <v>0</v>
      </c>
      <c r="I9" s="47"/>
      <c r="J9" s="188">
        <f>E9*J4</f>
        <v>479</v>
      </c>
      <c r="K9" s="188">
        <f>E9*K4</f>
        <v>479</v>
      </c>
    </row>
    <row r="10" spans="1:11" x14ac:dyDescent="0.25">
      <c r="A10" s="177"/>
      <c r="B10" s="178"/>
      <c r="C10" s="27" t="s">
        <v>40</v>
      </c>
      <c r="D10" s="160">
        <f>'მკურნალობაში ჩართვის ჯგუფები'!E6</f>
        <v>369</v>
      </c>
      <c r="E10" s="179"/>
      <c r="F10" s="47"/>
      <c r="G10" s="188"/>
      <c r="H10" s="188"/>
      <c r="I10" s="47"/>
      <c r="J10" s="188"/>
      <c r="K10" s="188"/>
    </row>
    <row r="11" spans="1:11" x14ac:dyDescent="0.25">
      <c r="A11" s="177"/>
      <c r="D11" s="161"/>
      <c r="E11" s="36"/>
      <c r="F11" s="47"/>
      <c r="I11" s="47"/>
    </row>
    <row r="12" spans="1:11" x14ac:dyDescent="0.25">
      <c r="A12" s="177"/>
      <c r="B12" s="178" t="s">
        <v>45</v>
      </c>
      <c r="C12" s="27" t="s">
        <v>39</v>
      </c>
      <c r="D12" s="160">
        <v>110</v>
      </c>
      <c r="E12" s="179">
        <f>D12+D13+D14</f>
        <v>408</v>
      </c>
      <c r="F12" s="47"/>
      <c r="G12" s="188">
        <f>E12*G4</f>
        <v>0</v>
      </c>
      <c r="H12" s="188">
        <f>E12*H4</f>
        <v>0</v>
      </c>
      <c r="I12" s="47"/>
      <c r="J12" s="188">
        <f>E12*J4</f>
        <v>408</v>
      </c>
      <c r="K12" s="188">
        <f>E12*K4</f>
        <v>408</v>
      </c>
    </row>
    <row r="13" spans="1:11" x14ac:dyDescent="0.25">
      <c r="A13" s="177"/>
      <c r="B13" s="178"/>
      <c r="C13" s="27" t="s">
        <v>41</v>
      </c>
      <c r="D13" s="160">
        <f>'მკურნალობაში ჩართვის ჯგუფები'!E7</f>
        <v>289</v>
      </c>
      <c r="E13" s="179"/>
      <c r="F13" s="47"/>
      <c r="G13" s="188"/>
      <c r="H13" s="188"/>
      <c r="I13" s="47"/>
      <c r="J13" s="188"/>
      <c r="K13" s="188"/>
    </row>
    <row r="14" spans="1:11" x14ac:dyDescent="0.25">
      <c r="A14" s="177"/>
      <c r="B14" s="178"/>
      <c r="C14" s="27" t="s">
        <v>42</v>
      </c>
      <c r="D14" s="160">
        <f>'მკურნალობაში ჩართვის ჯგუფები'!E8</f>
        <v>9</v>
      </c>
      <c r="E14" s="179"/>
      <c r="F14" s="47"/>
      <c r="G14" s="188"/>
      <c r="H14" s="188"/>
      <c r="I14" s="47"/>
      <c r="J14" s="188"/>
      <c r="K14" s="188"/>
    </row>
    <row r="15" spans="1:11" x14ac:dyDescent="0.25">
      <c r="A15" s="177"/>
      <c r="D15" s="161"/>
      <c r="E15" s="36"/>
      <c r="F15" s="47"/>
      <c r="I15" s="47"/>
    </row>
    <row r="16" spans="1:11" x14ac:dyDescent="0.25">
      <c r="A16" s="177"/>
      <c r="B16" s="178" t="s">
        <v>46</v>
      </c>
      <c r="C16" s="27" t="s">
        <v>39</v>
      </c>
      <c r="D16" s="160">
        <v>110</v>
      </c>
      <c r="E16" s="179">
        <f>D16+D17</f>
        <v>399</v>
      </c>
      <c r="F16" s="47"/>
      <c r="G16" s="188">
        <f>E16*G4</f>
        <v>0</v>
      </c>
      <c r="H16" s="188">
        <f>E16*H4</f>
        <v>0</v>
      </c>
      <c r="I16" s="47"/>
      <c r="J16" s="188">
        <f>E16*J4</f>
        <v>399</v>
      </c>
      <c r="K16" s="188">
        <f>E16*K4</f>
        <v>399</v>
      </c>
    </row>
    <row r="17" spans="1:11" x14ac:dyDescent="0.25">
      <c r="A17" s="177"/>
      <c r="B17" s="178"/>
      <c r="C17" s="27" t="s">
        <v>41</v>
      </c>
      <c r="D17" s="160">
        <f>'მკურნალობაში ჩართვის ჯგუფები'!E7</f>
        <v>289</v>
      </c>
      <c r="E17" s="179"/>
      <c r="F17" s="47"/>
      <c r="G17" s="188"/>
      <c r="H17" s="188"/>
      <c r="I17" s="47"/>
      <c r="J17" s="188"/>
      <c r="K17" s="188"/>
    </row>
    <row r="18" spans="1:11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</row>
    <row r="19" spans="1:11" x14ac:dyDescent="0.25">
      <c r="A19" s="177" t="s">
        <v>80</v>
      </c>
      <c r="C19" s="42" t="s">
        <v>109</v>
      </c>
      <c r="D19" s="52" t="s">
        <v>67</v>
      </c>
      <c r="E19" s="42" t="s">
        <v>47</v>
      </c>
    </row>
    <row r="20" spans="1:11" x14ac:dyDescent="0.25">
      <c r="A20" s="177"/>
      <c r="B20" t="s">
        <v>145</v>
      </c>
      <c r="C20" s="164">
        <v>30000</v>
      </c>
      <c r="D20" s="52">
        <f>C20*10%</f>
        <v>3000</v>
      </c>
      <c r="E20" s="42">
        <f>C20*90%</f>
        <v>27000</v>
      </c>
    </row>
    <row r="21" spans="1:11" ht="23.25" x14ac:dyDescent="0.25">
      <c r="A21" s="177"/>
      <c r="B21" s="75" t="s">
        <v>99</v>
      </c>
      <c r="C21" s="54">
        <f>C20*445</f>
        <v>13350000</v>
      </c>
      <c r="D21" s="43"/>
      <c r="E21" s="43"/>
    </row>
    <row r="22" spans="1:11" x14ac:dyDescent="0.25">
      <c r="A22" s="177"/>
      <c r="B22" s="75"/>
      <c r="C22" s="54"/>
      <c r="D22" s="43"/>
      <c r="E22" s="43"/>
    </row>
    <row r="23" spans="1:11" ht="15.75" x14ac:dyDescent="0.25">
      <c r="A23" s="177"/>
      <c r="B23" s="75" t="s">
        <v>71</v>
      </c>
      <c r="C23" s="86" t="e">
        <f>C21+#REF!+#REF!</f>
        <v>#REF!</v>
      </c>
      <c r="D23" s="43"/>
      <c r="E23" s="43"/>
    </row>
    <row r="24" spans="1:11" x14ac:dyDescent="0.25">
      <c r="A24" s="47"/>
      <c r="B24" s="47"/>
      <c r="C24" s="47"/>
      <c r="D24" s="47"/>
      <c r="E24" s="47"/>
    </row>
    <row r="27" spans="1:11" ht="18.75" x14ac:dyDescent="0.3">
      <c r="B27" s="55" t="s">
        <v>81</v>
      </c>
      <c r="C27" s="56" t="e">
        <f>#REF!+C23</f>
        <v>#REF!</v>
      </c>
    </row>
  </sheetData>
  <mergeCells count="30">
    <mergeCell ref="A1:K1"/>
    <mergeCell ref="G2:H2"/>
    <mergeCell ref="J2:K2"/>
    <mergeCell ref="D4:E4"/>
    <mergeCell ref="A5:A17"/>
    <mergeCell ref="B5:B7"/>
    <mergeCell ref="E5:E7"/>
    <mergeCell ref="G5:G7"/>
    <mergeCell ref="H5:H7"/>
    <mergeCell ref="J5:J7"/>
    <mergeCell ref="K5:K7"/>
    <mergeCell ref="B9:B10"/>
    <mergeCell ref="E9:E10"/>
    <mergeCell ref="G9:G10"/>
    <mergeCell ref="H9:H10"/>
    <mergeCell ref="J9:J10"/>
    <mergeCell ref="K9:K10"/>
    <mergeCell ref="J16:J17"/>
    <mergeCell ref="K16:K17"/>
    <mergeCell ref="B12:B14"/>
    <mergeCell ref="E12:E14"/>
    <mergeCell ref="G12:G14"/>
    <mergeCell ref="H12:H14"/>
    <mergeCell ref="J12:J14"/>
    <mergeCell ref="K12:K14"/>
    <mergeCell ref="A19:A23"/>
    <mergeCell ref="B16:B17"/>
    <mergeCell ref="E16:E17"/>
    <mergeCell ref="G16:G17"/>
    <mergeCell ref="H16:H17"/>
  </mergeCells>
  <pageMargins left="0.7" right="0.7" top="0.75" bottom="0.75" header="0.3" footer="0.3"/>
  <pageSetup paperSize="9" orientation="portrait" horizontalDpi="4294967294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topLeftCell="A52" workbookViewId="0">
      <selection activeCell="D71" sqref="D71"/>
    </sheetView>
  </sheetViews>
  <sheetFormatPr defaultRowHeight="15" x14ac:dyDescent="0.25"/>
  <cols>
    <col min="2" max="2" width="18.5703125" bestFit="1" customWidth="1"/>
    <col min="3" max="3" width="42.5703125" bestFit="1" customWidth="1"/>
    <col min="4" max="4" width="17.42578125" customWidth="1"/>
    <col min="5" max="5" width="16.85546875" bestFit="1" customWidth="1"/>
    <col min="6" max="6" width="4" customWidth="1"/>
    <col min="7" max="7" width="14.5703125" bestFit="1" customWidth="1"/>
    <col min="8" max="8" width="10.42578125" customWidth="1"/>
    <col min="9" max="9" width="4" customWidth="1"/>
    <col min="10" max="10" width="14.5703125" bestFit="1" customWidth="1"/>
    <col min="11" max="11" width="10" customWidth="1"/>
    <col min="12" max="12" width="17" customWidth="1"/>
    <col min="13" max="13" width="15.5703125" customWidth="1"/>
  </cols>
  <sheetData>
    <row r="1" spans="1:11" x14ac:dyDescent="0.25">
      <c r="A1" s="202" t="s">
        <v>82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x14ac:dyDescent="0.25">
      <c r="F2" s="47"/>
      <c r="G2" s="189" t="s">
        <v>73</v>
      </c>
      <c r="H2" s="189"/>
      <c r="I2" s="47"/>
      <c r="J2" s="189" t="s">
        <v>72</v>
      </c>
      <c r="K2" s="189"/>
    </row>
    <row r="3" spans="1:11" x14ac:dyDescent="0.25">
      <c r="F3" s="47"/>
      <c r="G3" s="45" t="s">
        <v>67</v>
      </c>
      <c r="H3" s="45" t="s">
        <v>47</v>
      </c>
      <c r="I3" s="47"/>
      <c r="J3" s="45" t="s">
        <v>67</v>
      </c>
      <c r="K3" s="45" t="s">
        <v>47</v>
      </c>
    </row>
    <row r="4" spans="1:11" ht="34.5" customHeight="1" x14ac:dyDescent="0.25">
      <c r="D4" s="190" t="s">
        <v>74</v>
      </c>
      <c r="E4" s="191"/>
      <c r="F4" s="47"/>
      <c r="G4" s="46">
        <v>0.3</v>
      </c>
      <c r="H4" s="46">
        <v>0.7</v>
      </c>
      <c r="I4" s="47"/>
      <c r="J4" s="46">
        <v>0.7</v>
      </c>
      <c r="K4" s="46">
        <v>0.3</v>
      </c>
    </row>
    <row r="5" spans="1:11" x14ac:dyDescent="0.25">
      <c r="A5" s="177" t="s">
        <v>51</v>
      </c>
      <c r="B5" s="178" t="s">
        <v>43</v>
      </c>
      <c r="C5" s="27" t="s">
        <v>39</v>
      </c>
      <c r="D5" s="167">
        <v>60</v>
      </c>
      <c r="E5" s="179">
        <f>D5+D6+D7</f>
        <v>438</v>
      </c>
      <c r="F5" s="47"/>
      <c r="G5" s="188">
        <v>0</v>
      </c>
      <c r="H5" s="188">
        <v>0</v>
      </c>
      <c r="I5" s="47"/>
      <c r="J5" s="188">
        <f>E5*J4</f>
        <v>306.59999999999997</v>
      </c>
      <c r="K5" s="188">
        <f>E5*K4</f>
        <v>131.4</v>
      </c>
    </row>
    <row r="6" spans="1:11" x14ac:dyDescent="0.25">
      <c r="A6" s="177"/>
      <c r="B6" s="178"/>
      <c r="C6" s="27" t="s">
        <v>40</v>
      </c>
      <c r="D6" s="167">
        <f>'მკურნალობაში ჩართვის ჯგუფები'!E6</f>
        <v>369</v>
      </c>
      <c r="E6" s="179"/>
      <c r="F6" s="47"/>
      <c r="G6" s="188"/>
      <c r="H6" s="188"/>
      <c r="I6" s="47"/>
      <c r="J6" s="188"/>
      <c r="K6" s="188"/>
    </row>
    <row r="7" spans="1:11" x14ac:dyDescent="0.25">
      <c r="A7" s="177"/>
      <c r="B7" s="178"/>
      <c r="C7" s="27" t="s">
        <v>42</v>
      </c>
      <c r="D7" s="167">
        <f>'მკურნალობაში ჩართვის ჯგუფები'!E8</f>
        <v>9</v>
      </c>
      <c r="E7" s="179"/>
      <c r="F7" s="47"/>
      <c r="G7" s="188"/>
      <c r="H7" s="188"/>
      <c r="I7" s="47"/>
      <c r="J7" s="188"/>
      <c r="K7" s="188"/>
    </row>
    <row r="8" spans="1:11" x14ac:dyDescent="0.25">
      <c r="A8" s="177"/>
      <c r="D8" s="169"/>
      <c r="E8" s="36"/>
      <c r="F8" s="47"/>
      <c r="I8" s="47"/>
    </row>
    <row r="9" spans="1:11" x14ac:dyDescent="0.25">
      <c r="A9" s="177"/>
      <c r="B9" s="178" t="s">
        <v>44</v>
      </c>
      <c r="C9" s="27" t="s">
        <v>39</v>
      </c>
      <c r="D9" s="167">
        <v>60</v>
      </c>
      <c r="E9" s="179">
        <f>D9+D10</f>
        <v>429</v>
      </c>
      <c r="F9" s="47"/>
      <c r="G9" s="188">
        <v>0</v>
      </c>
      <c r="H9" s="188">
        <v>0</v>
      </c>
      <c r="I9" s="47"/>
      <c r="J9" s="188">
        <f>E9*J4</f>
        <v>300.29999999999995</v>
      </c>
      <c r="K9" s="188">
        <f>E9*K4</f>
        <v>128.69999999999999</v>
      </c>
    </row>
    <row r="10" spans="1:11" x14ac:dyDescent="0.25">
      <c r="A10" s="177"/>
      <c r="B10" s="178"/>
      <c r="C10" s="27" t="s">
        <v>40</v>
      </c>
      <c r="D10" s="167">
        <f>'მკურნალობაში ჩართვის ჯგუფები'!E6</f>
        <v>369</v>
      </c>
      <c r="E10" s="179"/>
      <c r="F10" s="47"/>
      <c r="G10" s="188"/>
      <c r="H10" s="188"/>
      <c r="I10" s="47"/>
      <c r="J10" s="188"/>
      <c r="K10" s="188"/>
    </row>
    <row r="11" spans="1:11" x14ac:dyDescent="0.25">
      <c r="A11" s="177"/>
      <c r="D11" s="169"/>
      <c r="E11" s="36"/>
      <c r="F11" s="47"/>
      <c r="I11" s="47"/>
    </row>
    <row r="12" spans="1:11" x14ac:dyDescent="0.25">
      <c r="A12" s="177"/>
      <c r="B12" s="178" t="s">
        <v>45</v>
      </c>
      <c r="C12" s="27" t="s">
        <v>39</v>
      </c>
      <c r="D12" s="167">
        <v>60</v>
      </c>
      <c r="E12" s="179">
        <f>D12+D13+D14</f>
        <v>358</v>
      </c>
      <c r="F12" s="47"/>
      <c r="G12" s="188">
        <v>0</v>
      </c>
      <c r="H12" s="188">
        <v>0</v>
      </c>
      <c r="I12" s="47"/>
      <c r="J12" s="188">
        <f>E12*J4</f>
        <v>250.6</v>
      </c>
      <c r="K12" s="188">
        <f>E12*K4</f>
        <v>107.39999999999999</v>
      </c>
    </row>
    <row r="13" spans="1:11" x14ac:dyDescent="0.25">
      <c r="A13" s="177"/>
      <c r="B13" s="178"/>
      <c r="C13" s="27" t="s">
        <v>41</v>
      </c>
      <c r="D13" s="167">
        <f>'მკურნალობაში ჩართვის ჯგუფები'!E7</f>
        <v>289</v>
      </c>
      <c r="E13" s="179"/>
      <c r="F13" s="47"/>
      <c r="G13" s="188"/>
      <c r="H13" s="188"/>
      <c r="I13" s="47"/>
      <c r="J13" s="188"/>
      <c r="K13" s="188"/>
    </row>
    <row r="14" spans="1:11" x14ac:dyDescent="0.25">
      <c r="A14" s="177"/>
      <c r="B14" s="178"/>
      <c r="C14" s="27" t="s">
        <v>42</v>
      </c>
      <c r="D14" s="167">
        <f>'მკურნალობაში ჩართვის ჯგუფები'!E8</f>
        <v>9</v>
      </c>
      <c r="E14" s="179"/>
      <c r="F14" s="47"/>
      <c r="G14" s="188"/>
      <c r="H14" s="188"/>
      <c r="I14" s="47"/>
      <c r="J14" s="188"/>
      <c r="K14" s="188"/>
    </row>
    <row r="15" spans="1:11" x14ac:dyDescent="0.25">
      <c r="A15" s="177"/>
      <c r="D15" s="169"/>
      <c r="E15" s="36"/>
      <c r="F15" s="47"/>
      <c r="I15" s="47"/>
    </row>
    <row r="16" spans="1:11" x14ac:dyDescent="0.25">
      <c r="A16" s="177"/>
      <c r="B16" s="178" t="s">
        <v>46</v>
      </c>
      <c r="C16" s="27" t="s">
        <v>39</v>
      </c>
      <c r="D16" s="167">
        <v>60</v>
      </c>
      <c r="E16" s="179">
        <f>D16+D17</f>
        <v>349</v>
      </c>
      <c r="F16" s="47"/>
      <c r="G16" s="188">
        <v>0</v>
      </c>
      <c r="H16" s="188">
        <v>0</v>
      </c>
      <c r="I16" s="47"/>
      <c r="J16" s="188">
        <f>E16*J4</f>
        <v>244.29999999999998</v>
      </c>
      <c r="K16" s="188">
        <f>E16*K4</f>
        <v>104.7</v>
      </c>
    </row>
    <row r="17" spans="1:11" x14ac:dyDescent="0.25">
      <c r="A17" s="177"/>
      <c r="B17" s="178"/>
      <c r="C17" s="27" t="s">
        <v>41</v>
      </c>
      <c r="D17" s="167">
        <f>'მკურნალობაში ჩართვის ჯგუფები'!E7</f>
        <v>289</v>
      </c>
      <c r="E17" s="179"/>
      <c r="F17" s="47"/>
      <c r="G17" s="188"/>
      <c r="H17" s="188"/>
      <c r="I17" s="47"/>
      <c r="J17" s="188"/>
      <c r="K17" s="188"/>
    </row>
    <row r="18" spans="1:11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</row>
    <row r="19" spans="1:11" x14ac:dyDescent="0.25">
      <c r="A19" s="177" t="s">
        <v>54</v>
      </c>
      <c r="B19" s="178" t="s">
        <v>55</v>
      </c>
      <c r="C19" s="29" t="s">
        <v>33</v>
      </c>
      <c r="D19" s="167">
        <f>'მონიტორინგის კვლევების ჯგუფები'!E5</f>
        <v>236</v>
      </c>
      <c r="E19" s="179">
        <f>AVERAGE(D19:D21)</f>
        <v>227</v>
      </c>
      <c r="F19" s="47"/>
      <c r="G19" s="195">
        <f>E19*G4</f>
        <v>68.099999999999994</v>
      </c>
      <c r="H19" s="195">
        <f>E19*H4</f>
        <v>158.89999999999998</v>
      </c>
      <c r="I19" s="47"/>
      <c r="J19" s="195">
        <f>E19*J4</f>
        <v>158.89999999999998</v>
      </c>
      <c r="K19" s="195">
        <f>E19*K4</f>
        <v>68.099999999999994</v>
      </c>
    </row>
    <row r="20" spans="1:11" x14ac:dyDescent="0.25">
      <c r="A20" s="177"/>
      <c r="B20" s="178"/>
      <c r="C20" s="29" t="s">
        <v>31</v>
      </c>
      <c r="D20" s="167">
        <f>'მონიტორინგის კვლევების ჯგუფები'!E6</f>
        <v>227</v>
      </c>
      <c r="E20" s="179"/>
      <c r="F20" s="47"/>
      <c r="G20" s="196"/>
      <c r="H20" s="196"/>
      <c r="I20" s="47"/>
      <c r="J20" s="196"/>
      <c r="K20" s="196"/>
    </row>
    <row r="21" spans="1:11" x14ac:dyDescent="0.25">
      <c r="A21" s="177"/>
      <c r="B21" s="178"/>
      <c r="C21" s="37" t="s">
        <v>34</v>
      </c>
      <c r="D21" s="167">
        <f>'მონიტორინგის კვლევების ჯგუფები'!E7</f>
        <v>218</v>
      </c>
      <c r="E21" s="179"/>
      <c r="F21" s="47"/>
      <c r="G21" s="197"/>
      <c r="H21" s="197"/>
      <c r="I21" s="47"/>
      <c r="J21" s="197"/>
      <c r="K21" s="197"/>
    </row>
    <row r="22" spans="1:11" x14ac:dyDescent="0.25">
      <c r="A22" s="177"/>
      <c r="E22" s="36"/>
      <c r="F22" s="47"/>
      <c r="I22" s="47"/>
    </row>
    <row r="23" spans="1:11" x14ac:dyDescent="0.25">
      <c r="A23" s="177"/>
      <c r="B23" s="178" t="s">
        <v>56</v>
      </c>
      <c r="C23" s="29" t="s">
        <v>35</v>
      </c>
      <c r="D23" s="167">
        <f>'მონიტორინგის კვლევების ჯგუფები'!E8</f>
        <v>304</v>
      </c>
      <c r="E23" s="180">
        <f>AVERAGE(D23:D25)</f>
        <v>289</v>
      </c>
      <c r="F23" s="47"/>
      <c r="G23" s="188">
        <f>E23*G4</f>
        <v>86.7</v>
      </c>
      <c r="H23" s="195">
        <f>E23*H4</f>
        <v>202.29999999999998</v>
      </c>
      <c r="I23" s="47"/>
      <c r="J23" s="188">
        <f>E23*J4</f>
        <v>202.29999999999998</v>
      </c>
      <c r="K23" s="195">
        <f>E23*K4</f>
        <v>86.7</v>
      </c>
    </row>
    <row r="24" spans="1:11" x14ac:dyDescent="0.25">
      <c r="A24" s="177"/>
      <c r="B24" s="178"/>
      <c r="C24" s="29" t="s">
        <v>32</v>
      </c>
      <c r="D24" s="167">
        <f>'მონიტორინგის კვლევების ჯგუფები'!E9</f>
        <v>286</v>
      </c>
      <c r="E24" s="181"/>
      <c r="F24" s="47"/>
      <c r="G24" s="188"/>
      <c r="H24" s="196"/>
      <c r="I24" s="47"/>
      <c r="J24" s="188"/>
      <c r="K24" s="196"/>
    </row>
    <row r="25" spans="1:11" x14ac:dyDescent="0.25">
      <c r="A25" s="177"/>
      <c r="B25" s="178"/>
      <c r="C25" s="37" t="s">
        <v>36</v>
      </c>
      <c r="D25" s="167">
        <f>'მონიტორინგის კვლევების ჯგუფები'!E10</f>
        <v>277</v>
      </c>
      <c r="E25" s="182"/>
      <c r="F25" s="47"/>
      <c r="G25" s="188"/>
      <c r="H25" s="197"/>
      <c r="I25" s="47"/>
      <c r="J25" s="188"/>
      <c r="K25" s="197"/>
    </row>
    <row r="26" spans="1:11" x14ac:dyDescent="0.25">
      <c r="A26" s="177"/>
      <c r="E26" s="36"/>
      <c r="F26" s="47"/>
      <c r="I26" s="47"/>
    </row>
    <row r="27" spans="1:11" x14ac:dyDescent="0.25">
      <c r="A27" s="177"/>
      <c r="B27" s="165" t="s">
        <v>57</v>
      </c>
      <c r="C27" s="27" t="s">
        <v>53</v>
      </c>
      <c r="D27" s="38">
        <f>'მონიტორინგის კვლევების ჯგუფები'!E11</f>
        <v>130</v>
      </c>
      <c r="E27" s="168">
        <v>130</v>
      </c>
      <c r="F27" s="47"/>
      <c r="G27" s="167">
        <v>0</v>
      </c>
      <c r="H27" s="167">
        <v>0</v>
      </c>
      <c r="I27" s="47"/>
      <c r="J27" s="167">
        <f>E27</f>
        <v>130</v>
      </c>
      <c r="K27" s="167">
        <f>E27</f>
        <v>130</v>
      </c>
    </row>
    <row r="28" spans="1:11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5">
      <c r="A29" s="199" t="s">
        <v>66</v>
      </c>
      <c r="B29" s="178" t="s">
        <v>48</v>
      </c>
      <c r="C29" s="27" t="s">
        <v>58</v>
      </c>
      <c r="D29" s="167">
        <f>E5+E19+E27</f>
        <v>795</v>
      </c>
      <c r="E29" s="179">
        <f>AVERAGE(D29:D30)</f>
        <v>790.5</v>
      </c>
      <c r="F29" s="47"/>
      <c r="G29" s="188">
        <f>(E29-E27)*G4</f>
        <v>198.15</v>
      </c>
      <c r="H29" s="188">
        <f>(E29-E27)*H4</f>
        <v>462.34999999999997</v>
      </c>
      <c r="I29" s="47"/>
      <c r="J29" s="188">
        <f>(E29-E27)*J4+E27</f>
        <v>592.34999999999991</v>
      </c>
      <c r="K29" s="188">
        <f>(E29-E27)*K4+E27</f>
        <v>328.15</v>
      </c>
    </row>
    <row r="30" spans="1:11" x14ac:dyDescent="0.25">
      <c r="A30" s="200"/>
      <c r="B30" s="178"/>
      <c r="C30" s="27" t="s">
        <v>60</v>
      </c>
      <c r="D30" s="167">
        <f>E9+E19+E27</f>
        <v>786</v>
      </c>
      <c r="E30" s="179"/>
      <c r="F30" s="47"/>
      <c r="G30" s="188"/>
      <c r="H30" s="188"/>
      <c r="I30" s="47"/>
      <c r="J30" s="188"/>
      <c r="K30" s="188"/>
    </row>
    <row r="31" spans="1:11" x14ac:dyDescent="0.25">
      <c r="A31" s="200"/>
      <c r="B31" s="36"/>
      <c r="D31" s="169"/>
      <c r="E31" s="36"/>
      <c r="F31" s="47"/>
      <c r="I31" s="47"/>
    </row>
    <row r="32" spans="1:11" x14ac:dyDescent="0.25">
      <c r="A32" s="200"/>
      <c r="B32" s="178" t="s">
        <v>49</v>
      </c>
      <c r="C32" s="27" t="s">
        <v>59</v>
      </c>
      <c r="D32" s="167">
        <f>E5+E23+E27</f>
        <v>857</v>
      </c>
      <c r="E32" s="179">
        <f>AVERAGE(D32:D33)</f>
        <v>852.5</v>
      </c>
      <c r="F32" s="47"/>
      <c r="G32" s="188">
        <f>(E32-E27)*G4</f>
        <v>216.75</v>
      </c>
      <c r="H32" s="188">
        <f>(E32-E27)*H4</f>
        <v>505.74999999999994</v>
      </c>
      <c r="I32" s="47"/>
      <c r="J32" s="188">
        <f>(E32-E27)*J4+E27</f>
        <v>635.75</v>
      </c>
      <c r="K32" s="188">
        <f>(E32-E27)*K4+E27</f>
        <v>346.75</v>
      </c>
    </row>
    <row r="33" spans="1:11" x14ac:dyDescent="0.25">
      <c r="A33" s="200"/>
      <c r="B33" s="178"/>
      <c r="C33" s="27" t="s">
        <v>61</v>
      </c>
      <c r="D33" s="167">
        <f>E9+E23+E27</f>
        <v>848</v>
      </c>
      <c r="E33" s="179"/>
      <c r="F33" s="47"/>
      <c r="G33" s="188"/>
      <c r="H33" s="188"/>
      <c r="I33" s="47"/>
      <c r="J33" s="188"/>
      <c r="K33" s="188"/>
    </row>
    <row r="34" spans="1:11" x14ac:dyDescent="0.25">
      <c r="A34" s="200"/>
      <c r="B34" s="36"/>
      <c r="D34" s="169"/>
      <c r="E34" s="36"/>
      <c r="F34" s="47"/>
      <c r="I34" s="47"/>
    </row>
    <row r="35" spans="1:11" x14ac:dyDescent="0.25">
      <c r="A35" s="200"/>
      <c r="B35" s="178" t="s">
        <v>52</v>
      </c>
      <c r="C35" s="27" t="s">
        <v>62</v>
      </c>
      <c r="D35" s="167">
        <f>E12+E19+E27</f>
        <v>715</v>
      </c>
      <c r="E35" s="179">
        <f>AVERAGE(D35:D36)</f>
        <v>710.5</v>
      </c>
      <c r="F35" s="47"/>
      <c r="G35" s="188">
        <f>(E35-E27)*G4</f>
        <v>174.15</v>
      </c>
      <c r="H35" s="188">
        <f>(E35-E27)*H4</f>
        <v>406.34999999999997</v>
      </c>
      <c r="I35" s="47"/>
      <c r="J35" s="188">
        <f>(E35-E27)*J4+E27</f>
        <v>536.34999999999991</v>
      </c>
      <c r="K35" s="188">
        <f>(E35-E27)*K4+E27</f>
        <v>304.14999999999998</v>
      </c>
    </row>
    <row r="36" spans="1:11" x14ac:dyDescent="0.25">
      <c r="A36" s="200"/>
      <c r="B36" s="178"/>
      <c r="C36" s="27" t="s">
        <v>64</v>
      </c>
      <c r="D36" s="167">
        <f>E16+E19+E27</f>
        <v>706</v>
      </c>
      <c r="E36" s="179"/>
      <c r="F36" s="47"/>
      <c r="G36" s="188"/>
      <c r="H36" s="188"/>
      <c r="I36" s="47"/>
      <c r="J36" s="188"/>
      <c r="K36" s="188"/>
    </row>
    <row r="37" spans="1:11" x14ac:dyDescent="0.25">
      <c r="A37" s="200"/>
      <c r="B37" s="36"/>
      <c r="D37" s="169"/>
      <c r="E37" s="36"/>
      <c r="F37" s="47"/>
      <c r="I37" s="47"/>
    </row>
    <row r="38" spans="1:11" x14ac:dyDescent="0.25">
      <c r="A38" s="200"/>
      <c r="B38" s="183" t="s">
        <v>50</v>
      </c>
      <c r="C38" s="27" t="s">
        <v>63</v>
      </c>
      <c r="D38" s="167">
        <f>E12+E23+E27</f>
        <v>777</v>
      </c>
      <c r="E38" s="179">
        <f>AVERAGE(D38:D39)</f>
        <v>772.5</v>
      </c>
      <c r="F38" s="47"/>
      <c r="G38" s="188">
        <f>(E38-E27)*G4</f>
        <v>192.75</v>
      </c>
      <c r="H38" s="188">
        <f>(E38-E27)*H4</f>
        <v>449.74999999999994</v>
      </c>
      <c r="I38" s="47"/>
      <c r="J38" s="188">
        <f>(E38-E27)*J4+E27</f>
        <v>579.75</v>
      </c>
      <c r="K38" s="188">
        <f>(E38-E27)*K4+E27</f>
        <v>322.75</v>
      </c>
    </row>
    <row r="39" spans="1:11" x14ac:dyDescent="0.25">
      <c r="A39" s="201"/>
      <c r="B39" s="184"/>
      <c r="C39" s="27" t="s">
        <v>65</v>
      </c>
      <c r="D39" s="167">
        <f>E16+E23+E27</f>
        <v>768</v>
      </c>
      <c r="E39" s="179"/>
      <c r="F39" s="47"/>
      <c r="G39" s="188"/>
      <c r="H39" s="188"/>
      <c r="I39" s="47"/>
      <c r="J39" s="188"/>
      <c r="K39" s="188"/>
    </row>
    <row r="40" spans="1:11" x14ac:dyDescent="0.25">
      <c r="A40" s="48"/>
      <c r="B40" s="49"/>
      <c r="C40" s="50"/>
      <c r="D40" s="51"/>
      <c r="E40" s="49"/>
      <c r="F40" s="47"/>
      <c r="G40" s="51"/>
      <c r="H40" s="51"/>
      <c r="I40" s="47"/>
      <c r="J40" s="47"/>
      <c r="K40" s="47"/>
    </row>
    <row r="41" spans="1:11" x14ac:dyDescent="0.25">
      <c r="F41" s="47"/>
      <c r="G41" s="185" t="s">
        <v>75</v>
      </c>
      <c r="H41" s="185"/>
      <c r="I41" s="47"/>
      <c r="J41" s="185" t="s">
        <v>76</v>
      </c>
      <c r="K41" s="185"/>
    </row>
    <row r="42" spans="1:11" ht="13.5" customHeight="1" x14ac:dyDescent="0.25">
      <c r="F42" s="47"/>
      <c r="G42" s="166" t="s">
        <v>67</v>
      </c>
      <c r="H42" s="166" t="s">
        <v>47</v>
      </c>
      <c r="I42" s="47"/>
      <c r="J42" s="166" t="s">
        <v>67</v>
      </c>
      <c r="K42" s="166" t="s">
        <v>47</v>
      </c>
    </row>
    <row r="43" spans="1:11" ht="21" customHeight="1" x14ac:dyDescent="0.25">
      <c r="A43" s="198" t="s">
        <v>66</v>
      </c>
      <c r="B43" s="167" t="s">
        <v>48</v>
      </c>
      <c r="C43" s="186" t="s">
        <v>68</v>
      </c>
      <c r="D43" s="187"/>
      <c r="E43" s="167">
        <f>AVERAGE(E29,E35)</f>
        <v>750.5</v>
      </c>
      <c r="F43" s="47"/>
      <c r="G43" s="167">
        <f>G19</f>
        <v>68.099999999999994</v>
      </c>
      <c r="H43" s="167">
        <f>H19</f>
        <v>158.89999999999998</v>
      </c>
      <c r="I43" s="47"/>
      <c r="J43" s="167">
        <f>E43-G43</f>
        <v>682.4</v>
      </c>
      <c r="K43" s="167">
        <f>E43-H43</f>
        <v>591.6</v>
      </c>
    </row>
    <row r="44" spans="1:11" ht="29.25" customHeight="1" x14ac:dyDescent="0.25">
      <c r="A44" s="198"/>
      <c r="B44" s="167" t="s">
        <v>49</v>
      </c>
      <c r="C44" s="186" t="s">
        <v>69</v>
      </c>
      <c r="D44" s="187"/>
      <c r="E44" s="167">
        <f>AVERAGE(E32,E38)</f>
        <v>812.5</v>
      </c>
      <c r="F44" s="47"/>
      <c r="G44" s="167">
        <f>G23</f>
        <v>86.7</v>
      </c>
      <c r="H44" s="167">
        <f>H23</f>
        <v>202.29999999999998</v>
      </c>
      <c r="I44" s="47"/>
      <c r="J44" s="167">
        <f>E44-G44</f>
        <v>725.8</v>
      </c>
      <c r="K44" s="167">
        <f>E44-H44</f>
        <v>610.20000000000005</v>
      </c>
    </row>
    <row r="45" spans="1:11" x14ac:dyDescent="0.25">
      <c r="A45" s="48"/>
      <c r="B45" s="49"/>
      <c r="C45" s="50"/>
      <c r="D45" s="51"/>
      <c r="E45" s="49"/>
      <c r="F45" s="47"/>
      <c r="G45" s="51"/>
      <c r="H45" s="51"/>
      <c r="I45" s="47"/>
      <c r="J45" s="47"/>
      <c r="K45" s="47"/>
    </row>
    <row r="46" spans="1:11" x14ac:dyDescent="0.25">
      <c r="A46" s="192" t="s">
        <v>77</v>
      </c>
      <c r="B46" s="27"/>
      <c r="C46" s="42" t="s">
        <v>79</v>
      </c>
      <c r="D46" s="52" t="s">
        <v>67</v>
      </c>
      <c r="E46" s="42" t="s">
        <v>47</v>
      </c>
    </row>
    <row r="47" spans="1:11" ht="23.25" x14ac:dyDescent="0.25">
      <c r="A47" s="193"/>
      <c r="B47" s="53" t="s">
        <v>70</v>
      </c>
      <c r="C47" s="167">
        <v>3000</v>
      </c>
      <c r="D47" s="167">
        <f>C47*10%</f>
        <v>300</v>
      </c>
      <c r="E47" s="167">
        <f>C47*90%</f>
        <v>2700</v>
      </c>
    </row>
    <row r="48" spans="1:11" ht="21" customHeight="1" x14ac:dyDescent="0.25">
      <c r="A48" s="193"/>
      <c r="B48" s="53" t="s">
        <v>68</v>
      </c>
      <c r="C48" s="167">
        <f>C47*90%</f>
        <v>2700</v>
      </c>
      <c r="D48" s="167">
        <f>D47*90%</f>
        <v>270</v>
      </c>
      <c r="E48" s="167">
        <f>E47*90%</f>
        <v>2430</v>
      </c>
    </row>
    <row r="49" spans="1:5" ht="22.5" customHeight="1" x14ac:dyDescent="0.25">
      <c r="A49" s="194"/>
      <c r="B49" s="53" t="s">
        <v>69</v>
      </c>
      <c r="C49" s="167">
        <f>C47*10%</f>
        <v>300</v>
      </c>
      <c r="D49" s="167">
        <f>D47*10%</f>
        <v>30</v>
      </c>
      <c r="E49" s="167">
        <f>E47*10%</f>
        <v>270</v>
      </c>
    </row>
    <row r="50" spans="1:5" x14ac:dyDescent="0.25">
      <c r="A50" s="47"/>
      <c r="B50" s="47"/>
      <c r="C50" s="47"/>
      <c r="D50" s="47"/>
      <c r="E50" s="47"/>
    </row>
    <row r="51" spans="1:5" x14ac:dyDescent="0.25">
      <c r="A51" s="177" t="s">
        <v>78</v>
      </c>
      <c r="C51" s="42" t="s">
        <v>109</v>
      </c>
      <c r="D51" s="52" t="s">
        <v>67</v>
      </c>
      <c r="E51" s="42" t="s">
        <v>47</v>
      </c>
    </row>
    <row r="52" spans="1:5" ht="34.5" customHeight="1" x14ac:dyDescent="0.25">
      <c r="A52" s="177"/>
      <c r="B52" s="74" t="s">
        <v>68</v>
      </c>
      <c r="C52" s="43">
        <f>D52+E52</f>
        <v>404513.99999999994</v>
      </c>
      <c r="D52" s="44">
        <f>D48*G43</f>
        <v>18387</v>
      </c>
      <c r="E52" s="44">
        <f>E48*H43</f>
        <v>386126.99999999994</v>
      </c>
    </row>
    <row r="53" spans="1:5" ht="34.5" x14ac:dyDescent="0.25">
      <c r="A53" s="177"/>
      <c r="B53" s="74" t="s">
        <v>69</v>
      </c>
      <c r="C53" s="43">
        <f>D53+E53</f>
        <v>57221.999999999993</v>
      </c>
      <c r="D53" s="44">
        <f>D49*G44</f>
        <v>2601</v>
      </c>
      <c r="E53" s="44">
        <f>E49*H44</f>
        <v>54620.999999999993</v>
      </c>
    </row>
    <row r="54" spans="1:5" ht="15.75" x14ac:dyDescent="0.25">
      <c r="A54" s="177"/>
      <c r="B54" s="75" t="s">
        <v>71</v>
      </c>
      <c r="C54" s="86">
        <f>C52+C53</f>
        <v>461735.99999999994</v>
      </c>
      <c r="D54" s="43">
        <f>D52+D53</f>
        <v>20988</v>
      </c>
      <c r="E54" s="43">
        <f>E52+E53</f>
        <v>440747.99999999994</v>
      </c>
    </row>
    <row r="55" spans="1:5" x14ac:dyDescent="0.25">
      <c r="A55" s="47"/>
      <c r="B55" s="47"/>
      <c r="C55" s="47"/>
      <c r="D55" s="47"/>
      <c r="E55" s="47"/>
    </row>
    <row r="56" spans="1:5" x14ac:dyDescent="0.25">
      <c r="A56" s="177" t="s">
        <v>80</v>
      </c>
      <c r="C56" s="42" t="s">
        <v>109</v>
      </c>
      <c r="D56" s="52" t="s">
        <v>67</v>
      </c>
      <c r="E56" s="42" t="s">
        <v>47</v>
      </c>
    </row>
    <row r="57" spans="1:5" ht="34.5" customHeight="1" x14ac:dyDescent="0.25">
      <c r="A57" s="177"/>
      <c r="B57" s="74" t="s">
        <v>68</v>
      </c>
      <c r="C57" s="43">
        <f>D57+E57</f>
        <v>1621836</v>
      </c>
      <c r="D57" s="44">
        <f>D48*J43</f>
        <v>184248</v>
      </c>
      <c r="E57" s="44">
        <f>E48*K43</f>
        <v>1437588</v>
      </c>
    </row>
    <row r="58" spans="1:5" ht="34.5" x14ac:dyDescent="0.25">
      <c r="A58" s="177"/>
      <c r="B58" s="74" t="s">
        <v>69</v>
      </c>
      <c r="C58" s="43">
        <f>D58+E58</f>
        <v>186528</v>
      </c>
      <c r="D58" s="44">
        <f>D49*J44</f>
        <v>21774</v>
      </c>
      <c r="E58" s="44">
        <f>E49*K44</f>
        <v>164754</v>
      </c>
    </row>
    <row r="59" spans="1:5" ht="23.25" x14ac:dyDescent="0.25">
      <c r="A59" s="177"/>
      <c r="B59" s="75" t="s">
        <v>99</v>
      </c>
      <c r="C59" s="54">
        <f>C57+C58</f>
        <v>1808364</v>
      </c>
      <c r="D59" s="43">
        <f>D57+D58</f>
        <v>206022</v>
      </c>
      <c r="E59" s="43">
        <f>E57+E58</f>
        <v>1602342</v>
      </c>
    </row>
    <row r="60" spans="1:5" x14ac:dyDescent="0.25">
      <c r="A60" s="177"/>
      <c r="B60" s="75"/>
      <c r="C60" s="54"/>
      <c r="D60" s="43"/>
      <c r="E60" s="43"/>
    </row>
    <row r="61" spans="1:5" ht="23.25" x14ac:dyDescent="0.25">
      <c r="A61" s="177"/>
      <c r="B61" s="75" t="s">
        <v>100</v>
      </c>
      <c r="C61" s="54">
        <f>C47*50</f>
        <v>150000</v>
      </c>
      <c r="D61" s="43"/>
      <c r="E61" s="43"/>
    </row>
    <row r="62" spans="1:5" ht="15.75" x14ac:dyDescent="0.25">
      <c r="A62" s="177"/>
      <c r="B62" s="75" t="s">
        <v>71</v>
      </c>
      <c r="C62" s="86">
        <f>C59+C61+E65</f>
        <v>2343364</v>
      </c>
      <c r="D62" s="43"/>
      <c r="E62" s="43"/>
    </row>
    <row r="63" spans="1:5" x14ac:dyDescent="0.25">
      <c r="A63" s="47"/>
      <c r="B63" s="47"/>
      <c r="C63" s="47"/>
      <c r="D63" s="47"/>
      <c r="E63" s="47"/>
    </row>
    <row r="65" spans="2:5" ht="34.5" x14ac:dyDescent="0.25">
      <c r="B65" s="73" t="s">
        <v>137</v>
      </c>
      <c r="C65">
        <f>32000-25000</f>
        <v>7000</v>
      </c>
      <c r="D65">
        <v>55</v>
      </c>
      <c r="E65">
        <f>C65*D65</f>
        <v>385000</v>
      </c>
    </row>
    <row r="67" spans="2:5" ht="18.75" x14ac:dyDescent="0.3">
      <c r="B67" s="55" t="s">
        <v>81</v>
      </c>
      <c r="C67" s="56">
        <f>C62+C54</f>
        <v>2805100</v>
      </c>
      <c r="D67" s="170"/>
    </row>
    <row r="69" spans="2:5" ht="18.75" x14ac:dyDescent="0.3">
      <c r="C69" s="56"/>
      <c r="D69" s="111"/>
    </row>
    <row r="71" spans="2:5" ht="18.75" x14ac:dyDescent="0.3">
      <c r="C71" s="56"/>
    </row>
  </sheetData>
  <mergeCells count="75">
    <mergeCell ref="A1:K1"/>
    <mergeCell ref="G2:H2"/>
    <mergeCell ref="J2:K2"/>
    <mergeCell ref="D4:E4"/>
    <mergeCell ref="A5:A17"/>
    <mergeCell ref="B5:B7"/>
    <mergeCell ref="E5:E7"/>
    <mergeCell ref="G5:G7"/>
    <mergeCell ref="H5:H7"/>
    <mergeCell ref="J5:J7"/>
    <mergeCell ref="K5:K7"/>
    <mergeCell ref="B9:B10"/>
    <mergeCell ref="E9:E10"/>
    <mergeCell ref="G9:G10"/>
    <mergeCell ref="H9:H10"/>
    <mergeCell ref="J9:J10"/>
    <mergeCell ref="K9:K10"/>
    <mergeCell ref="K16:K17"/>
    <mergeCell ref="B12:B14"/>
    <mergeCell ref="E12:E14"/>
    <mergeCell ref="G12:G14"/>
    <mergeCell ref="H12:H14"/>
    <mergeCell ref="J12:J14"/>
    <mergeCell ref="K12:K14"/>
    <mergeCell ref="B16:B17"/>
    <mergeCell ref="E16:E17"/>
    <mergeCell ref="G16:G17"/>
    <mergeCell ref="H16:H17"/>
    <mergeCell ref="J16:J17"/>
    <mergeCell ref="A19:A27"/>
    <mergeCell ref="B19:B21"/>
    <mergeCell ref="E19:E21"/>
    <mergeCell ref="G19:G21"/>
    <mergeCell ref="H19:H21"/>
    <mergeCell ref="K19:K21"/>
    <mergeCell ref="B23:B25"/>
    <mergeCell ref="E23:E25"/>
    <mergeCell ref="G23:G25"/>
    <mergeCell ref="H23:H25"/>
    <mergeCell ref="J23:J25"/>
    <mergeCell ref="K23:K25"/>
    <mergeCell ref="J19:J21"/>
    <mergeCell ref="A29:A39"/>
    <mergeCell ref="B29:B30"/>
    <mergeCell ref="E29:E30"/>
    <mergeCell ref="G29:G30"/>
    <mergeCell ref="H29:H30"/>
    <mergeCell ref="B35:B36"/>
    <mergeCell ref="E35:E36"/>
    <mergeCell ref="G35:G36"/>
    <mergeCell ref="H35:H36"/>
    <mergeCell ref="K29:K30"/>
    <mergeCell ref="B32:B33"/>
    <mergeCell ref="E32:E33"/>
    <mergeCell ref="G32:G33"/>
    <mergeCell ref="H32:H33"/>
    <mergeCell ref="J32:J33"/>
    <mergeCell ref="K32:K33"/>
    <mergeCell ref="J29:J30"/>
    <mergeCell ref="J35:J36"/>
    <mergeCell ref="K35:K36"/>
    <mergeCell ref="B38:B39"/>
    <mergeCell ref="E38:E39"/>
    <mergeCell ref="G38:G39"/>
    <mergeCell ref="H38:H39"/>
    <mergeCell ref="J38:J39"/>
    <mergeCell ref="K38:K39"/>
    <mergeCell ref="A51:A54"/>
    <mergeCell ref="A56:A62"/>
    <mergeCell ref="G41:H41"/>
    <mergeCell ref="J41:K41"/>
    <mergeCell ref="A43:A44"/>
    <mergeCell ref="C43:D43"/>
    <mergeCell ref="C44:D44"/>
    <mergeCell ref="A46:A4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5"/>
  <sheetViews>
    <sheetView topLeftCell="A34" workbookViewId="0">
      <selection activeCell="A34" sqref="A1:XFD1048576"/>
    </sheetView>
  </sheetViews>
  <sheetFormatPr defaultColWidth="8.85546875" defaultRowHeight="15" x14ac:dyDescent="0.25"/>
  <cols>
    <col min="1" max="1" width="6" style="16" customWidth="1"/>
    <col min="2" max="2" width="36.7109375" style="3" bestFit="1" customWidth="1"/>
    <col min="3" max="3" width="11.7109375" style="3" customWidth="1"/>
    <col min="4" max="6" width="8.42578125" style="22" bestFit="1" customWidth="1"/>
    <col min="7" max="7" width="10.28515625" style="23" customWidth="1"/>
    <col min="8" max="8" width="10.85546875" style="3" customWidth="1"/>
    <col min="9" max="9" width="10" style="3" customWidth="1"/>
    <col min="10" max="10" width="13.42578125" style="3" customWidth="1"/>
    <col min="11" max="11" width="14" style="3" customWidth="1"/>
    <col min="12" max="12" width="11.140625" style="3" bestFit="1" customWidth="1"/>
    <col min="13" max="13" width="13.85546875" style="3" customWidth="1"/>
    <col min="14" max="14" width="13.5703125" style="3" customWidth="1"/>
    <col min="15" max="15" width="10.28515625" style="3" customWidth="1"/>
    <col min="16" max="16" width="9.85546875" style="3" customWidth="1"/>
    <col min="17" max="16384" width="8.85546875" style="3"/>
  </cols>
  <sheetData>
    <row r="1" spans="1:12" ht="12.75" customHeight="1" x14ac:dyDescent="0.25">
      <c r="A1" s="1"/>
      <c r="B1" s="2" t="s">
        <v>0</v>
      </c>
      <c r="C1" s="25" t="s">
        <v>21</v>
      </c>
      <c r="D1" s="203"/>
      <c r="E1" s="204"/>
      <c r="F1" s="204"/>
      <c r="G1" s="3"/>
    </row>
    <row r="2" spans="1:12" ht="28.5" customHeight="1" x14ac:dyDescent="0.25">
      <c r="A2" s="4"/>
      <c r="B2" s="5"/>
      <c r="C2" s="6" t="s">
        <v>1</v>
      </c>
      <c r="D2" s="7" t="s">
        <v>2</v>
      </c>
      <c r="E2" s="8" t="s">
        <v>3</v>
      </c>
      <c r="F2" s="8" t="s">
        <v>4</v>
      </c>
      <c r="G2" s="8" t="s">
        <v>5</v>
      </c>
      <c r="H2" s="8" t="s">
        <v>6</v>
      </c>
      <c r="I2" s="8" t="s">
        <v>7</v>
      </c>
      <c r="J2" s="8" t="s">
        <v>8</v>
      </c>
      <c r="K2" s="8" t="s">
        <v>9</v>
      </c>
      <c r="L2" s="8" t="s">
        <v>28</v>
      </c>
    </row>
    <row r="3" spans="1:12" x14ac:dyDescent="0.25">
      <c r="A3" s="1">
        <v>1</v>
      </c>
      <c r="B3" s="9" t="s">
        <v>10</v>
      </c>
      <c r="C3" s="10">
        <v>20</v>
      </c>
      <c r="D3" s="11"/>
      <c r="E3" s="11" t="s">
        <v>11</v>
      </c>
      <c r="F3" s="11" t="s">
        <v>11</v>
      </c>
      <c r="G3" s="11" t="s">
        <v>11</v>
      </c>
      <c r="H3" s="11" t="s">
        <v>11</v>
      </c>
      <c r="I3" s="1">
        <v>3</v>
      </c>
      <c r="J3" s="13">
        <f>I3*C3</f>
        <v>60</v>
      </c>
      <c r="K3" s="13">
        <f>J3</f>
        <v>60</v>
      </c>
      <c r="L3" s="17">
        <f>C3*1</f>
        <v>20</v>
      </c>
    </row>
    <row r="4" spans="1:12" x14ac:dyDescent="0.25">
      <c r="A4" s="1">
        <v>2</v>
      </c>
      <c r="B4" s="14" t="s">
        <v>12</v>
      </c>
      <c r="C4" s="10">
        <v>9</v>
      </c>
      <c r="D4" s="11"/>
      <c r="E4" s="11" t="s">
        <v>11</v>
      </c>
      <c r="F4" s="12" t="s">
        <v>11</v>
      </c>
      <c r="G4" s="11" t="s">
        <v>11</v>
      </c>
      <c r="H4" s="15"/>
      <c r="I4" s="1">
        <v>3</v>
      </c>
      <c r="J4" s="13">
        <f t="shared" ref="J4:J11" si="0">I4*C4</f>
        <v>27</v>
      </c>
      <c r="K4" s="13">
        <f>J4</f>
        <v>27</v>
      </c>
      <c r="L4" s="17"/>
    </row>
    <row r="5" spans="1:12" x14ac:dyDescent="0.25">
      <c r="A5" s="1">
        <v>3</v>
      </c>
      <c r="B5" s="14" t="s">
        <v>23</v>
      </c>
      <c r="C5" s="10">
        <v>5</v>
      </c>
      <c r="D5" s="11"/>
      <c r="E5" s="11" t="s">
        <v>11</v>
      </c>
      <c r="F5" s="11" t="s">
        <v>11</v>
      </c>
      <c r="G5" s="11" t="s">
        <v>11</v>
      </c>
      <c r="H5" s="15"/>
      <c r="I5" s="1">
        <v>3</v>
      </c>
      <c r="J5" s="13">
        <f>I5*C5</f>
        <v>15</v>
      </c>
      <c r="K5" s="13">
        <f>I5*C5</f>
        <v>15</v>
      </c>
      <c r="L5" s="17"/>
    </row>
    <row r="6" spans="1:12" x14ac:dyDescent="0.25">
      <c r="A6" s="1">
        <v>4</v>
      </c>
      <c r="B6" s="14" t="s">
        <v>24</v>
      </c>
      <c r="C6" s="10">
        <v>5</v>
      </c>
      <c r="D6" s="11"/>
      <c r="E6" s="11"/>
      <c r="F6" s="12"/>
      <c r="G6" s="11"/>
      <c r="H6" s="15"/>
      <c r="I6" s="1"/>
      <c r="J6" s="13">
        <f t="shared" ref="J6:J9" si="1">I6*C6</f>
        <v>0</v>
      </c>
      <c r="K6" s="13">
        <f t="shared" ref="K6:K9" si="2">I6*C6</f>
        <v>0</v>
      </c>
      <c r="L6" s="17"/>
    </row>
    <row r="7" spans="1:12" x14ac:dyDescent="0.25">
      <c r="A7" s="1">
        <v>5</v>
      </c>
      <c r="B7" s="14" t="s">
        <v>25</v>
      </c>
      <c r="C7" s="10">
        <v>5</v>
      </c>
      <c r="D7" s="11"/>
      <c r="E7" s="11"/>
      <c r="F7" s="12"/>
      <c r="G7" s="11" t="s">
        <v>11</v>
      </c>
      <c r="H7" s="15"/>
      <c r="I7" s="1">
        <v>1</v>
      </c>
      <c r="J7" s="13">
        <f>I7*C7</f>
        <v>5</v>
      </c>
      <c r="K7" s="13">
        <f>I7*C7</f>
        <v>5</v>
      </c>
      <c r="L7" s="17"/>
    </row>
    <row r="8" spans="1:12" x14ac:dyDescent="0.25">
      <c r="A8" s="1">
        <v>6</v>
      </c>
      <c r="B8" s="14" t="s">
        <v>26</v>
      </c>
      <c r="C8" s="10">
        <v>5</v>
      </c>
      <c r="D8" s="11"/>
      <c r="E8" s="11"/>
      <c r="F8" s="12"/>
      <c r="G8" s="11" t="s">
        <v>11</v>
      </c>
      <c r="H8" s="15"/>
      <c r="I8" s="1">
        <v>1</v>
      </c>
      <c r="J8" s="13">
        <f t="shared" si="1"/>
        <v>5</v>
      </c>
      <c r="K8" s="13">
        <f t="shared" si="2"/>
        <v>5</v>
      </c>
      <c r="L8" s="17"/>
    </row>
    <row r="9" spans="1:12" x14ac:dyDescent="0.25">
      <c r="A9" s="1">
        <v>7</v>
      </c>
      <c r="B9" s="14" t="s">
        <v>27</v>
      </c>
      <c r="C9" s="10">
        <v>5</v>
      </c>
      <c r="D9" s="11"/>
      <c r="E9" s="11"/>
      <c r="F9" s="12"/>
      <c r="G9" s="11" t="s">
        <v>11</v>
      </c>
      <c r="H9" s="15"/>
      <c r="I9" s="1">
        <v>1</v>
      </c>
      <c r="J9" s="13">
        <f t="shared" si="1"/>
        <v>5</v>
      </c>
      <c r="K9" s="13">
        <f t="shared" si="2"/>
        <v>5</v>
      </c>
      <c r="L9" s="17"/>
    </row>
    <row r="10" spans="1:12" x14ac:dyDescent="0.25">
      <c r="A10" s="1">
        <v>8</v>
      </c>
      <c r="B10" s="9" t="s">
        <v>13</v>
      </c>
      <c r="C10" s="10">
        <v>110</v>
      </c>
      <c r="D10" s="15"/>
      <c r="E10" s="11" t="s">
        <v>11</v>
      </c>
      <c r="F10" s="12"/>
      <c r="G10" s="11"/>
      <c r="H10" s="11" t="s">
        <v>11</v>
      </c>
      <c r="I10" s="1">
        <v>1</v>
      </c>
      <c r="J10" s="13">
        <f t="shared" si="0"/>
        <v>110</v>
      </c>
      <c r="K10" s="13">
        <f>J10</f>
        <v>110</v>
      </c>
      <c r="L10" s="17">
        <f>C10*1</f>
        <v>110</v>
      </c>
    </row>
    <row r="11" spans="1:12" x14ac:dyDescent="0.25">
      <c r="A11" s="1">
        <v>9</v>
      </c>
      <c r="B11" s="17" t="s">
        <v>14</v>
      </c>
      <c r="C11" s="10">
        <v>9</v>
      </c>
      <c r="D11" s="15"/>
      <c r="E11" s="15"/>
      <c r="F11" s="12"/>
      <c r="G11" s="11" t="s">
        <v>11</v>
      </c>
      <c r="H11" s="15"/>
      <c r="I11" s="1">
        <v>1</v>
      </c>
      <c r="J11" s="13">
        <f t="shared" si="0"/>
        <v>9</v>
      </c>
      <c r="K11" s="13"/>
      <c r="L11" s="17"/>
    </row>
    <row r="12" spans="1:12" ht="15.75" x14ac:dyDescent="0.25">
      <c r="A12" s="1"/>
      <c r="B12" s="19" t="s">
        <v>15</v>
      </c>
      <c r="C12" s="20"/>
      <c r="D12" s="21"/>
      <c r="E12" s="21"/>
      <c r="F12" s="21"/>
      <c r="G12" s="21"/>
      <c r="H12" s="21"/>
      <c r="I12" s="1"/>
      <c r="J12" s="13">
        <f>J3+J4+J5+J7+J8+J9+J10+J11</f>
        <v>236</v>
      </c>
      <c r="K12" s="13">
        <f>K3+K4+K5+K7+K8+K9+K10</f>
        <v>227</v>
      </c>
      <c r="L12" s="17">
        <f>L3+L10</f>
        <v>130</v>
      </c>
    </row>
    <row r="15" spans="1:12" ht="12.75" customHeight="1" x14ac:dyDescent="0.25">
      <c r="A15" s="1"/>
      <c r="B15" s="2" t="s">
        <v>0</v>
      </c>
      <c r="C15" s="25" t="s">
        <v>22</v>
      </c>
      <c r="D15" s="203"/>
      <c r="E15" s="204"/>
      <c r="F15" s="204"/>
      <c r="G15" s="3"/>
    </row>
    <row r="16" spans="1:12" ht="28.5" customHeight="1" x14ac:dyDescent="0.25">
      <c r="A16" s="4"/>
      <c r="B16" s="5"/>
      <c r="C16" s="6" t="s">
        <v>1</v>
      </c>
      <c r="D16" s="7" t="s">
        <v>2</v>
      </c>
      <c r="E16" s="8" t="s">
        <v>3</v>
      </c>
      <c r="F16" s="8" t="s">
        <v>4</v>
      </c>
      <c r="G16" s="8" t="s">
        <v>5</v>
      </c>
      <c r="H16" s="8" t="s">
        <v>6</v>
      </c>
      <c r="I16" s="8" t="s">
        <v>7</v>
      </c>
      <c r="J16" s="8" t="s">
        <v>8</v>
      </c>
      <c r="K16" s="8" t="s">
        <v>28</v>
      </c>
      <c r="L16" s="8"/>
    </row>
    <row r="17" spans="1:15" x14ac:dyDescent="0.25">
      <c r="A17" s="1">
        <v>1</v>
      </c>
      <c r="B17" s="9" t="s">
        <v>10</v>
      </c>
      <c r="C17" s="10">
        <v>20</v>
      </c>
      <c r="D17" s="11"/>
      <c r="E17" s="11" t="s">
        <v>11</v>
      </c>
      <c r="F17" s="11" t="s">
        <v>11</v>
      </c>
      <c r="G17" s="11" t="s">
        <v>11</v>
      </c>
      <c r="H17" s="11" t="s">
        <v>11</v>
      </c>
      <c r="I17" s="1">
        <v>3</v>
      </c>
      <c r="J17" s="13">
        <f>I17*C17</f>
        <v>60</v>
      </c>
      <c r="K17" s="17">
        <f>C17*1</f>
        <v>20</v>
      </c>
      <c r="L17" s="17"/>
    </row>
    <row r="18" spans="1:15" x14ac:dyDescent="0.25">
      <c r="A18" s="1">
        <v>2</v>
      </c>
      <c r="B18" s="14" t="s">
        <v>12</v>
      </c>
      <c r="C18" s="10">
        <v>9</v>
      </c>
      <c r="D18" s="11"/>
      <c r="E18" s="11" t="s">
        <v>11</v>
      </c>
      <c r="F18" s="12"/>
      <c r="G18" s="11" t="s">
        <v>11</v>
      </c>
      <c r="H18" s="15"/>
      <c r="I18" s="1">
        <v>2</v>
      </c>
      <c r="J18" s="13">
        <f>I18*C18</f>
        <v>18</v>
      </c>
      <c r="K18" s="17"/>
      <c r="L18" s="17"/>
    </row>
    <row r="19" spans="1:15" x14ac:dyDescent="0.25">
      <c r="A19" s="1">
        <v>3</v>
      </c>
      <c r="B19" s="14" t="s">
        <v>23</v>
      </c>
      <c r="C19" s="10">
        <v>5</v>
      </c>
      <c r="D19" s="11"/>
      <c r="E19" s="11" t="s">
        <v>11</v>
      </c>
      <c r="F19" s="11" t="s">
        <v>11</v>
      </c>
      <c r="G19" s="11" t="s">
        <v>11</v>
      </c>
      <c r="H19" s="15"/>
      <c r="I19" s="1">
        <v>3</v>
      </c>
      <c r="J19" s="13">
        <f>I19*C19</f>
        <v>15</v>
      </c>
      <c r="K19" s="17"/>
      <c r="L19" s="17"/>
    </row>
    <row r="20" spans="1:15" x14ac:dyDescent="0.25">
      <c r="A20" s="1">
        <v>4</v>
      </c>
      <c r="B20" s="14" t="s">
        <v>24</v>
      </c>
      <c r="C20" s="10">
        <v>5</v>
      </c>
      <c r="D20" s="11"/>
      <c r="E20" s="11"/>
      <c r="F20" s="12"/>
      <c r="G20" s="11"/>
      <c r="H20" s="15"/>
      <c r="I20" s="1"/>
      <c r="J20" s="13"/>
      <c r="K20" s="17"/>
      <c r="L20" s="17"/>
    </row>
    <row r="21" spans="1:15" x14ac:dyDescent="0.25">
      <c r="A21" s="1">
        <v>5</v>
      </c>
      <c r="B21" s="14" t="s">
        <v>25</v>
      </c>
      <c r="C21" s="10">
        <v>5</v>
      </c>
      <c r="D21" s="11"/>
      <c r="E21" s="11"/>
      <c r="F21" s="12"/>
      <c r="G21" s="11" t="s">
        <v>11</v>
      </c>
      <c r="H21" s="15"/>
      <c r="I21" s="1">
        <v>1</v>
      </c>
      <c r="J21" s="13">
        <f>I21*C21</f>
        <v>5</v>
      </c>
      <c r="K21" s="17"/>
      <c r="L21" s="17"/>
    </row>
    <row r="22" spans="1:15" x14ac:dyDescent="0.25">
      <c r="A22" s="1">
        <v>6</v>
      </c>
      <c r="B22" s="14" t="s">
        <v>26</v>
      </c>
      <c r="C22" s="10">
        <v>5</v>
      </c>
      <c r="D22" s="11"/>
      <c r="E22" s="11"/>
      <c r="F22" s="12"/>
      <c r="G22" s="11" t="s">
        <v>11</v>
      </c>
      <c r="H22" s="15"/>
      <c r="I22" s="1">
        <v>1</v>
      </c>
      <c r="J22" s="13">
        <f>I22*C22</f>
        <v>5</v>
      </c>
      <c r="K22" s="17"/>
      <c r="L22" s="17"/>
    </row>
    <row r="23" spans="1:15" x14ac:dyDescent="0.25">
      <c r="A23" s="1">
        <v>7</v>
      </c>
      <c r="B23" s="14" t="s">
        <v>27</v>
      </c>
      <c r="C23" s="10">
        <v>25</v>
      </c>
      <c r="D23" s="15"/>
      <c r="E23" s="11"/>
      <c r="F23" s="12"/>
      <c r="G23" s="11" t="s">
        <v>11</v>
      </c>
      <c r="H23" s="15"/>
      <c r="I23" s="1">
        <v>1</v>
      </c>
      <c r="J23" s="13">
        <v>5</v>
      </c>
      <c r="K23" s="17"/>
      <c r="L23" s="17"/>
    </row>
    <row r="24" spans="1:15" x14ac:dyDescent="0.25">
      <c r="A24" s="1">
        <v>8</v>
      </c>
      <c r="B24" s="9" t="s">
        <v>13</v>
      </c>
      <c r="C24" s="10">
        <v>110</v>
      </c>
      <c r="D24" s="15"/>
      <c r="E24" s="11" t="s">
        <v>11</v>
      </c>
      <c r="F24" s="12"/>
      <c r="G24" s="11"/>
      <c r="H24" s="11" t="s">
        <v>11</v>
      </c>
      <c r="I24" s="1">
        <v>1</v>
      </c>
      <c r="J24" s="13">
        <f>I24*C24</f>
        <v>110</v>
      </c>
      <c r="K24" s="17">
        <f>C24*1</f>
        <v>110</v>
      </c>
      <c r="L24" s="17"/>
    </row>
    <row r="25" spans="1:15" ht="15.75" x14ac:dyDescent="0.25">
      <c r="A25" s="1"/>
      <c r="B25" s="19" t="s">
        <v>15</v>
      </c>
      <c r="C25" s="20"/>
      <c r="D25" s="21"/>
      <c r="E25" s="21"/>
      <c r="F25" s="21"/>
      <c r="G25" s="21"/>
      <c r="H25" s="21"/>
      <c r="I25" s="1"/>
      <c r="J25" s="13">
        <f>J17+J18+J19+J21+J22+J23+J24</f>
        <v>218</v>
      </c>
      <c r="K25" s="17">
        <f>K17+K24</f>
        <v>130</v>
      </c>
      <c r="L25" s="17"/>
    </row>
    <row r="30" spans="1:15" x14ac:dyDescent="0.25">
      <c r="B30" s="2" t="s">
        <v>19</v>
      </c>
      <c r="C30" s="26" t="s">
        <v>29</v>
      </c>
    </row>
    <row r="31" spans="1:15" ht="28.5" customHeight="1" x14ac:dyDescent="0.25">
      <c r="A31" s="4"/>
      <c r="B31" s="5"/>
      <c r="C31" s="6" t="s">
        <v>16</v>
      </c>
      <c r="D31" s="7" t="s">
        <v>2</v>
      </c>
      <c r="E31" s="8" t="s">
        <v>3</v>
      </c>
      <c r="F31" s="8" t="s">
        <v>4</v>
      </c>
      <c r="G31" s="8" t="s">
        <v>5</v>
      </c>
      <c r="H31" s="8" t="s">
        <v>17</v>
      </c>
      <c r="I31" s="8" t="s">
        <v>18</v>
      </c>
      <c r="J31" s="8" t="s">
        <v>20</v>
      </c>
      <c r="K31" s="8" t="s">
        <v>6</v>
      </c>
      <c r="L31" s="8" t="s">
        <v>7</v>
      </c>
      <c r="M31" s="8" t="s">
        <v>8</v>
      </c>
      <c r="N31" s="8" t="s">
        <v>9</v>
      </c>
      <c r="O31" s="8" t="s">
        <v>28</v>
      </c>
    </row>
    <row r="32" spans="1:15" x14ac:dyDescent="0.25">
      <c r="A32" s="1">
        <v>1</v>
      </c>
      <c r="B32" s="9" t="s">
        <v>10</v>
      </c>
      <c r="C32" s="10">
        <v>20</v>
      </c>
      <c r="D32" s="11"/>
      <c r="E32" s="11" t="s">
        <v>11</v>
      </c>
      <c r="F32" s="11" t="s">
        <v>11</v>
      </c>
      <c r="G32" s="11" t="s">
        <v>11</v>
      </c>
      <c r="H32" s="11"/>
      <c r="I32" s="11"/>
      <c r="J32" s="11" t="s">
        <v>11</v>
      </c>
      <c r="K32" s="11" t="s">
        <v>11</v>
      </c>
      <c r="L32" s="17">
        <v>4</v>
      </c>
      <c r="M32" s="13">
        <f>L32*C32</f>
        <v>80</v>
      </c>
      <c r="N32" s="13">
        <f>M32</f>
        <v>80</v>
      </c>
      <c r="O32" s="17">
        <f>C32*1</f>
        <v>20</v>
      </c>
    </row>
    <row r="33" spans="1:15" x14ac:dyDescent="0.25">
      <c r="A33" s="1">
        <v>2</v>
      </c>
      <c r="B33" s="14" t="s">
        <v>12</v>
      </c>
      <c r="C33" s="10">
        <v>9</v>
      </c>
      <c r="D33" s="11"/>
      <c r="E33" s="11" t="s">
        <v>11</v>
      </c>
      <c r="F33" s="11" t="s">
        <v>11</v>
      </c>
      <c r="G33" s="11" t="s">
        <v>11</v>
      </c>
      <c r="H33" s="11"/>
      <c r="I33" s="11"/>
      <c r="J33" s="11" t="s">
        <v>11</v>
      </c>
      <c r="K33" s="15"/>
      <c r="L33" s="17">
        <v>4</v>
      </c>
      <c r="M33" s="13">
        <f t="shared" ref="M33:M40" si="3">L33*C33</f>
        <v>36</v>
      </c>
      <c r="N33" s="13">
        <f t="shared" ref="N33:N39" si="4">M33</f>
        <v>36</v>
      </c>
      <c r="O33" s="17"/>
    </row>
    <row r="34" spans="1:15" x14ac:dyDescent="0.25">
      <c r="A34" s="1">
        <v>3</v>
      </c>
      <c r="B34" s="14" t="s">
        <v>23</v>
      </c>
      <c r="C34" s="10">
        <v>5</v>
      </c>
      <c r="D34" s="11"/>
      <c r="E34" s="11" t="s">
        <v>11</v>
      </c>
      <c r="F34" s="11" t="s">
        <v>11</v>
      </c>
      <c r="G34" s="11" t="s">
        <v>11</v>
      </c>
      <c r="H34" s="11"/>
      <c r="I34" s="11"/>
      <c r="J34" s="11" t="s">
        <v>11</v>
      </c>
      <c r="K34" s="15"/>
      <c r="L34" s="17">
        <v>4</v>
      </c>
      <c r="M34" s="13">
        <f t="shared" si="3"/>
        <v>20</v>
      </c>
      <c r="N34" s="13">
        <f t="shared" si="4"/>
        <v>20</v>
      </c>
      <c r="O34" s="17"/>
    </row>
    <row r="35" spans="1:15" x14ac:dyDescent="0.25">
      <c r="A35" s="1">
        <v>4</v>
      </c>
      <c r="B35" s="14" t="s">
        <v>24</v>
      </c>
      <c r="C35" s="10">
        <v>5</v>
      </c>
      <c r="D35" s="11"/>
      <c r="E35" s="11"/>
      <c r="F35" s="12"/>
      <c r="G35" s="11"/>
      <c r="H35" s="11"/>
      <c r="I35" s="11"/>
      <c r="J35" s="11"/>
      <c r="K35" s="15"/>
      <c r="L35" s="17"/>
      <c r="M35" s="13">
        <f t="shared" si="3"/>
        <v>0</v>
      </c>
      <c r="N35" s="13">
        <f t="shared" si="4"/>
        <v>0</v>
      </c>
      <c r="O35" s="17"/>
    </row>
    <row r="36" spans="1:15" x14ac:dyDescent="0.25">
      <c r="A36" s="1">
        <v>5</v>
      </c>
      <c r="B36" s="14" t="s">
        <v>25</v>
      </c>
      <c r="C36" s="10">
        <v>5</v>
      </c>
      <c r="D36" s="11"/>
      <c r="E36" s="11"/>
      <c r="F36" s="12"/>
      <c r="G36" s="11" t="s">
        <v>11</v>
      </c>
      <c r="H36" s="11"/>
      <c r="I36" s="11"/>
      <c r="J36" s="11" t="s">
        <v>11</v>
      </c>
      <c r="K36" s="15"/>
      <c r="L36" s="17">
        <v>2</v>
      </c>
      <c r="M36" s="13">
        <f t="shared" si="3"/>
        <v>10</v>
      </c>
      <c r="N36" s="13">
        <f t="shared" si="4"/>
        <v>10</v>
      </c>
      <c r="O36" s="17"/>
    </row>
    <row r="37" spans="1:15" x14ac:dyDescent="0.25">
      <c r="A37" s="1">
        <v>6</v>
      </c>
      <c r="B37" s="14" t="s">
        <v>26</v>
      </c>
      <c r="C37" s="10">
        <v>5</v>
      </c>
      <c r="D37" s="11"/>
      <c r="E37" s="11"/>
      <c r="F37" s="12"/>
      <c r="G37" s="11" t="s">
        <v>11</v>
      </c>
      <c r="H37" s="11"/>
      <c r="I37" s="11"/>
      <c r="J37" s="11" t="s">
        <v>11</v>
      </c>
      <c r="K37" s="15"/>
      <c r="L37" s="17">
        <v>2</v>
      </c>
      <c r="M37" s="13">
        <f t="shared" si="3"/>
        <v>10</v>
      </c>
      <c r="N37" s="13">
        <f t="shared" si="4"/>
        <v>10</v>
      </c>
      <c r="O37" s="17"/>
    </row>
    <row r="38" spans="1:15" x14ac:dyDescent="0.25">
      <c r="A38" s="1">
        <v>7</v>
      </c>
      <c r="B38" s="14" t="s">
        <v>27</v>
      </c>
      <c r="C38" s="10">
        <v>5</v>
      </c>
      <c r="D38" s="11"/>
      <c r="E38" s="11"/>
      <c r="F38" s="12"/>
      <c r="G38" s="11" t="s">
        <v>11</v>
      </c>
      <c r="H38" s="11" t="s">
        <v>11</v>
      </c>
      <c r="I38" s="11" t="s">
        <v>11</v>
      </c>
      <c r="J38" s="11" t="s">
        <v>11</v>
      </c>
      <c r="K38" s="15"/>
      <c r="L38" s="17">
        <v>4</v>
      </c>
      <c r="M38" s="13">
        <f t="shared" si="3"/>
        <v>20</v>
      </c>
      <c r="N38" s="13">
        <f t="shared" si="4"/>
        <v>20</v>
      </c>
      <c r="O38" s="17"/>
    </row>
    <row r="39" spans="1:15" x14ac:dyDescent="0.25">
      <c r="A39" s="1">
        <v>8</v>
      </c>
      <c r="B39" s="9" t="s">
        <v>13</v>
      </c>
      <c r="C39" s="10">
        <v>110</v>
      </c>
      <c r="D39" s="15"/>
      <c r="E39" s="11" t="s">
        <v>11</v>
      </c>
      <c r="F39" s="12"/>
      <c r="G39" s="11"/>
      <c r="H39" s="11"/>
      <c r="I39" s="11"/>
      <c r="J39" s="11"/>
      <c r="K39" s="11" t="s">
        <v>11</v>
      </c>
      <c r="L39" s="17">
        <v>1</v>
      </c>
      <c r="M39" s="13">
        <f t="shared" si="3"/>
        <v>110</v>
      </c>
      <c r="N39" s="13">
        <f t="shared" si="4"/>
        <v>110</v>
      </c>
      <c r="O39" s="17">
        <f>C39*1</f>
        <v>110</v>
      </c>
    </row>
    <row r="40" spans="1:15" x14ac:dyDescent="0.25">
      <c r="A40" s="1">
        <v>9</v>
      </c>
      <c r="B40" s="17" t="s">
        <v>14</v>
      </c>
      <c r="C40" s="10">
        <v>9</v>
      </c>
      <c r="D40" s="15"/>
      <c r="E40" s="15"/>
      <c r="F40" s="12"/>
      <c r="G40" s="11" t="s">
        <v>11</v>
      </c>
      <c r="H40" s="11"/>
      <c r="I40" s="11"/>
      <c r="J40" s="11" t="s">
        <v>11</v>
      </c>
      <c r="K40" s="15"/>
      <c r="L40" s="17">
        <v>2</v>
      </c>
      <c r="M40" s="13">
        <f t="shared" si="3"/>
        <v>18</v>
      </c>
      <c r="N40" s="13"/>
      <c r="O40" s="17"/>
    </row>
    <row r="41" spans="1:15" ht="15.75" x14ac:dyDescent="0.25">
      <c r="A41" s="1"/>
      <c r="B41" s="19" t="s">
        <v>15</v>
      </c>
      <c r="C41" s="24"/>
      <c r="D41" s="21"/>
      <c r="E41" s="21"/>
      <c r="F41" s="21"/>
      <c r="G41" s="21"/>
      <c r="H41" s="21"/>
      <c r="I41" s="21"/>
      <c r="J41" s="11"/>
      <c r="K41" s="21"/>
      <c r="L41" s="17"/>
      <c r="M41" s="13">
        <f>M32+M33+M34+M35+M36+M37+M38+M39+M40</f>
        <v>304</v>
      </c>
      <c r="N41" s="13">
        <f>N32+N33+N34+N35+N36+N37+N38+N39+N40</f>
        <v>286</v>
      </c>
      <c r="O41" s="17">
        <f>O32+O39</f>
        <v>130</v>
      </c>
    </row>
    <row r="45" spans="1:15" x14ac:dyDescent="0.25">
      <c r="B45" s="2" t="s">
        <v>19</v>
      </c>
      <c r="C45" s="26" t="s">
        <v>22</v>
      </c>
    </row>
    <row r="46" spans="1:15" ht="28.5" customHeight="1" x14ac:dyDescent="0.25">
      <c r="A46" s="4"/>
      <c r="B46" s="5"/>
      <c r="C46" s="6" t="s">
        <v>16</v>
      </c>
      <c r="D46" s="7" t="s">
        <v>2</v>
      </c>
      <c r="E46" s="8" t="s">
        <v>3</v>
      </c>
      <c r="F46" s="8" t="s">
        <v>4</v>
      </c>
      <c r="G46" s="8" t="s">
        <v>5</v>
      </c>
      <c r="H46" s="8" t="s">
        <v>17</v>
      </c>
      <c r="I46" s="8" t="s">
        <v>18</v>
      </c>
      <c r="J46" s="8" t="s">
        <v>20</v>
      </c>
      <c r="K46" s="8" t="s">
        <v>6</v>
      </c>
      <c r="L46" s="8" t="s">
        <v>7</v>
      </c>
      <c r="M46" s="8" t="s">
        <v>8</v>
      </c>
      <c r="N46" s="8" t="s">
        <v>28</v>
      </c>
    </row>
    <row r="47" spans="1:15" x14ac:dyDescent="0.25">
      <c r="A47" s="1">
        <v>1</v>
      </c>
      <c r="B47" s="9" t="s">
        <v>10</v>
      </c>
      <c r="C47" s="10">
        <v>20</v>
      </c>
      <c r="D47" s="11"/>
      <c r="E47" s="11" t="s">
        <v>11</v>
      </c>
      <c r="F47" s="11" t="s">
        <v>11</v>
      </c>
      <c r="G47" s="11" t="s">
        <v>11</v>
      </c>
      <c r="H47" s="11"/>
      <c r="I47" s="11"/>
      <c r="J47" s="11" t="s">
        <v>11</v>
      </c>
      <c r="K47" s="11" t="s">
        <v>11</v>
      </c>
      <c r="L47" s="17">
        <v>4</v>
      </c>
      <c r="M47" s="13">
        <f>L47*C47</f>
        <v>80</v>
      </c>
      <c r="N47" s="17">
        <f>C47*1</f>
        <v>20</v>
      </c>
    </row>
    <row r="48" spans="1:15" x14ac:dyDescent="0.25">
      <c r="A48" s="1">
        <v>2</v>
      </c>
      <c r="B48" s="14" t="s">
        <v>12</v>
      </c>
      <c r="C48" s="10">
        <v>9</v>
      </c>
      <c r="D48" s="11"/>
      <c r="E48" s="11" t="s">
        <v>11</v>
      </c>
      <c r="F48" s="12"/>
      <c r="G48" s="11" t="s">
        <v>11</v>
      </c>
      <c r="H48" s="11"/>
      <c r="I48" s="11"/>
      <c r="J48" s="11" t="s">
        <v>11</v>
      </c>
      <c r="K48" s="15"/>
      <c r="L48" s="17">
        <v>3</v>
      </c>
      <c r="M48" s="13">
        <f t="shared" ref="M48:M54" si="5">L48*C48</f>
        <v>27</v>
      </c>
      <c r="N48" s="17"/>
    </row>
    <row r="49" spans="1:14" x14ac:dyDescent="0.25">
      <c r="A49" s="1">
        <v>3</v>
      </c>
      <c r="B49" s="14" t="s">
        <v>23</v>
      </c>
      <c r="C49" s="10">
        <v>5</v>
      </c>
      <c r="D49" s="11"/>
      <c r="E49" s="11" t="s">
        <v>11</v>
      </c>
      <c r="F49" s="11" t="s">
        <v>11</v>
      </c>
      <c r="G49" s="11" t="s">
        <v>11</v>
      </c>
      <c r="H49" s="11" t="s">
        <v>11</v>
      </c>
      <c r="I49" s="11" t="s">
        <v>11</v>
      </c>
      <c r="J49" s="11" t="s">
        <v>11</v>
      </c>
      <c r="K49" s="15"/>
      <c r="L49" s="17">
        <v>6</v>
      </c>
      <c r="M49" s="13">
        <f t="shared" si="5"/>
        <v>30</v>
      </c>
      <c r="N49" s="17"/>
    </row>
    <row r="50" spans="1:14" x14ac:dyDescent="0.25">
      <c r="A50" s="1">
        <v>4</v>
      </c>
      <c r="B50" s="14" t="s">
        <v>24</v>
      </c>
      <c r="C50" s="10">
        <v>5</v>
      </c>
      <c r="D50" s="11"/>
      <c r="E50" s="11"/>
      <c r="F50" s="12"/>
      <c r="G50" s="11"/>
      <c r="H50" s="11"/>
      <c r="I50" s="11"/>
      <c r="J50" s="11"/>
      <c r="K50" s="15"/>
      <c r="L50" s="17"/>
      <c r="M50" s="13">
        <f t="shared" si="5"/>
        <v>0</v>
      </c>
      <c r="N50" s="17"/>
    </row>
    <row r="51" spans="1:14" x14ac:dyDescent="0.25">
      <c r="A51" s="1">
        <v>5</v>
      </c>
      <c r="B51" s="14" t="s">
        <v>25</v>
      </c>
      <c r="C51" s="10">
        <v>5</v>
      </c>
      <c r="D51" s="11"/>
      <c r="E51" s="11"/>
      <c r="F51" s="12"/>
      <c r="G51" s="11" t="s">
        <v>11</v>
      </c>
      <c r="H51" s="11"/>
      <c r="I51" s="11"/>
      <c r="J51" s="11" t="s">
        <v>11</v>
      </c>
      <c r="K51" s="15"/>
      <c r="L51" s="17">
        <v>2</v>
      </c>
      <c r="M51" s="13">
        <f t="shared" si="5"/>
        <v>10</v>
      </c>
      <c r="N51" s="17"/>
    </row>
    <row r="52" spans="1:14" x14ac:dyDescent="0.25">
      <c r="A52" s="1">
        <v>6</v>
      </c>
      <c r="B52" s="14" t="s">
        <v>26</v>
      </c>
      <c r="C52" s="10">
        <v>5</v>
      </c>
      <c r="D52" s="11"/>
      <c r="E52" s="11"/>
      <c r="F52" s="12"/>
      <c r="G52" s="11" t="s">
        <v>11</v>
      </c>
      <c r="H52" s="11"/>
      <c r="I52" s="11"/>
      <c r="J52" s="11" t="s">
        <v>11</v>
      </c>
      <c r="K52" s="15"/>
      <c r="L52" s="17">
        <v>2</v>
      </c>
      <c r="M52" s="13">
        <f t="shared" si="5"/>
        <v>10</v>
      </c>
      <c r="N52" s="17"/>
    </row>
    <row r="53" spans="1:14" x14ac:dyDescent="0.25">
      <c r="A53" s="1">
        <v>7</v>
      </c>
      <c r="B53" s="14" t="s">
        <v>27</v>
      </c>
      <c r="C53" s="10">
        <v>5</v>
      </c>
      <c r="D53" s="11"/>
      <c r="E53" s="11"/>
      <c r="F53" s="12"/>
      <c r="G53" s="11" t="s">
        <v>11</v>
      </c>
      <c r="H53" s="11"/>
      <c r="I53" s="11"/>
      <c r="J53" s="11" t="s">
        <v>11</v>
      </c>
      <c r="K53" s="15"/>
      <c r="L53" s="17">
        <v>2</v>
      </c>
      <c r="M53" s="13">
        <f t="shared" si="5"/>
        <v>10</v>
      </c>
      <c r="N53" s="17"/>
    </row>
    <row r="54" spans="1:14" x14ac:dyDescent="0.25">
      <c r="A54" s="1">
        <v>8</v>
      </c>
      <c r="B54" s="9" t="s">
        <v>13</v>
      </c>
      <c r="C54" s="10">
        <v>110</v>
      </c>
      <c r="D54" s="15"/>
      <c r="E54" s="11" t="s">
        <v>11</v>
      </c>
      <c r="F54" s="12"/>
      <c r="G54" s="11"/>
      <c r="H54" s="11"/>
      <c r="I54" s="11"/>
      <c r="J54" s="11"/>
      <c r="K54" s="11" t="s">
        <v>11</v>
      </c>
      <c r="L54" s="17">
        <v>1</v>
      </c>
      <c r="M54" s="13">
        <f t="shared" si="5"/>
        <v>110</v>
      </c>
      <c r="N54" s="17">
        <f>C54*1</f>
        <v>110</v>
      </c>
    </row>
    <row r="55" spans="1:14" ht="15.75" x14ac:dyDescent="0.25">
      <c r="A55" s="18"/>
      <c r="B55" s="19" t="s">
        <v>15</v>
      </c>
      <c r="C55" s="24"/>
      <c r="D55" s="21"/>
      <c r="E55" s="21"/>
      <c r="F55" s="21"/>
      <c r="G55" s="21"/>
      <c r="H55" s="21"/>
      <c r="I55" s="21"/>
      <c r="J55" s="11"/>
      <c r="K55" s="21"/>
      <c r="L55" s="17"/>
      <c r="M55" s="13">
        <f>M47+M48+M49+M51+M52+M53+M54</f>
        <v>277</v>
      </c>
      <c r="N55" s="13">
        <f>N47+N54</f>
        <v>130</v>
      </c>
    </row>
  </sheetData>
  <mergeCells count="2">
    <mergeCell ref="D1:F1"/>
    <mergeCell ref="D15:F15"/>
  </mergeCells>
  <pageMargins left="0.7" right="0.7" top="0.75" bottom="0.75" header="0.3" footer="0.3"/>
  <pageSetup paperSize="9" scale="57" orientation="landscape" horizontalDpi="4294967294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opLeftCell="A40" workbookViewId="0">
      <selection activeCell="A40" sqref="A1:XFD1048576"/>
    </sheetView>
  </sheetViews>
  <sheetFormatPr defaultColWidth="8.85546875" defaultRowHeight="15" x14ac:dyDescent="0.25"/>
  <cols>
    <col min="1" max="1" width="6" style="16" customWidth="1"/>
    <col min="2" max="2" width="36.7109375" style="3" bestFit="1" customWidth="1"/>
    <col min="3" max="3" width="11.7109375" style="3" customWidth="1"/>
    <col min="4" max="6" width="8.42578125" style="22" bestFit="1" customWidth="1"/>
    <col min="7" max="7" width="10.28515625" style="23" customWidth="1"/>
    <col min="8" max="8" width="10.85546875" style="3" customWidth="1"/>
    <col min="9" max="9" width="10" style="3" customWidth="1"/>
    <col min="10" max="10" width="13.42578125" style="3" customWidth="1"/>
    <col min="11" max="11" width="14" style="3" customWidth="1"/>
    <col min="12" max="12" width="11.140625" style="3" bestFit="1" customWidth="1"/>
    <col min="13" max="13" width="13.85546875" style="3" customWidth="1"/>
    <col min="14" max="14" width="13.5703125" style="3" customWidth="1"/>
    <col min="15" max="15" width="10.28515625" style="3" customWidth="1"/>
    <col min="16" max="16" width="9.85546875" style="3" customWidth="1"/>
    <col min="17" max="16384" width="8.85546875" style="3"/>
  </cols>
  <sheetData>
    <row r="1" spans="1:12" ht="12.75" customHeight="1" x14ac:dyDescent="0.25">
      <c r="A1" s="1"/>
      <c r="B1" s="2" t="s">
        <v>0</v>
      </c>
      <c r="C1" s="25" t="s">
        <v>21</v>
      </c>
      <c r="D1" s="203"/>
      <c r="E1" s="204"/>
      <c r="F1" s="204"/>
      <c r="G1" s="3"/>
    </row>
    <row r="2" spans="1:12" ht="28.5" customHeight="1" x14ac:dyDescent="0.25">
      <c r="A2" s="4"/>
      <c r="B2" s="5"/>
      <c r="C2" s="6" t="s">
        <v>1</v>
      </c>
      <c r="D2" s="7" t="s">
        <v>2</v>
      </c>
      <c r="E2" s="8" t="s">
        <v>3</v>
      </c>
      <c r="F2" s="8" t="s">
        <v>4</v>
      </c>
      <c r="G2" s="8" t="s">
        <v>5</v>
      </c>
      <c r="H2" s="8" t="s">
        <v>6</v>
      </c>
      <c r="I2" s="8" t="s">
        <v>7</v>
      </c>
      <c r="J2" s="8" t="s">
        <v>8</v>
      </c>
      <c r="K2" s="8" t="s">
        <v>9</v>
      </c>
      <c r="L2" s="8" t="s">
        <v>28</v>
      </c>
    </row>
    <row r="3" spans="1:12" x14ac:dyDescent="0.25">
      <c r="A3" s="1">
        <v>1</v>
      </c>
      <c r="B3" s="9" t="s">
        <v>10</v>
      </c>
      <c r="C3" s="10">
        <v>20</v>
      </c>
      <c r="D3" s="11"/>
      <c r="E3" s="11" t="s">
        <v>11</v>
      </c>
      <c r="F3" s="11" t="s">
        <v>11</v>
      </c>
      <c r="G3" s="11" t="s">
        <v>11</v>
      </c>
      <c r="H3" s="11" t="s">
        <v>11</v>
      </c>
      <c r="I3" s="1">
        <v>3</v>
      </c>
      <c r="J3" s="13">
        <f>I3*C3</f>
        <v>60</v>
      </c>
      <c r="K3" s="13">
        <f>J3</f>
        <v>60</v>
      </c>
      <c r="L3" s="17">
        <f>C3*1</f>
        <v>20</v>
      </c>
    </row>
    <row r="4" spans="1:12" x14ac:dyDescent="0.25">
      <c r="A4" s="1">
        <v>2</v>
      </c>
      <c r="B4" s="14" t="s">
        <v>12</v>
      </c>
      <c r="C4" s="10">
        <v>9</v>
      </c>
      <c r="D4" s="11"/>
      <c r="E4" s="11" t="s">
        <v>11</v>
      </c>
      <c r="F4" s="12" t="s">
        <v>11</v>
      </c>
      <c r="G4" s="11" t="s">
        <v>11</v>
      </c>
      <c r="H4" s="15"/>
      <c r="I4" s="1">
        <v>3</v>
      </c>
      <c r="J4" s="13">
        <f t="shared" ref="J4:J11" si="0">I4*C4</f>
        <v>27</v>
      </c>
      <c r="K4" s="13">
        <f>J4</f>
        <v>27</v>
      </c>
      <c r="L4" s="17"/>
    </row>
    <row r="5" spans="1:12" x14ac:dyDescent="0.25">
      <c r="A5" s="1">
        <v>3</v>
      </c>
      <c r="B5" s="14" t="s">
        <v>23</v>
      </c>
      <c r="C5" s="10">
        <v>5</v>
      </c>
      <c r="D5" s="11"/>
      <c r="E5" s="11" t="s">
        <v>11</v>
      </c>
      <c r="F5" s="11" t="s">
        <v>11</v>
      </c>
      <c r="G5" s="11" t="s">
        <v>11</v>
      </c>
      <c r="H5" s="15"/>
      <c r="I5" s="1">
        <v>3</v>
      </c>
      <c r="J5" s="13">
        <f>I5*C5</f>
        <v>15</v>
      </c>
      <c r="K5" s="13">
        <f>I5*C5</f>
        <v>15</v>
      </c>
      <c r="L5" s="17"/>
    </row>
    <row r="6" spans="1:12" x14ac:dyDescent="0.25">
      <c r="A6" s="1">
        <v>4</v>
      </c>
      <c r="B6" s="14" t="s">
        <v>24</v>
      </c>
      <c r="C6" s="10">
        <v>5</v>
      </c>
      <c r="D6" s="11"/>
      <c r="E6" s="11"/>
      <c r="F6" s="12"/>
      <c r="G6" s="11"/>
      <c r="H6" s="15"/>
      <c r="I6" s="1"/>
      <c r="J6" s="13">
        <f t="shared" ref="J6:J9" si="1">I6*C6</f>
        <v>0</v>
      </c>
      <c r="K6" s="13">
        <f t="shared" ref="K6:K9" si="2">I6*C6</f>
        <v>0</v>
      </c>
      <c r="L6" s="17"/>
    </row>
    <row r="7" spans="1:12" x14ac:dyDescent="0.25">
      <c r="A7" s="1">
        <v>5</v>
      </c>
      <c r="B7" s="14" t="s">
        <v>25</v>
      </c>
      <c r="C7" s="10">
        <v>5</v>
      </c>
      <c r="D7" s="11"/>
      <c r="E7" s="11"/>
      <c r="F7" s="12"/>
      <c r="G7" s="11" t="s">
        <v>11</v>
      </c>
      <c r="H7" s="15"/>
      <c r="I7" s="1">
        <v>1</v>
      </c>
      <c r="J7" s="13">
        <f>I7*C7</f>
        <v>5</v>
      </c>
      <c r="K7" s="13">
        <f>I7*C7</f>
        <v>5</v>
      </c>
      <c r="L7" s="17"/>
    </row>
    <row r="8" spans="1:12" x14ac:dyDescent="0.25">
      <c r="A8" s="1">
        <v>6</v>
      </c>
      <c r="B8" s="14" t="s">
        <v>26</v>
      </c>
      <c r="C8" s="10">
        <v>5</v>
      </c>
      <c r="D8" s="11"/>
      <c r="E8" s="11"/>
      <c r="F8" s="12"/>
      <c r="G8" s="11" t="s">
        <v>11</v>
      </c>
      <c r="H8" s="15"/>
      <c r="I8" s="1">
        <v>1</v>
      </c>
      <c r="J8" s="13">
        <f t="shared" si="1"/>
        <v>5</v>
      </c>
      <c r="K8" s="13">
        <f t="shared" si="2"/>
        <v>5</v>
      </c>
      <c r="L8" s="17"/>
    </row>
    <row r="9" spans="1:12" x14ac:dyDescent="0.25">
      <c r="A9" s="1">
        <v>7</v>
      </c>
      <c r="B9" s="14" t="s">
        <v>27</v>
      </c>
      <c r="C9" s="10">
        <v>5</v>
      </c>
      <c r="D9" s="11"/>
      <c r="E9" s="11"/>
      <c r="F9" s="12"/>
      <c r="G9" s="11" t="s">
        <v>11</v>
      </c>
      <c r="H9" s="15"/>
      <c r="I9" s="1">
        <v>1</v>
      </c>
      <c r="J9" s="13">
        <f t="shared" si="1"/>
        <v>5</v>
      </c>
      <c r="K9" s="13">
        <f t="shared" si="2"/>
        <v>5</v>
      </c>
      <c r="L9" s="17"/>
    </row>
    <row r="10" spans="1:12" x14ac:dyDescent="0.25">
      <c r="A10" s="1">
        <v>8</v>
      </c>
      <c r="B10" s="162" t="s">
        <v>142</v>
      </c>
      <c r="C10" s="10">
        <v>60</v>
      </c>
      <c r="D10" s="15"/>
      <c r="E10" s="11" t="s">
        <v>11</v>
      </c>
      <c r="F10" s="12"/>
      <c r="G10" s="11"/>
      <c r="H10" s="11" t="s">
        <v>11</v>
      </c>
      <c r="I10" s="1">
        <v>1</v>
      </c>
      <c r="J10" s="13">
        <f t="shared" si="0"/>
        <v>60</v>
      </c>
      <c r="K10" s="13">
        <f>J10</f>
        <v>60</v>
      </c>
      <c r="L10" s="17">
        <f>C10*1</f>
        <v>60</v>
      </c>
    </row>
    <row r="11" spans="1:12" x14ac:dyDescent="0.25">
      <c r="A11" s="1">
        <v>9</v>
      </c>
      <c r="B11" s="17" t="s">
        <v>14</v>
      </c>
      <c r="C11" s="10">
        <v>9</v>
      </c>
      <c r="D11" s="15"/>
      <c r="E11" s="15"/>
      <c r="F11" s="12"/>
      <c r="G11" s="11" t="s">
        <v>11</v>
      </c>
      <c r="H11" s="15"/>
      <c r="I11" s="1">
        <v>1</v>
      </c>
      <c r="J11" s="13">
        <f t="shared" si="0"/>
        <v>9</v>
      </c>
      <c r="K11" s="13"/>
      <c r="L11" s="17"/>
    </row>
    <row r="12" spans="1:12" ht="15.75" x14ac:dyDescent="0.25">
      <c r="A12" s="1"/>
      <c r="B12" s="19" t="s">
        <v>15</v>
      </c>
      <c r="C12" s="20"/>
      <c r="D12" s="21"/>
      <c r="E12" s="21"/>
      <c r="F12" s="21"/>
      <c r="G12" s="21"/>
      <c r="H12" s="21"/>
      <c r="I12" s="1"/>
      <c r="J12" s="13">
        <f>J3+J4+J5+J7+J8+J9+J10+J11</f>
        <v>186</v>
      </c>
      <c r="K12" s="13">
        <f>K3+K4+K5+K7+K8+K9+K10</f>
        <v>177</v>
      </c>
      <c r="L12" s="17">
        <f>L3+L10</f>
        <v>80</v>
      </c>
    </row>
    <row r="15" spans="1:12" ht="12.75" customHeight="1" x14ac:dyDescent="0.25">
      <c r="A15" s="1"/>
      <c r="B15" s="2" t="s">
        <v>0</v>
      </c>
      <c r="C15" s="25" t="s">
        <v>22</v>
      </c>
      <c r="D15" s="203"/>
      <c r="E15" s="204"/>
      <c r="F15" s="204"/>
      <c r="G15" s="3"/>
    </row>
    <row r="16" spans="1:12" ht="28.5" customHeight="1" x14ac:dyDescent="0.25">
      <c r="A16" s="4"/>
      <c r="B16" s="5"/>
      <c r="C16" s="6" t="s">
        <v>1</v>
      </c>
      <c r="D16" s="7" t="s">
        <v>2</v>
      </c>
      <c r="E16" s="8" t="s">
        <v>3</v>
      </c>
      <c r="F16" s="8" t="s">
        <v>4</v>
      </c>
      <c r="G16" s="8" t="s">
        <v>5</v>
      </c>
      <c r="H16" s="8" t="s">
        <v>6</v>
      </c>
      <c r="I16" s="8" t="s">
        <v>7</v>
      </c>
      <c r="J16" s="8" t="s">
        <v>8</v>
      </c>
      <c r="K16" s="8" t="s">
        <v>28</v>
      </c>
      <c r="L16" s="8"/>
    </row>
    <row r="17" spans="1:15" x14ac:dyDescent="0.25">
      <c r="A17" s="1">
        <v>1</v>
      </c>
      <c r="B17" s="9" t="s">
        <v>10</v>
      </c>
      <c r="C17" s="10">
        <v>20</v>
      </c>
      <c r="D17" s="11"/>
      <c r="E17" s="11" t="s">
        <v>11</v>
      </c>
      <c r="F17" s="11" t="s">
        <v>11</v>
      </c>
      <c r="G17" s="11" t="s">
        <v>11</v>
      </c>
      <c r="H17" s="11" t="s">
        <v>11</v>
      </c>
      <c r="I17" s="1">
        <v>3</v>
      </c>
      <c r="J17" s="13">
        <f>I17*C17</f>
        <v>60</v>
      </c>
      <c r="K17" s="17">
        <f>C17*1</f>
        <v>20</v>
      </c>
      <c r="L17" s="17"/>
    </row>
    <row r="18" spans="1:15" x14ac:dyDescent="0.25">
      <c r="A18" s="1">
        <v>2</v>
      </c>
      <c r="B18" s="14" t="s">
        <v>12</v>
      </c>
      <c r="C18" s="10">
        <v>9</v>
      </c>
      <c r="D18" s="11"/>
      <c r="E18" s="11" t="s">
        <v>11</v>
      </c>
      <c r="F18" s="12"/>
      <c r="G18" s="11" t="s">
        <v>11</v>
      </c>
      <c r="H18" s="15"/>
      <c r="I18" s="1">
        <v>2</v>
      </c>
      <c r="J18" s="13">
        <f>I18*C18</f>
        <v>18</v>
      </c>
      <c r="K18" s="17"/>
      <c r="L18" s="17"/>
    </row>
    <row r="19" spans="1:15" x14ac:dyDescent="0.25">
      <c r="A19" s="1">
        <v>3</v>
      </c>
      <c r="B19" s="14" t="s">
        <v>23</v>
      </c>
      <c r="C19" s="10">
        <v>5</v>
      </c>
      <c r="D19" s="11"/>
      <c r="E19" s="11" t="s">
        <v>11</v>
      </c>
      <c r="F19" s="11" t="s">
        <v>11</v>
      </c>
      <c r="G19" s="11" t="s">
        <v>11</v>
      </c>
      <c r="H19" s="15"/>
      <c r="I19" s="1">
        <v>3</v>
      </c>
      <c r="J19" s="13">
        <f>I19*C19</f>
        <v>15</v>
      </c>
      <c r="K19" s="17"/>
      <c r="L19" s="17"/>
    </row>
    <row r="20" spans="1:15" x14ac:dyDescent="0.25">
      <c r="A20" s="1">
        <v>4</v>
      </c>
      <c r="B20" s="14" t="s">
        <v>24</v>
      </c>
      <c r="C20" s="10">
        <v>5</v>
      </c>
      <c r="D20" s="11"/>
      <c r="E20" s="11"/>
      <c r="F20" s="12"/>
      <c r="G20" s="11"/>
      <c r="H20" s="15"/>
      <c r="I20" s="1"/>
      <c r="J20" s="13"/>
      <c r="K20" s="17"/>
      <c r="L20" s="17"/>
    </row>
    <row r="21" spans="1:15" x14ac:dyDescent="0.25">
      <c r="A21" s="1">
        <v>5</v>
      </c>
      <c r="B21" s="14" t="s">
        <v>25</v>
      </c>
      <c r="C21" s="10">
        <v>5</v>
      </c>
      <c r="D21" s="11"/>
      <c r="E21" s="11"/>
      <c r="F21" s="12"/>
      <c r="G21" s="11" t="s">
        <v>11</v>
      </c>
      <c r="H21" s="15"/>
      <c r="I21" s="1">
        <v>1</v>
      </c>
      <c r="J21" s="13">
        <f>I21*C21</f>
        <v>5</v>
      </c>
      <c r="K21" s="17"/>
      <c r="L21" s="17"/>
    </row>
    <row r="22" spans="1:15" x14ac:dyDescent="0.25">
      <c r="A22" s="1">
        <v>6</v>
      </c>
      <c r="B22" s="14" t="s">
        <v>26</v>
      </c>
      <c r="C22" s="10">
        <v>5</v>
      </c>
      <c r="D22" s="11"/>
      <c r="E22" s="11"/>
      <c r="F22" s="12"/>
      <c r="G22" s="11" t="s">
        <v>11</v>
      </c>
      <c r="H22" s="15"/>
      <c r="I22" s="1">
        <v>1</v>
      </c>
      <c r="J22" s="13">
        <f>I22*C22</f>
        <v>5</v>
      </c>
      <c r="K22" s="17"/>
      <c r="L22" s="17"/>
    </row>
    <row r="23" spans="1:15" x14ac:dyDescent="0.25">
      <c r="A23" s="1">
        <v>7</v>
      </c>
      <c r="B23" s="14" t="s">
        <v>27</v>
      </c>
      <c r="C23" s="10">
        <v>25</v>
      </c>
      <c r="D23" s="15"/>
      <c r="E23" s="11"/>
      <c r="F23" s="12"/>
      <c r="G23" s="11" t="s">
        <v>11</v>
      </c>
      <c r="H23" s="15"/>
      <c r="I23" s="1">
        <v>1</v>
      </c>
      <c r="J23" s="13">
        <v>5</v>
      </c>
      <c r="K23" s="17"/>
      <c r="L23" s="17"/>
    </row>
    <row r="24" spans="1:15" x14ac:dyDescent="0.25">
      <c r="A24" s="1">
        <v>8</v>
      </c>
      <c r="B24" s="162" t="s">
        <v>142</v>
      </c>
      <c r="C24" s="10">
        <v>60</v>
      </c>
      <c r="D24" s="15"/>
      <c r="E24" s="11" t="s">
        <v>11</v>
      </c>
      <c r="F24" s="12"/>
      <c r="G24" s="11"/>
      <c r="H24" s="11" t="s">
        <v>11</v>
      </c>
      <c r="I24" s="1">
        <v>1</v>
      </c>
      <c r="J24" s="13">
        <f>I24*C24</f>
        <v>60</v>
      </c>
      <c r="K24" s="17">
        <f>C24*1</f>
        <v>60</v>
      </c>
      <c r="L24" s="17"/>
    </row>
    <row r="25" spans="1:15" ht="15.75" x14ac:dyDescent="0.25">
      <c r="A25" s="1"/>
      <c r="B25" s="19" t="s">
        <v>15</v>
      </c>
      <c r="C25" s="20"/>
      <c r="D25" s="21"/>
      <c r="E25" s="21"/>
      <c r="F25" s="21"/>
      <c r="G25" s="21"/>
      <c r="H25" s="21"/>
      <c r="I25" s="1"/>
      <c r="J25" s="13">
        <f>J17+J18+J19+J21+J22+J23+J24</f>
        <v>168</v>
      </c>
      <c r="K25" s="17">
        <f>K17+K24</f>
        <v>80</v>
      </c>
      <c r="L25" s="17"/>
    </row>
    <row r="26" spans="1:15" x14ac:dyDescent="0.25">
      <c r="F26" s="163" t="s">
        <v>143</v>
      </c>
    </row>
    <row r="30" spans="1:15" x14ac:dyDescent="0.25">
      <c r="B30" s="2" t="s">
        <v>19</v>
      </c>
      <c r="C30" s="26" t="s">
        <v>29</v>
      </c>
    </row>
    <row r="31" spans="1:15" ht="28.5" customHeight="1" x14ac:dyDescent="0.25">
      <c r="A31" s="4"/>
      <c r="B31" s="5"/>
      <c r="C31" s="6" t="s">
        <v>16</v>
      </c>
      <c r="D31" s="7" t="s">
        <v>2</v>
      </c>
      <c r="E31" s="8" t="s">
        <v>3</v>
      </c>
      <c r="F31" s="8" t="s">
        <v>4</v>
      </c>
      <c r="G31" s="8" t="s">
        <v>5</v>
      </c>
      <c r="H31" s="8" t="s">
        <v>17</v>
      </c>
      <c r="I31" s="8" t="s">
        <v>18</v>
      </c>
      <c r="J31" s="8" t="s">
        <v>20</v>
      </c>
      <c r="K31" s="8" t="s">
        <v>6</v>
      </c>
      <c r="L31" s="8" t="s">
        <v>7</v>
      </c>
      <c r="M31" s="8" t="s">
        <v>8</v>
      </c>
      <c r="N31" s="8" t="s">
        <v>9</v>
      </c>
      <c r="O31" s="8" t="s">
        <v>28</v>
      </c>
    </row>
    <row r="32" spans="1:15" x14ac:dyDescent="0.25">
      <c r="A32" s="1">
        <v>1</v>
      </c>
      <c r="B32" s="9" t="s">
        <v>10</v>
      </c>
      <c r="C32" s="10">
        <v>20</v>
      </c>
      <c r="D32" s="11"/>
      <c r="E32" s="11" t="s">
        <v>11</v>
      </c>
      <c r="F32" s="11" t="s">
        <v>11</v>
      </c>
      <c r="G32" s="11" t="s">
        <v>11</v>
      </c>
      <c r="H32" s="11"/>
      <c r="I32" s="11"/>
      <c r="J32" s="11" t="s">
        <v>11</v>
      </c>
      <c r="K32" s="11" t="s">
        <v>11</v>
      </c>
      <c r="L32" s="17">
        <v>4</v>
      </c>
      <c r="M32" s="13">
        <f>L32*C32</f>
        <v>80</v>
      </c>
      <c r="N32" s="13">
        <f>M32</f>
        <v>80</v>
      </c>
      <c r="O32" s="17">
        <f>C32*1</f>
        <v>20</v>
      </c>
    </row>
    <row r="33" spans="1:15" x14ac:dyDescent="0.25">
      <c r="A33" s="1">
        <v>2</v>
      </c>
      <c r="B33" s="14" t="s">
        <v>12</v>
      </c>
      <c r="C33" s="10">
        <v>9</v>
      </c>
      <c r="D33" s="11"/>
      <c r="E33" s="11" t="s">
        <v>11</v>
      </c>
      <c r="F33" s="11" t="s">
        <v>11</v>
      </c>
      <c r="G33" s="11" t="s">
        <v>11</v>
      </c>
      <c r="H33" s="11"/>
      <c r="I33" s="11"/>
      <c r="J33" s="11" t="s">
        <v>11</v>
      </c>
      <c r="K33" s="15"/>
      <c r="L33" s="17">
        <v>4</v>
      </c>
      <c r="M33" s="13">
        <f t="shared" ref="M33:M40" si="3">L33*C33</f>
        <v>36</v>
      </c>
      <c r="N33" s="13">
        <f t="shared" ref="N33:N39" si="4">M33</f>
        <v>36</v>
      </c>
      <c r="O33" s="17"/>
    </row>
    <row r="34" spans="1:15" x14ac:dyDescent="0.25">
      <c r="A34" s="1">
        <v>3</v>
      </c>
      <c r="B34" s="14" t="s">
        <v>23</v>
      </c>
      <c r="C34" s="10">
        <v>5</v>
      </c>
      <c r="D34" s="11"/>
      <c r="E34" s="11" t="s">
        <v>11</v>
      </c>
      <c r="F34" s="11" t="s">
        <v>11</v>
      </c>
      <c r="G34" s="11" t="s">
        <v>11</v>
      </c>
      <c r="H34" s="11"/>
      <c r="I34" s="11"/>
      <c r="J34" s="11" t="s">
        <v>11</v>
      </c>
      <c r="K34" s="15"/>
      <c r="L34" s="17">
        <v>4</v>
      </c>
      <c r="M34" s="13">
        <f t="shared" si="3"/>
        <v>20</v>
      </c>
      <c r="N34" s="13">
        <f t="shared" si="4"/>
        <v>20</v>
      </c>
      <c r="O34" s="17"/>
    </row>
    <row r="35" spans="1:15" x14ac:dyDescent="0.25">
      <c r="A35" s="1">
        <v>4</v>
      </c>
      <c r="B35" s="14" t="s">
        <v>24</v>
      </c>
      <c r="C35" s="10">
        <v>5</v>
      </c>
      <c r="D35" s="11"/>
      <c r="E35" s="11"/>
      <c r="F35" s="12"/>
      <c r="G35" s="11"/>
      <c r="H35" s="11"/>
      <c r="I35" s="11"/>
      <c r="J35" s="11"/>
      <c r="K35" s="15"/>
      <c r="L35" s="17"/>
      <c r="M35" s="13">
        <f t="shared" si="3"/>
        <v>0</v>
      </c>
      <c r="N35" s="13">
        <f t="shared" si="4"/>
        <v>0</v>
      </c>
      <c r="O35" s="17"/>
    </row>
    <row r="36" spans="1:15" x14ac:dyDescent="0.25">
      <c r="A36" s="1">
        <v>5</v>
      </c>
      <c r="B36" s="14" t="s">
        <v>25</v>
      </c>
      <c r="C36" s="10">
        <v>5</v>
      </c>
      <c r="D36" s="11"/>
      <c r="E36" s="11"/>
      <c r="F36" s="12"/>
      <c r="G36" s="11" t="s">
        <v>11</v>
      </c>
      <c r="H36" s="11"/>
      <c r="I36" s="11"/>
      <c r="J36" s="11" t="s">
        <v>11</v>
      </c>
      <c r="K36" s="15"/>
      <c r="L36" s="17">
        <v>2</v>
      </c>
      <c r="M36" s="13">
        <f t="shared" si="3"/>
        <v>10</v>
      </c>
      <c r="N36" s="13">
        <f t="shared" si="4"/>
        <v>10</v>
      </c>
      <c r="O36" s="17"/>
    </row>
    <row r="37" spans="1:15" x14ac:dyDescent="0.25">
      <c r="A37" s="1">
        <v>6</v>
      </c>
      <c r="B37" s="14" t="s">
        <v>26</v>
      </c>
      <c r="C37" s="10">
        <v>5</v>
      </c>
      <c r="D37" s="11"/>
      <c r="E37" s="11"/>
      <c r="F37" s="12"/>
      <c r="G37" s="11" t="s">
        <v>11</v>
      </c>
      <c r="H37" s="11"/>
      <c r="I37" s="11"/>
      <c r="J37" s="11" t="s">
        <v>11</v>
      </c>
      <c r="K37" s="15"/>
      <c r="L37" s="17">
        <v>2</v>
      </c>
      <c r="M37" s="13">
        <f t="shared" si="3"/>
        <v>10</v>
      </c>
      <c r="N37" s="13">
        <f t="shared" si="4"/>
        <v>10</v>
      </c>
      <c r="O37" s="17"/>
    </row>
    <row r="38" spans="1:15" x14ac:dyDescent="0.25">
      <c r="A38" s="1">
        <v>7</v>
      </c>
      <c r="B38" s="14" t="s">
        <v>27</v>
      </c>
      <c r="C38" s="10">
        <v>5</v>
      </c>
      <c r="D38" s="11"/>
      <c r="E38" s="11"/>
      <c r="F38" s="12"/>
      <c r="G38" s="11" t="s">
        <v>11</v>
      </c>
      <c r="H38" s="11" t="s">
        <v>11</v>
      </c>
      <c r="I38" s="11" t="s">
        <v>11</v>
      </c>
      <c r="J38" s="11" t="s">
        <v>11</v>
      </c>
      <c r="K38" s="15"/>
      <c r="L38" s="17">
        <v>4</v>
      </c>
      <c r="M38" s="13">
        <f t="shared" si="3"/>
        <v>20</v>
      </c>
      <c r="N38" s="13">
        <f t="shared" si="4"/>
        <v>20</v>
      </c>
      <c r="O38" s="17"/>
    </row>
    <row r="39" spans="1:15" x14ac:dyDescent="0.25">
      <c r="A39" s="1">
        <v>8</v>
      </c>
      <c r="B39" s="162" t="s">
        <v>142</v>
      </c>
      <c r="C39" s="10">
        <v>60</v>
      </c>
      <c r="D39" s="15"/>
      <c r="E39" s="11" t="s">
        <v>11</v>
      </c>
      <c r="F39" s="12"/>
      <c r="G39" s="11"/>
      <c r="H39" s="11"/>
      <c r="I39" s="11"/>
      <c r="J39" s="11"/>
      <c r="K39" s="11" t="s">
        <v>11</v>
      </c>
      <c r="L39" s="17">
        <v>1</v>
      </c>
      <c r="M39" s="13">
        <f t="shared" si="3"/>
        <v>60</v>
      </c>
      <c r="N39" s="13">
        <f t="shared" si="4"/>
        <v>60</v>
      </c>
      <c r="O39" s="17">
        <f>C39*1</f>
        <v>60</v>
      </c>
    </row>
    <row r="40" spans="1:15" x14ac:dyDescent="0.25">
      <c r="A40" s="1">
        <v>9</v>
      </c>
      <c r="B40" s="17" t="s">
        <v>14</v>
      </c>
      <c r="C40" s="10">
        <v>9</v>
      </c>
      <c r="D40" s="15"/>
      <c r="E40" s="15"/>
      <c r="F40" s="12"/>
      <c r="G40" s="11" t="s">
        <v>11</v>
      </c>
      <c r="H40" s="11"/>
      <c r="I40" s="11"/>
      <c r="J40" s="11" t="s">
        <v>11</v>
      </c>
      <c r="K40" s="15"/>
      <c r="L40" s="17">
        <v>2</v>
      </c>
      <c r="M40" s="13">
        <f t="shared" si="3"/>
        <v>18</v>
      </c>
      <c r="N40" s="13"/>
      <c r="O40" s="17"/>
    </row>
    <row r="41" spans="1:15" ht="15.75" x14ac:dyDescent="0.25">
      <c r="A41" s="1"/>
      <c r="B41" s="19" t="s">
        <v>15</v>
      </c>
      <c r="C41" s="24"/>
      <c r="D41" s="21"/>
      <c r="E41" s="21"/>
      <c r="F41" s="21"/>
      <c r="G41" s="21"/>
      <c r="H41" s="21"/>
      <c r="I41" s="21"/>
      <c r="J41" s="11"/>
      <c r="K41" s="21"/>
      <c r="L41" s="17"/>
      <c r="M41" s="13">
        <f>M32+M33+M34+M35+M36+M37+M38+M39+M40</f>
        <v>254</v>
      </c>
      <c r="N41" s="13">
        <f>N32+N33+N34+N35+N36+N37+N38+N39+N40</f>
        <v>236</v>
      </c>
      <c r="O41" s="17">
        <f>O32+O39</f>
        <v>80</v>
      </c>
    </row>
    <row r="45" spans="1:15" x14ac:dyDescent="0.25">
      <c r="B45" s="2" t="s">
        <v>19</v>
      </c>
      <c r="C45" s="26" t="s">
        <v>22</v>
      </c>
    </row>
    <row r="46" spans="1:15" ht="28.5" customHeight="1" x14ac:dyDescent="0.25">
      <c r="A46" s="4"/>
      <c r="B46" s="5"/>
      <c r="C46" s="6" t="s">
        <v>16</v>
      </c>
      <c r="D46" s="7" t="s">
        <v>2</v>
      </c>
      <c r="E46" s="8" t="s">
        <v>3</v>
      </c>
      <c r="F46" s="8" t="s">
        <v>4</v>
      </c>
      <c r="G46" s="8" t="s">
        <v>5</v>
      </c>
      <c r="H46" s="8" t="s">
        <v>17</v>
      </c>
      <c r="I46" s="8" t="s">
        <v>18</v>
      </c>
      <c r="J46" s="8" t="s">
        <v>20</v>
      </c>
      <c r="K46" s="8" t="s">
        <v>6</v>
      </c>
      <c r="L46" s="8" t="s">
        <v>7</v>
      </c>
      <c r="M46" s="8" t="s">
        <v>8</v>
      </c>
      <c r="N46" s="8" t="s">
        <v>28</v>
      </c>
    </row>
    <row r="47" spans="1:15" x14ac:dyDescent="0.25">
      <c r="A47" s="1">
        <v>1</v>
      </c>
      <c r="B47" s="9" t="s">
        <v>10</v>
      </c>
      <c r="C47" s="10">
        <v>20</v>
      </c>
      <c r="D47" s="11"/>
      <c r="E47" s="11" t="s">
        <v>11</v>
      </c>
      <c r="F47" s="11" t="s">
        <v>11</v>
      </c>
      <c r="G47" s="11" t="s">
        <v>11</v>
      </c>
      <c r="H47" s="11"/>
      <c r="I47" s="11"/>
      <c r="J47" s="11" t="s">
        <v>11</v>
      </c>
      <c r="K47" s="11" t="s">
        <v>11</v>
      </c>
      <c r="L47" s="17">
        <v>4</v>
      </c>
      <c r="M47" s="13">
        <f>L47*C47</f>
        <v>80</v>
      </c>
      <c r="N47" s="17">
        <f>C47*1</f>
        <v>20</v>
      </c>
    </row>
    <row r="48" spans="1:15" x14ac:dyDescent="0.25">
      <c r="A48" s="1">
        <v>2</v>
      </c>
      <c r="B48" s="14" t="s">
        <v>12</v>
      </c>
      <c r="C48" s="10">
        <v>9</v>
      </c>
      <c r="D48" s="11"/>
      <c r="E48" s="11" t="s">
        <v>11</v>
      </c>
      <c r="F48" s="12"/>
      <c r="G48" s="11" t="s">
        <v>11</v>
      </c>
      <c r="H48" s="11"/>
      <c r="I48" s="11"/>
      <c r="J48" s="11" t="s">
        <v>11</v>
      </c>
      <c r="K48" s="15"/>
      <c r="L48" s="17">
        <v>3</v>
      </c>
      <c r="M48" s="13">
        <f t="shared" ref="M48:M54" si="5">L48*C48</f>
        <v>27</v>
      </c>
      <c r="N48" s="17"/>
    </row>
    <row r="49" spans="1:14" x14ac:dyDescent="0.25">
      <c r="A49" s="1">
        <v>3</v>
      </c>
      <c r="B49" s="14" t="s">
        <v>23</v>
      </c>
      <c r="C49" s="10">
        <v>5</v>
      </c>
      <c r="D49" s="11"/>
      <c r="E49" s="11" t="s">
        <v>11</v>
      </c>
      <c r="F49" s="11" t="s">
        <v>11</v>
      </c>
      <c r="G49" s="11" t="s">
        <v>11</v>
      </c>
      <c r="H49" s="11" t="s">
        <v>11</v>
      </c>
      <c r="I49" s="11" t="s">
        <v>11</v>
      </c>
      <c r="J49" s="11" t="s">
        <v>11</v>
      </c>
      <c r="K49" s="15"/>
      <c r="L49" s="17">
        <v>6</v>
      </c>
      <c r="M49" s="13">
        <f t="shared" si="5"/>
        <v>30</v>
      </c>
      <c r="N49" s="17"/>
    </row>
    <row r="50" spans="1:14" x14ac:dyDescent="0.25">
      <c r="A50" s="1">
        <v>4</v>
      </c>
      <c r="B50" s="14" t="s">
        <v>24</v>
      </c>
      <c r="C50" s="10">
        <v>5</v>
      </c>
      <c r="D50" s="11"/>
      <c r="E50" s="11"/>
      <c r="F50" s="12"/>
      <c r="G50" s="11"/>
      <c r="H50" s="11"/>
      <c r="I50" s="11"/>
      <c r="J50" s="11"/>
      <c r="K50" s="15"/>
      <c r="L50" s="17"/>
      <c r="M50" s="13">
        <f t="shared" si="5"/>
        <v>0</v>
      </c>
      <c r="N50" s="17"/>
    </row>
    <row r="51" spans="1:14" x14ac:dyDescent="0.25">
      <c r="A51" s="1">
        <v>5</v>
      </c>
      <c r="B51" s="14" t="s">
        <v>25</v>
      </c>
      <c r="C51" s="10">
        <v>5</v>
      </c>
      <c r="D51" s="11"/>
      <c r="E51" s="11"/>
      <c r="F51" s="12"/>
      <c r="G51" s="11" t="s">
        <v>11</v>
      </c>
      <c r="H51" s="11"/>
      <c r="I51" s="11"/>
      <c r="J51" s="11" t="s">
        <v>11</v>
      </c>
      <c r="K51" s="15"/>
      <c r="L51" s="17">
        <v>2</v>
      </c>
      <c r="M51" s="13">
        <f t="shared" si="5"/>
        <v>10</v>
      </c>
      <c r="N51" s="17"/>
    </row>
    <row r="52" spans="1:14" x14ac:dyDescent="0.25">
      <c r="A52" s="1">
        <v>6</v>
      </c>
      <c r="B52" s="14" t="s">
        <v>26</v>
      </c>
      <c r="C52" s="10">
        <v>5</v>
      </c>
      <c r="D52" s="11"/>
      <c r="E52" s="11"/>
      <c r="F52" s="12"/>
      <c r="G52" s="11" t="s">
        <v>11</v>
      </c>
      <c r="H52" s="11"/>
      <c r="I52" s="11"/>
      <c r="J52" s="11" t="s">
        <v>11</v>
      </c>
      <c r="K52" s="15"/>
      <c r="L52" s="17">
        <v>2</v>
      </c>
      <c r="M52" s="13">
        <f t="shared" si="5"/>
        <v>10</v>
      </c>
      <c r="N52" s="17"/>
    </row>
    <row r="53" spans="1:14" x14ac:dyDescent="0.25">
      <c r="A53" s="1">
        <v>7</v>
      </c>
      <c r="B53" s="14" t="s">
        <v>27</v>
      </c>
      <c r="C53" s="10">
        <v>5</v>
      </c>
      <c r="D53" s="11"/>
      <c r="E53" s="11"/>
      <c r="F53" s="12"/>
      <c r="G53" s="11" t="s">
        <v>11</v>
      </c>
      <c r="H53" s="11"/>
      <c r="I53" s="11"/>
      <c r="J53" s="11" t="s">
        <v>11</v>
      </c>
      <c r="K53" s="15"/>
      <c r="L53" s="17">
        <v>2</v>
      </c>
      <c r="M53" s="13">
        <f t="shared" si="5"/>
        <v>10</v>
      </c>
      <c r="N53" s="17"/>
    </row>
    <row r="54" spans="1:14" x14ac:dyDescent="0.25">
      <c r="A54" s="1">
        <v>8</v>
      </c>
      <c r="B54" s="162" t="s">
        <v>142</v>
      </c>
      <c r="C54" s="10">
        <v>60</v>
      </c>
      <c r="D54" s="15"/>
      <c r="E54" s="11" t="s">
        <v>11</v>
      </c>
      <c r="F54" s="12"/>
      <c r="G54" s="11"/>
      <c r="H54" s="11"/>
      <c r="I54" s="11"/>
      <c r="J54" s="11"/>
      <c r="K54" s="11" t="s">
        <v>11</v>
      </c>
      <c r="L54" s="17">
        <v>1</v>
      </c>
      <c r="M54" s="13">
        <f t="shared" si="5"/>
        <v>60</v>
      </c>
      <c r="N54" s="17">
        <f>C54*1</f>
        <v>60</v>
      </c>
    </row>
    <row r="55" spans="1:14" ht="15.75" x14ac:dyDescent="0.25">
      <c r="A55" s="18"/>
      <c r="B55" s="19" t="s">
        <v>15</v>
      </c>
      <c r="C55" s="24"/>
      <c r="D55" s="21"/>
      <c r="E55" s="21"/>
      <c r="F55" s="21"/>
      <c r="G55" s="21"/>
      <c r="H55" s="21"/>
      <c r="I55" s="21"/>
      <c r="J55" s="11"/>
      <c r="K55" s="21"/>
      <c r="L55" s="17"/>
      <c r="M55" s="13">
        <f>M47+M48+M49+M51+M52+M53+M54</f>
        <v>227</v>
      </c>
      <c r="N55" s="13">
        <f>N47+N54</f>
        <v>80</v>
      </c>
    </row>
  </sheetData>
  <mergeCells count="2">
    <mergeCell ref="D1:F1"/>
    <mergeCell ref="D15:F1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opLeftCell="A7" workbookViewId="0">
      <selection activeCell="I22" sqref="I22"/>
    </sheetView>
  </sheetViews>
  <sheetFormatPr defaultColWidth="8.85546875" defaultRowHeight="15" x14ac:dyDescent="0.25"/>
  <cols>
    <col min="1" max="1" width="6" style="16" customWidth="1"/>
    <col min="2" max="2" width="36.7109375" style="3" bestFit="1" customWidth="1"/>
    <col min="3" max="3" width="14.85546875" style="3" customWidth="1"/>
    <col min="4" max="5" width="8.42578125" style="22" bestFit="1" customWidth="1"/>
    <col min="6" max="6" width="10.28515625" style="23" customWidth="1"/>
    <col min="7" max="7" width="10.85546875" style="3" customWidth="1"/>
    <col min="8" max="8" width="10" style="3" customWidth="1"/>
    <col min="9" max="9" width="22.7109375" style="3" customWidth="1"/>
    <col min="10" max="10" width="11.140625" style="3" bestFit="1" customWidth="1"/>
    <col min="11" max="11" width="13.85546875" style="3" customWidth="1"/>
    <col min="12" max="12" width="13.5703125" style="3" customWidth="1"/>
    <col min="13" max="13" width="10.28515625" style="3" customWidth="1"/>
    <col min="14" max="14" width="9.85546875" style="3" customWidth="1"/>
    <col min="15" max="16384" width="8.85546875" style="3"/>
  </cols>
  <sheetData>
    <row r="1" spans="1:10" ht="12.75" customHeight="1" x14ac:dyDescent="0.25">
      <c r="A1" s="1"/>
      <c r="B1" s="2" t="s">
        <v>0</v>
      </c>
      <c r="C1" s="25" t="s">
        <v>21</v>
      </c>
      <c r="D1" s="204"/>
      <c r="E1" s="204"/>
      <c r="F1" s="3"/>
    </row>
    <row r="2" spans="1:10" ht="28.5" customHeight="1" x14ac:dyDescent="0.25">
      <c r="A2" s="4"/>
      <c r="B2" s="4"/>
      <c r="C2" s="7" t="s">
        <v>1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150</v>
      </c>
      <c r="J2" s="8" t="s">
        <v>28</v>
      </c>
    </row>
    <row r="3" spans="1:10" x14ac:dyDescent="0.25">
      <c r="A3" s="1">
        <v>1</v>
      </c>
      <c r="B3" s="9" t="s">
        <v>10</v>
      </c>
      <c r="C3" s="10">
        <v>20</v>
      </c>
      <c r="D3" s="11" t="s">
        <v>11</v>
      </c>
      <c r="E3" s="11" t="s">
        <v>11</v>
      </c>
      <c r="F3" s="11" t="s">
        <v>11</v>
      </c>
      <c r="G3" s="11" t="s">
        <v>11</v>
      </c>
      <c r="H3" s="1">
        <v>3</v>
      </c>
      <c r="I3" s="13">
        <f>H3*C3</f>
        <v>60</v>
      </c>
      <c r="J3" s="17">
        <f>C3*1</f>
        <v>20</v>
      </c>
    </row>
    <row r="4" spans="1:10" x14ac:dyDescent="0.25">
      <c r="A4" s="1">
        <v>2</v>
      </c>
      <c r="B4" s="14" t="s">
        <v>12</v>
      </c>
      <c r="C4" s="10">
        <v>9</v>
      </c>
      <c r="D4" s="11" t="s">
        <v>11</v>
      </c>
      <c r="E4" s="12" t="s">
        <v>11</v>
      </c>
      <c r="F4" s="11" t="s">
        <v>11</v>
      </c>
      <c r="G4" s="15"/>
      <c r="H4" s="1">
        <v>3</v>
      </c>
      <c r="I4" s="13">
        <f>H4*C4</f>
        <v>27</v>
      </c>
      <c r="J4" s="17"/>
    </row>
    <row r="5" spans="1:10" x14ac:dyDescent="0.25">
      <c r="A5" s="1">
        <v>3</v>
      </c>
      <c r="B5" s="14" t="s">
        <v>23</v>
      </c>
      <c r="C5" s="10">
        <v>5</v>
      </c>
      <c r="D5" s="11" t="s">
        <v>11</v>
      </c>
      <c r="E5" s="11" t="s">
        <v>11</v>
      </c>
      <c r="F5" s="11" t="s">
        <v>11</v>
      </c>
      <c r="G5" s="15"/>
      <c r="H5" s="1">
        <v>3</v>
      </c>
      <c r="I5" s="13">
        <f>H5*C5</f>
        <v>15</v>
      </c>
      <c r="J5" s="17"/>
    </row>
    <row r="6" spans="1:10" x14ac:dyDescent="0.25">
      <c r="A6" s="1">
        <v>8</v>
      </c>
      <c r="B6" s="162" t="s">
        <v>149</v>
      </c>
      <c r="C6" s="10">
        <v>110</v>
      </c>
      <c r="D6" s="11"/>
      <c r="E6" s="12"/>
      <c r="F6" s="11"/>
      <c r="G6" s="11" t="s">
        <v>11</v>
      </c>
      <c r="H6" s="1"/>
      <c r="I6" s="13">
        <f>H6*C6</f>
        <v>0</v>
      </c>
      <c r="J6" s="17">
        <f>C6*1</f>
        <v>110</v>
      </c>
    </row>
    <row r="7" spans="1:10" ht="15.75" x14ac:dyDescent="0.25">
      <c r="A7" s="1"/>
      <c r="B7" s="19" t="s">
        <v>15</v>
      </c>
      <c r="C7" s="20"/>
      <c r="D7" s="21"/>
      <c r="E7" s="21"/>
      <c r="F7" s="21"/>
      <c r="G7" s="21"/>
      <c r="H7" s="1"/>
      <c r="I7" s="13">
        <f>I3+I4+I5+I6</f>
        <v>102</v>
      </c>
      <c r="J7" s="17">
        <f>J3+J6</f>
        <v>130</v>
      </c>
    </row>
    <row r="8" spans="1:10" x14ac:dyDescent="0.25">
      <c r="D8" s="22">
        <f>C3+C4+C5</f>
        <v>34</v>
      </c>
      <c r="F8" s="22"/>
    </row>
    <row r="10" spans="1:10" ht="12.75" customHeight="1" x14ac:dyDescent="0.25">
      <c r="A10" s="1"/>
      <c r="B10" s="2" t="s">
        <v>0</v>
      </c>
      <c r="C10" s="25" t="s">
        <v>22</v>
      </c>
      <c r="D10" s="204"/>
      <c r="E10" s="204"/>
      <c r="F10" s="3"/>
    </row>
    <row r="11" spans="1:10" ht="28.5" customHeight="1" x14ac:dyDescent="0.25">
      <c r="A11" s="4"/>
      <c r="B11" s="5"/>
      <c r="C11" s="6" t="s">
        <v>1</v>
      </c>
      <c r="D11" s="8" t="s">
        <v>3</v>
      </c>
      <c r="E11" s="8" t="s">
        <v>4</v>
      </c>
      <c r="F11" s="8" t="s">
        <v>5</v>
      </c>
      <c r="G11" s="8" t="s">
        <v>6</v>
      </c>
      <c r="H11" s="8" t="s">
        <v>7</v>
      </c>
      <c r="I11" s="8" t="s">
        <v>8</v>
      </c>
      <c r="J11" s="8"/>
    </row>
    <row r="12" spans="1:10" x14ac:dyDescent="0.25">
      <c r="A12" s="1">
        <v>1</v>
      </c>
      <c r="B12" s="9" t="s">
        <v>10</v>
      </c>
      <c r="C12" s="10">
        <v>20</v>
      </c>
      <c r="D12" s="11" t="s">
        <v>11</v>
      </c>
      <c r="E12" s="11" t="s">
        <v>11</v>
      </c>
      <c r="F12" s="11" t="s">
        <v>11</v>
      </c>
      <c r="G12" s="11" t="s">
        <v>11</v>
      </c>
      <c r="H12" s="1">
        <v>3</v>
      </c>
      <c r="I12" s="13">
        <f>H12*C12</f>
        <v>60</v>
      </c>
      <c r="J12" s="17">
        <v>20</v>
      </c>
    </row>
    <row r="13" spans="1:10" x14ac:dyDescent="0.25">
      <c r="A13" s="1">
        <v>3</v>
      </c>
      <c r="B13" s="14" t="s">
        <v>23</v>
      </c>
      <c r="C13" s="10">
        <v>5</v>
      </c>
      <c r="D13" s="11" t="s">
        <v>11</v>
      </c>
      <c r="E13" s="11" t="s">
        <v>11</v>
      </c>
      <c r="F13" s="11" t="s">
        <v>11</v>
      </c>
      <c r="G13" s="15"/>
      <c r="H13" s="1">
        <v>3</v>
      </c>
      <c r="I13" s="13">
        <f>H13*C13</f>
        <v>15</v>
      </c>
      <c r="J13" s="17"/>
    </row>
    <row r="14" spans="1:10" x14ac:dyDescent="0.25">
      <c r="A14" s="1">
        <v>8</v>
      </c>
      <c r="B14" s="162" t="s">
        <v>39</v>
      </c>
      <c r="C14" s="10">
        <v>110</v>
      </c>
      <c r="D14" s="11"/>
      <c r="E14" s="12"/>
      <c r="F14" s="11"/>
      <c r="G14" s="11" t="s">
        <v>11</v>
      </c>
      <c r="H14" s="1"/>
      <c r="I14" s="13">
        <f>H14*C14</f>
        <v>0</v>
      </c>
      <c r="J14" s="17">
        <v>110</v>
      </c>
    </row>
    <row r="15" spans="1:10" ht="15.75" x14ac:dyDescent="0.25">
      <c r="A15" s="1"/>
      <c r="B15" s="19" t="s">
        <v>15</v>
      </c>
      <c r="C15" s="20"/>
      <c r="D15" s="21"/>
      <c r="E15" s="21"/>
      <c r="F15" s="21"/>
      <c r="G15" s="21"/>
      <c r="H15" s="1"/>
      <c r="I15" s="13">
        <f>I12+I13+I14</f>
        <v>75</v>
      </c>
      <c r="J15" s="17">
        <f>J12+J13+J14</f>
        <v>130</v>
      </c>
    </row>
    <row r="16" spans="1:10" x14ac:dyDescent="0.25">
      <c r="D16" s="22">
        <f>C12+C13</f>
        <v>25</v>
      </c>
      <c r="E16" s="163" t="s">
        <v>143</v>
      </c>
    </row>
  </sheetData>
  <mergeCells count="2">
    <mergeCell ref="D1:E1"/>
    <mergeCell ref="D10:E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topLeftCell="A16" workbookViewId="0">
      <selection activeCell="F37" sqref="F37"/>
    </sheetView>
  </sheetViews>
  <sheetFormatPr defaultColWidth="8.85546875" defaultRowHeight="15" x14ac:dyDescent="0.25"/>
  <cols>
    <col min="1" max="1" width="6" style="16" customWidth="1"/>
    <col min="2" max="2" width="36.7109375" style="3" bestFit="1" customWidth="1"/>
    <col min="3" max="3" width="11.7109375" style="3" customWidth="1"/>
    <col min="4" max="5" width="8.42578125" style="22" bestFit="1" customWidth="1"/>
    <col min="6" max="6" width="10.28515625" style="23" customWidth="1"/>
    <col min="7" max="7" width="10.85546875" style="3" customWidth="1"/>
    <col min="8" max="8" width="10" style="3" customWidth="1"/>
    <col min="9" max="9" width="13.42578125" style="3" customWidth="1"/>
    <col min="10" max="10" width="11.140625" style="3" bestFit="1" customWidth="1"/>
    <col min="11" max="11" width="13.85546875" style="3" customWidth="1"/>
    <col min="12" max="12" width="13.5703125" style="3" customWidth="1"/>
    <col min="13" max="13" width="9.85546875" style="3" customWidth="1"/>
    <col min="14" max="16384" width="8.85546875" style="3"/>
  </cols>
  <sheetData>
    <row r="1" spans="1:10" ht="12.75" customHeight="1" x14ac:dyDescent="0.25">
      <c r="A1" s="1"/>
      <c r="B1" s="2" t="s">
        <v>0</v>
      </c>
      <c r="C1" s="25" t="s">
        <v>21</v>
      </c>
      <c r="D1" s="204"/>
      <c r="E1" s="204"/>
      <c r="F1" s="3"/>
    </row>
    <row r="2" spans="1:10" ht="28.5" customHeight="1" x14ac:dyDescent="0.25">
      <c r="A2" s="4"/>
      <c r="B2" s="5"/>
      <c r="C2" s="6" t="s">
        <v>1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28</v>
      </c>
    </row>
    <row r="3" spans="1:10" x14ac:dyDescent="0.25">
      <c r="A3" s="1">
        <v>1</v>
      </c>
      <c r="B3" s="9" t="s">
        <v>10</v>
      </c>
      <c r="C3" s="10">
        <v>20</v>
      </c>
      <c r="D3" s="11" t="s">
        <v>11</v>
      </c>
      <c r="E3" s="11" t="s">
        <v>11</v>
      </c>
      <c r="F3" s="11" t="s">
        <v>11</v>
      </c>
      <c r="G3" s="11" t="s">
        <v>11</v>
      </c>
      <c r="H3" s="1">
        <v>3</v>
      </c>
      <c r="I3" s="13">
        <f>H3*C3</f>
        <v>60</v>
      </c>
      <c r="J3" s="17">
        <f>C3*1</f>
        <v>20</v>
      </c>
    </row>
    <row r="4" spans="1:10" x14ac:dyDescent="0.25">
      <c r="A4" s="1">
        <v>2</v>
      </c>
      <c r="B4" s="14" t="s">
        <v>12</v>
      </c>
      <c r="C4" s="10">
        <v>9</v>
      </c>
      <c r="D4" s="11" t="s">
        <v>11</v>
      </c>
      <c r="E4" s="12" t="s">
        <v>11</v>
      </c>
      <c r="F4" s="11" t="s">
        <v>11</v>
      </c>
      <c r="G4" s="15"/>
      <c r="H4" s="1">
        <v>3</v>
      </c>
      <c r="I4" s="13">
        <f>H4*C4</f>
        <v>27</v>
      </c>
      <c r="J4" s="17"/>
    </row>
    <row r="5" spans="1:10" x14ac:dyDescent="0.25">
      <c r="A5" s="1">
        <v>3</v>
      </c>
      <c r="B5" s="14" t="s">
        <v>23</v>
      </c>
      <c r="C5" s="10">
        <v>5</v>
      </c>
      <c r="D5" s="11" t="s">
        <v>11</v>
      </c>
      <c r="E5" s="11"/>
      <c r="F5" s="11" t="s">
        <v>11</v>
      </c>
      <c r="G5" s="15"/>
      <c r="H5" s="1">
        <v>2</v>
      </c>
      <c r="I5" s="13">
        <f>H5*C5</f>
        <v>10</v>
      </c>
      <c r="J5" s="17"/>
    </row>
    <row r="6" spans="1:10" x14ac:dyDescent="0.25">
      <c r="A6" s="1">
        <v>4</v>
      </c>
      <c r="B6" s="176" t="s">
        <v>149</v>
      </c>
      <c r="C6" s="10">
        <v>110</v>
      </c>
      <c r="D6" s="11"/>
      <c r="E6" s="11"/>
      <c r="F6" s="11"/>
      <c r="G6" s="11" t="s">
        <v>11</v>
      </c>
      <c r="H6" s="1"/>
      <c r="I6" s="13"/>
      <c r="J6" s="17">
        <v>110</v>
      </c>
    </row>
    <row r="7" spans="1:10" ht="15.75" x14ac:dyDescent="0.25">
      <c r="A7" s="1"/>
      <c r="B7" s="19" t="s">
        <v>15</v>
      </c>
      <c r="C7" s="20"/>
      <c r="D7" s="21"/>
      <c r="E7" s="21"/>
      <c r="F7" s="21"/>
      <c r="G7" s="21"/>
      <c r="H7" s="1"/>
      <c r="I7" s="13">
        <f>I3+I4+I5+I6</f>
        <v>97</v>
      </c>
      <c r="J7" s="13">
        <f>J3+J4+J5+J6</f>
        <v>130</v>
      </c>
    </row>
    <row r="8" spans="1:10" x14ac:dyDescent="0.25">
      <c r="D8" s="22">
        <f>C3+C4+C5</f>
        <v>34</v>
      </c>
      <c r="E8" s="22">
        <f>C3+C4</f>
        <v>29</v>
      </c>
      <c r="F8" s="23">
        <f>C3+C4+C5</f>
        <v>34</v>
      </c>
    </row>
    <row r="10" spans="1:10" ht="12.75" customHeight="1" x14ac:dyDescent="0.25">
      <c r="A10" s="1"/>
      <c r="B10" s="2" t="s">
        <v>0</v>
      </c>
      <c r="C10" s="25" t="s">
        <v>22</v>
      </c>
      <c r="D10" s="204"/>
      <c r="E10" s="204"/>
      <c r="F10" s="3"/>
    </row>
    <row r="11" spans="1:10" ht="28.5" customHeight="1" x14ac:dyDescent="0.25">
      <c r="A11" s="4"/>
      <c r="B11" s="5"/>
      <c r="C11" s="6" t="s">
        <v>1</v>
      </c>
      <c r="D11" s="8" t="s">
        <v>3</v>
      </c>
      <c r="E11" s="8" t="s">
        <v>4</v>
      </c>
      <c r="F11" s="8" t="s">
        <v>5</v>
      </c>
      <c r="G11" s="8" t="s">
        <v>6</v>
      </c>
      <c r="H11" s="8" t="s">
        <v>7</v>
      </c>
      <c r="I11" s="8" t="s">
        <v>8</v>
      </c>
      <c r="J11" s="8"/>
    </row>
    <row r="12" spans="1:10" x14ac:dyDescent="0.25">
      <c r="A12" s="1">
        <v>1</v>
      </c>
      <c r="B12" s="9" t="s">
        <v>10</v>
      </c>
      <c r="C12" s="10">
        <v>20</v>
      </c>
      <c r="D12" s="11" t="s">
        <v>11</v>
      </c>
      <c r="E12" s="11" t="s">
        <v>11</v>
      </c>
      <c r="F12" s="11" t="s">
        <v>11</v>
      </c>
      <c r="G12" s="11" t="s">
        <v>11</v>
      </c>
      <c r="H12" s="1">
        <v>3</v>
      </c>
      <c r="I12" s="13">
        <f>H12*C12</f>
        <v>60</v>
      </c>
      <c r="J12" s="17">
        <v>20</v>
      </c>
    </row>
    <row r="13" spans="1:10" x14ac:dyDescent="0.25">
      <c r="A13" s="1">
        <v>3</v>
      </c>
      <c r="B13" s="14" t="s">
        <v>23</v>
      </c>
      <c r="C13" s="10">
        <v>5</v>
      </c>
      <c r="D13" s="11" t="s">
        <v>11</v>
      </c>
      <c r="E13" s="11"/>
      <c r="F13" s="11" t="s">
        <v>11</v>
      </c>
      <c r="G13" s="15"/>
      <c r="H13" s="1">
        <v>2</v>
      </c>
      <c r="I13" s="13">
        <f>H13*C13</f>
        <v>10</v>
      </c>
      <c r="J13" s="17"/>
    </row>
    <row r="14" spans="1:10" x14ac:dyDescent="0.25">
      <c r="A14" s="1">
        <v>8</v>
      </c>
      <c r="B14" s="162" t="s">
        <v>142</v>
      </c>
      <c r="C14" s="10">
        <v>110</v>
      </c>
      <c r="D14" s="11"/>
      <c r="E14" s="12"/>
      <c r="F14" s="11"/>
      <c r="G14" s="11" t="s">
        <v>11</v>
      </c>
      <c r="H14" s="1"/>
      <c r="I14" s="13">
        <f>H14*C14</f>
        <v>0</v>
      </c>
      <c r="J14" s="17">
        <v>110</v>
      </c>
    </row>
    <row r="15" spans="1:10" ht="15.75" x14ac:dyDescent="0.25">
      <c r="A15" s="1"/>
      <c r="B15" s="19" t="s">
        <v>15</v>
      </c>
      <c r="C15" s="20"/>
      <c r="D15" s="21"/>
      <c r="E15" s="21"/>
      <c r="F15" s="21"/>
      <c r="G15" s="21"/>
      <c r="H15" s="1"/>
      <c r="I15" s="13">
        <f>I12+I13+I14</f>
        <v>70</v>
      </c>
      <c r="J15" s="13">
        <f>J12+J13+J14</f>
        <v>130</v>
      </c>
    </row>
    <row r="16" spans="1:10" x14ac:dyDescent="0.25">
      <c r="D16" s="22">
        <f>C12+C13</f>
        <v>25</v>
      </c>
      <c r="E16" s="163">
        <f>C12</f>
        <v>20</v>
      </c>
      <c r="F16" s="23">
        <f>C12+C13</f>
        <v>25</v>
      </c>
    </row>
    <row r="20" spans="1:13" x14ac:dyDescent="0.25">
      <c r="B20" s="2" t="s">
        <v>19</v>
      </c>
      <c r="C20" s="26" t="s">
        <v>29</v>
      </c>
    </row>
    <row r="21" spans="1:13" ht="28.5" customHeight="1" x14ac:dyDescent="0.25">
      <c r="A21" s="4"/>
      <c r="B21" s="5"/>
      <c r="C21" s="6" t="s">
        <v>16</v>
      </c>
      <c r="D21" s="8" t="s">
        <v>3</v>
      </c>
      <c r="E21" s="8" t="s">
        <v>4</v>
      </c>
      <c r="F21" s="8" t="s">
        <v>5</v>
      </c>
      <c r="G21" s="8" t="s">
        <v>17</v>
      </c>
      <c r="H21" s="8" t="s">
        <v>18</v>
      </c>
      <c r="I21" s="8" t="s">
        <v>20</v>
      </c>
      <c r="J21" s="8" t="s">
        <v>6</v>
      </c>
      <c r="K21" s="8" t="s">
        <v>7</v>
      </c>
      <c r="L21" s="8" t="s">
        <v>8</v>
      </c>
      <c r="M21" s="8" t="s">
        <v>28</v>
      </c>
    </row>
    <row r="22" spans="1:13" x14ac:dyDescent="0.25">
      <c r="A22" s="1">
        <v>1</v>
      </c>
      <c r="B22" s="9" t="s">
        <v>10</v>
      </c>
      <c r="C22" s="10">
        <v>20</v>
      </c>
      <c r="D22" s="11" t="s">
        <v>11</v>
      </c>
      <c r="E22" s="11" t="s">
        <v>11</v>
      </c>
      <c r="F22" s="11" t="s">
        <v>11</v>
      </c>
      <c r="G22" s="11"/>
      <c r="H22" s="11"/>
      <c r="I22" s="11" t="s">
        <v>11</v>
      </c>
      <c r="J22" s="11" t="s">
        <v>11</v>
      </c>
      <c r="K22" s="17">
        <v>4</v>
      </c>
      <c r="L22" s="13">
        <f>K22*C22</f>
        <v>80</v>
      </c>
      <c r="M22" s="17">
        <f>C22*1</f>
        <v>20</v>
      </c>
    </row>
    <row r="23" spans="1:13" x14ac:dyDescent="0.25">
      <c r="A23" s="1">
        <v>2</v>
      </c>
      <c r="B23" s="14" t="s">
        <v>12</v>
      </c>
      <c r="C23" s="10">
        <v>9</v>
      </c>
      <c r="D23" s="11" t="s">
        <v>11</v>
      </c>
      <c r="E23" s="11" t="s">
        <v>11</v>
      </c>
      <c r="F23" s="11" t="s">
        <v>11</v>
      </c>
      <c r="G23" s="11"/>
      <c r="H23" s="11"/>
      <c r="I23" s="11" t="s">
        <v>11</v>
      </c>
      <c r="J23" s="11"/>
      <c r="K23" s="17">
        <v>4</v>
      </c>
      <c r="L23" s="13">
        <f>K23*C23</f>
        <v>36</v>
      </c>
      <c r="M23" s="17"/>
    </row>
    <row r="24" spans="1:13" x14ac:dyDescent="0.25">
      <c r="A24" s="1">
        <v>3</v>
      </c>
      <c r="B24" s="14" t="s">
        <v>23</v>
      </c>
      <c r="C24" s="10">
        <v>5</v>
      </c>
      <c r="D24" s="11" t="s">
        <v>11</v>
      </c>
      <c r="E24" s="11"/>
      <c r="F24" s="11" t="s">
        <v>11</v>
      </c>
      <c r="G24" s="11"/>
      <c r="H24" s="11"/>
      <c r="I24" s="11" t="s">
        <v>11</v>
      </c>
      <c r="J24" s="11"/>
      <c r="K24" s="17">
        <v>3</v>
      </c>
      <c r="L24" s="13">
        <f>K24*C24</f>
        <v>15</v>
      </c>
      <c r="M24" s="17"/>
    </row>
    <row r="25" spans="1:13" x14ac:dyDescent="0.25">
      <c r="A25" s="1">
        <v>7</v>
      </c>
      <c r="B25" s="14" t="s">
        <v>27</v>
      </c>
      <c r="C25" s="10">
        <v>5</v>
      </c>
      <c r="D25" s="11"/>
      <c r="E25" s="12"/>
      <c r="F25" s="11" t="s">
        <v>11</v>
      </c>
      <c r="G25" s="11"/>
      <c r="H25" s="11"/>
      <c r="I25" s="11"/>
      <c r="J25" s="11"/>
      <c r="K25" s="17">
        <v>1</v>
      </c>
      <c r="L25" s="13">
        <f>K25*C25</f>
        <v>5</v>
      </c>
      <c r="M25" s="17"/>
    </row>
    <row r="26" spans="1:13" x14ac:dyDescent="0.25">
      <c r="A26" s="1">
        <v>8</v>
      </c>
      <c r="B26" s="162" t="s">
        <v>149</v>
      </c>
      <c r="C26" s="10">
        <v>110</v>
      </c>
      <c r="D26" s="11"/>
      <c r="E26" s="12"/>
      <c r="F26" s="11"/>
      <c r="G26" s="11"/>
      <c r="H26" s="11"/>
      <c r="I26" s="11"/>
      <c r="J26" s="11" t="s">
        <v>11</v>
      </c>
      <c r="K26" s="17"/>
      <c r="L26" s="13">
        <f>K26*C26</f>
        <v>0</v>
      </c>
      <c r="M26" s="17">
        <f>C26*1</f>
        <v>110</v>
      </c>
    </row>
    <row r="27" spans="1:13" ht="15.75" x14ac:dyDescent="0.25">
      <c r="A27" s="1"/>
      <c r="B27" s="19" t="s">
        <v>15</v>
      </c>
      <c r="C27" s="24"/>
      <c r="D27" s="21"/>
      <c r="E27" s="21"/>
      <c r="F27" s="21"/>
      <c r="G27" s="21"/>
      <c r="H27" s="21"/>
      <c r="I27" s="11"/>
      <c r="J27" s="11"/>
      <c r="K27" s="17"/>
      <c r="L27" s="13">
        <f>L22+L23+L24+L25+L26</f>
        <v>136</v>
      </c>
      <c r="M27" s="13">
        <f>M22+M23+M24+M25+M26</f>
        <v>130</v>
      </c>
    </row>
    <row r="28" spans="1:13" x14ac:dyDescent="0.25">
      <c r="D28" s="22">
        <f>C22+C23+C24</f>
        <v>34</v>
      </c>
      <c r="E28" s="22">
        <f>C22+C23</f>
        <v>29</v>
      </c>
      <c r="F28" s="23">
        <f>C22+C23+C24+C25</f>
        <v>39</v>
      </c>
      <c r="I28" s="3">
        <f>C22+C23+C24</f>
        <v>34</v>
      </c>
    </row>
    <row r="31" spans="1:13" x14ac:dyDescent="0.25">
      <c r="B31" s="2" t="s">
        <v>19</v>
      </c>
      <c r="C31" s="26" t="s">
        <v>22</v>
      </c>
    </row>
    <row r="32" spans="1:13" ht="28.5" customHeight="1" x14ac:dyDescent="0.25">
      <c r="A32" s="4"/>
      <c r="B32" s="5"/>
      <c r="C32" s="6" t="s">
        <v>16</v>
      </c>
      <c r="D32" s="8" t="s">
        <v>3</v>
      </c>
      <c r="E32" s="8" t="s">
        <v>4</v>
      </c>
      <c r="F32" s="8" t="s">
        <v>5</v>
      </c>
      <c r="G32" s="8" t="s">
        <v>17</v>
      </c>
      <c r="H32" s="8" t="s">
        <v>18</v>
      </c>
      <c r="I32" s="8" t="s">
        <v>20</v>
      </c>
      <c r="J32" s="8" t="s">
        <v>6</v>
      </c>
      <c r="K32" s="8" t="s">
        <v>7</v>
      </c>
      <c r="L32" s="8" t="s">
        <v>8</v>
      </c>
      <c r="M32" s="8" t="s">
        <v>28</v>
      </c>
    </row>
    <row r="33" spans="1:13" x14ac:dyDescent="0.25">
      <c r="A33" s="1">
        <v>1</v>
      </c>
      <c r="B33" s="9" t="s">
        <v>10</v>
      </c>
      <c r="C33" s="10">
        <v>20</v>
      </c>
      <c r="D33" s="11" t="s">
        <v>11</v>
      </c>
      <c r="E33" s="11" t="s">
        <v>11</v>
      </c>
      <c r="F33" s="11" t="s">
        <v>11</v>
      </c>
      <c r="G33" s="11"/>
      <c r="H33" s="11"/>
      <c r="I33" s="11" t="s">
        <v>11</v>
      </c>
      <c r="J33" s="11" t="s">
        <v>11</v>
      </c>
      <c r="K33" s="17">
        <v>4</v>
      </c>
      <c r="L33" s="13">
        <f>K33*C33</f>
        <v>80</v>
      </c>
      <c r="M33" s="17">
        <f>C33*1</f>
        <v>20</v>
      </c>
    </row>
    <row r="34" spans="1:13" x14ac:dyDescent="0.25">
      <c r="A34" s="1">
        <v>3</v>
      </c>
      <c r="B34" s="14" t="s">
        <v>23</v>
      </c>
      <c r="C34" s="10">
        <v>5</v>
      </c>
      <c r="D34" s="11" t="s">
        <v>11</v>
      </c>
      <c r="E34" s="11"/>
      <c r="F34" s="11" t="s">
        <v>11</v>
      </c>
      <c r="G34" s="11"/>
      <c r="H34" s="11"/>
      <c r="I34" s="11" t="s">
        <v>11</v>
      </c>
      <c r="J34" s="11"/>
      <c r="K34" s="17">
        <v>3</v>
      </c>
      <c r="L34" s="13">
        <f>K34*C34</f>
        <v>15</v>
      </c>
      <c r="M34" s="17"/>
    </row>
    <row r="35" spans="1:13" x14ac:dyDescent="0.25">
      <c r="A35" s="1">
        <v>8</v>
      </c>
      <c r="B35" s="162" t="s">
        <v>149</v>
      </c>
      <c r="C35" s="10">
        <v>110</v>
      </c>
      <c r="D35" s="11"/>
      <c r="E35" s="12"/>
      <c r="F35" s="11"/>
      <c r="G35" s="11"/>
      <c r="H35" s="11"/>
      <c r="I35" s="11"/>
      <c r="J35" s="11" t="s">
        <v>11</v>
      </c>
      <c r="K35" s="17"/>
      <c r="L35" s="13">
        <f>K35*C35</f>
        <v>0</v>
      </c>
      <c r="M35" s="17">
        <f>C35*1</f>
        <v>110</v>
      </c>
    </row>
    <row r="36" spans="1:13" ht="15.75" x14ac:dyDescent="0.25">
      <c r="A36" s="18"/>
      <c r="B36" s="19" t="s">
        <v>15</v>
      </c>
      <c r="C36" s="24"/>
      <c r="D36" s="21"/>
      <c r="E36" s="21"/>
      <c r="F36" s="21"/>
      <c r="G36" s="21"/>
      <c r="H36" s="21"/>
      <c r="I36" s="11"/>
      <c r="J36" s="11"/>
      <c r="K36" s="17"/>
      <c r="L36" s="13">
        <f>L33+L34+L35</f>
        <v>95</v>
      </c>
      <c r="M36" s="13">
        <f>M33+M35</f>
        <v>130</v>
      </c>
    </row>
    <row r="37" spans="1:13" x14ac:dyDescent="0.25">
      <c r="D37" s="22">
        <f>C33+C34</f>
        <v>25</v>
      </c>
      <c r="E37" s="22">
        <f>C33</f>
        <v>20</v>
      </c>
      <c r="F37" s="23">
        <f>C33+C34</f>
        <v>25</v>
      </c>
      <c r="I37" s="3">
        <f>C33+C34</f>
        <v>25</v>
      </c>
    </row>
  </sheetData>
  <mergeCells count="2">
    <mergeCell ref="D1:E1"/>
    <mergeCell ref="D10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45</vt:i4>
      </vt:variant>
    </vt:vector>
  </HeadingPairs>
  <TitlesOfParts>
    <vt:vector size="45" baseType="lpstr">
      <vt:lpstr>ჯამური ბიუჯეტი</vt:lpstr>
      <vt:lpstr>სამეგრელო-ზემო სვანეთი</vt:lpstr>
      <vt:lpstr>სამეგრელო (2)</vt:lpstr>
      <vt:lpstr>სამეგრელო (3)</vt:lpstr>
      <vt:lpstr>სამეგრელო (4)</vt:lpstr>
      <vt:lpstr>მონიტორინგის კვლევები</vt:lpstr>
      <vt:lpstr>მონიტორინგი-CORE</vt:lpstr>
      <vt:lpstr>მონიტორინგი-პჯდ</vt:lpstr>
      <vt:lpstr>მონიტორინგი-მრჩეველი</vt:lpstr>
      <vt:lpstr>მონიტორინგის კვლევების ჯგუფები</vt:lpstr>
      <vt:lpstr>მონიტორინგის კვლევების ჯგუფებიC</vt:lpstr>
      <vt:lpstr>მკურნალობაში ჩართვის კვლევები</vt:lpstr>
      <vt:lpstr>მკურნალობაში ჩართვა - პჯდ</vt:lpstr>
      <vt:lpstr>მკურნალობაში ჩართვა-მრჩეველი</vt:lpstr>
      <vt:lpstr>მკურნალობაში ჩართვის ჯგუფები</vt:lpstr>
      <vt:lpstr>10%-30%</vt:lpstr>
      <vt:lpstr>5%-20%</vt:lpstr>
      <vt:lpstr>0%-10%</vt:lpstr>
      <vt:lpstr>0%-0%</vt:lpstr>
      <vt:lpstr>რნა 0-50 ლარი</vt:lpstr>
      <vt:lpstr>რნა 50-100 ლარი</vt:lpstr>
      <vt:lpstr>რნა-სრული დაფინანსება 30 70</vt:lpstr>
      <vt:lpstr>რნმ-სრული 5-20</vt:lpstr>
      <vt:lpstr>core antigenit 50-100</vt:lpstr>
      <vt:lpstr>core-antigenit 0-50</vt:lpstr>
      <vt:lpstr>core-antigenit 0-0</vt:lpstr>
      <vt:lpstr>CORE-30%-70%</vt:lpstr>
      <vt:lpstr>CORE 5-20%</vt:lpstr>
      <vt:lpstr>CORE-50-100-2017</vt:lpstr>
      <vt:lpstr>CORE 0-50-2017</vt:lpstr>
      <vt:lpstr>CORE 0-0-2017</vt:lpstr>
      <vt:lpstr>RNA-30-70-2017</vt:lpstr>
      <vt:lpstr>RNA SRULI DAFINANSEBA-2017</vt:lpstr>
      <vt:lpstr>core sruli-2018-30-70%</vt:lpstr>
      <vt:lpstr>CORE SRULI-2018-5-20%</vt:lpstr>
      <vt:lpstr>CORE-SRULI-30-70</vt:lpstr>
      <vt:lpstr>CORE SRULI DAFINANSEBA</vt:lpstr>
      <vt:lpstr>Sheet3</vt:lpstr>
      <vt:lpstr>Sheet1</vt:lpstr>
      <vt:lpstr>Sheet2</vt:lpstr>
      <vt:lpstr>Sheet4</vt:lpstr>
      <vt:lpstr>შედარება</vt:lpstr>
      <vt:lpstr>CORE-PRE-POST KVLEVEBI</vt:lpstr>
      <vt:lpstr>Sheet5</vt:lpstr>
      <vt:lpstr>Sheet6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2018-02-19T10:30:33Z</dcterms:modified>
</cp:coreProperties>
</file>