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khelashvili\Desktop\"/>
    </mc:Choice>
  </mc:AlternateContent>
  <bookViews>
    <workbookView xWindow="0" yWindow="0" windowWidth="28800" windowHeight="13020"/>
  </bookViews>
  <sheets>
    <sheet name="მიმდინარე" sheetId="1" r:id="rId1"/>
  </sheets>
  <externalReferences>
    <externalReference r:id="rId2"/>
  </externalReferences>
  <definedNames>
    <definedName name="_xlnm._FilterDatabase" localSheetId="0" hidden="1">მიმდინარე!$A$5:$Q$167</definedName>
    <definedName name="_xlnm.Print_Area" localSheetId="0">მიმდინარე!$A$1:$J$258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7" i="1" l="1"/>
  <c r="N257" i="1"/>
  <c r="L257" i="1"/>
  <c r="Q257" i="1" s="1"/>
  <c r="P256" i="1"/>
  <c r="N256" i="1"/>
  <c r="L256" i="1"/>
  <c r="Q256" i="1" s="1"/>
  <c r="P255" i="1"/>
  <c r="N255" i="1"/>
  <c r="L255" i="1"/>
  <c r="I253" i="1"/>
  <c r="O247" i="1"/>
  <c r="M247" i="1"/>
  <c r="Q247" i="1" s="1"/>
  <c r="K247" i="1"/>
  <c r="O246" i="1"/>
  <c r="M246" i="1"/>
  <c r="Q246" i="1" s="1"/>
  <c r="K246" i="1"/>
  <c r="P245" i="1"/>
  <c r="N245" i="1"/>
  <c r="Q245" i="1" s="1"/>
  <c r="L245" i="1"/>
  <c r="O244" i="1"/>
  <c r="M244" i="1"/>
  <c r="K244" i="1"/>
  <c r="F244" i="1"/>
  <c r="P243" i="1"/>
  <c r="N243" i="1"/>
  <c r="L243" i="1"/>
  <c r="F243" i="1"/>
  <c r="Q243" i="1" s="1"/>
  <c r="P242" i="1"/>
  <c r="N242" i="1"/>
  <c r="L242" i="1"/>
  <c r="Q242" i="1" s="1"/>
  <c r="O241" i="1"/>
  <c r="M241" i="1"/>
  <c r="K241" i="1"/>
  <c r="Q241" i="1" s="1"/>
  <c r="P240" i="1"/>
  <c r="N240" i="1"/>
  <c r="L240" i="1"/>
  <c r="Q240" i="1" s="1"/>
  <c r="P239" i="1"/>
  <c r="N239" i="1"/>
  <c r="L239" i="1"/>
  <c r="Q239" i="1" s="1"/>
  <c r="O238" i="1"/>
  <c r="M238" i="1"/>
  <c r="K238" i="1"/>
  <c r="Q238" i="1" s="1"/>
  <c r="O237" i="1"/>
  <c r="M237" i="1"/>
  <c r="K237" i="1"/>
  <c r="Q237" i="1" s="1"/>
  <c r="O236" i="1"/>
  <c r="M236" i="1"/>
  <c r="K236" i="1"/>
  <c r="F236" i="1"/>
  <c r="Q236" i="1" s="1"/>
  <c r="O235" i="1"/>
  <c r="M235" i="1"/>
  <c r="K235" i="1"/>
  <c r="Q235" i="1" s="1"/>
  <c r="P234" i="1"/>
  <c r="N234" i="1"/>
  <c r="L234" i="1"/>
  <c r="Q234" i="1" s="1"/>
  <c r="P233" i="1"/>
  <c r="N233" i="1"/>
  <c r="L233" i="1"/>
  <c r="F233" i="1"/>
  <c r="Q233" i="1" s="1"/>
  <c r="P232" i="1"/>
  <c r="N232" i="1"/>
  <c r="L232" i="1"/>
  <c r="F232" i="1"/>
  <c r="Q231" i="1"/>
  <c r="O231" i="1"/>
  <c r="M231" i="1"/>
  <c r="K231" i="1"/>
  <c r="Q230" i="1"/>
  <c r="P230" i="1"/>
  <c r="N230" i="1"/>
  <c r="L230" i="1"/>
  <c r="Q229" i="1"/>
  <c r="O229" i="1"/>
  <c r="M229" i="1"/>
  <c r="K229" i="1"/>
  <c r="Q228" i="1"/>
  <c r="P228" i="1"/>
  <c r="N228" i="1"/>
  <c r="L228" i="1"/>
  <c r="Q227" i="1"/>
  <c r="P227" i="1"/>
  <c r="N227" i="1"/>
  <c r="L227" i="1"/>
  <c r="Q226" i="1"/>
  <c r="O226" i="1"/>
  <c r="M226" i="1"/>
  <c r="K226" i="1"/>
  <c r="Q225" i="1"/>
  <c r="P225" i="1"/>
  <c r="N225" i="1"/>
  <c r="L225" i="1"/>
  <c r="O224" i="1"/>
  <c r="M224" i="1"/>
  <c r="K224" i="1"/>
  <c r="F224" i="1"/>
  <c r="Q224" i="1" s="1"/>
  <c r="O223" i="1"/>
  <c r="M223" i="1"/>
  <c r="K223" i="1"/>
  <c r="Q223" i="1" s="1"/>
  <c r="P222" i="1"/>
  <c r="N222" i="1"/>
  <c r="L222" i="1"/>
  <c r="F222" i="1"/>
  <c r="Q222" i="1" s="1"/>
  <c r="O221" i="1"/>
  <c r="M221" i="1"/>
  <c r="K221" i="1"/>
  <c r="F221" i="1"/>
  <c r="P220" i="1"/>
  <c r="N220" i="1"/>
  <c r="Q220" i="1" s="1"/>
  <c r="L220" i="1"/>
  <c r="O219" i="1"/>
  <c r="M219" i="1"/>
  <c r="Q219" i="1" s="1"/>
  <c r="K219" i="1"/>
  <c r="P218" i="1"/>
  <c r="N218" i="1"/>
  <c r="L218" i="1"/>
  <c r="F218" i="1"/>
  <c r="O217" i="1"/>
  <c r="M217" i="1"/>
  <c r="K217" i="1"/>
  <c r="F217" i="1"/>
  <c r="Q217" i="1" s="1"/>
  <c r="P216" i="1"/>
  <c r="N216" i="1"/>
  <c r="L216" i="1"/>
  <c r="F216" i="1"/>
  <c r="Q216" i="1" s="1"/>
  <c r="O215" i="1"/>
  <c r="M215" i="1"/>
  <c r="K215" i="1"/>
  <c r="F215" i="1"/>
  <c r="P214" i="1"/>
  <c r="N214" i="1"/>
  <c r="Q214" i="1" s="1"/>
  <c r="L214" i="1"/>
  <c r="P213" i="1"/>
  <c r="N213" i="1"/>
  <c r="Q213" i="1" s="1"/>
  <c r="L213" i="1"/>
  <c r="O212" i="1"/>
  <c r="M212" i="1"/>
  <c r="K212" i="1"/>
  <c r="O211" i="1"/>
  <c r="M211" i="1"/>
  <c r="K211" i="1"/>
  <c r="F211" i="1"/>
  <c r="P210" i="1"/>
  <c r="N210" i="1"/>
  <c r="L210" i="1"/>
  <c r="F210" i="1"/>
  <c r="P209" i="1"/>
  <c r="N209" i="1"/>
  <c r="L209" i="1"/>
  <c r="F209" i="1"/>
  <c r="Q209" i="1" s="1"/>
  <c r="O208" i="1"/>
  <c r="M208" i="1"/>
  <c r="K208" i="1"/>
  <c r="Q208" i="1" s="1"/>
  <c r="P207" i="1"/>
  <c r="N207" i="1"/>
  <c r="L207" i="1"/>
  <c r="F207" i="1"/>
  <c r="Q207" i="1" s="1"/>
  <c r="O206" i="1"/>
  <c r="M206" i="1"/>
  <c r="K206" i="1"/>
  <c r="F206" i="1"/>
  <c r="Q205" i="1"/>
  <c r="O205" i="1"/>
  <c r="M205" i="1"/>
  <c r="K205" i="1"/>
  <c r="Q204" i="1"/>
  <c r="P204" i="1"/>
  <c r="N204" i="1"/>
  <c r="L204" i="1"/>
  <c r="P203" i="1"/>
  <c r="N203" i="1"/>
  <c r="L203" i="1"/>
  <c r="F203" i="1"/>
  <c r="P202" i="1"/>
  <c r="N202" i="1"/>
  <c r="L202" i="1"/>
  <c r="F202" i="1"/>
  <c r="Q202" i="1" s="1"/>
  <c r="P201" i="1"/>
  <c r="N201" i="1"/>
  <c r="L201" i="1"/>
  <c r="F201" i="1"/>
  <c r="P200" i="1"/>
  <c r="N200" i="1"/>
  <c r="Q200" i="1" s="1"/>
  <c r="P199" i="1"/>
  <c r="N199" i="1"/>
  <c r="F199" i="1"/>
  <c r="Q199" i="1" s="1"/>
  <c r="O198" i="1"/>
  <c r="M198" i="1"/>
  <c r="K198" i="1"/>
  <c r="O197" i="1"/>
  <c r="M197" i="1"/>
  <c r="K197" i="1"/>
  <c r="Q197" i="1" s="1"/>
  <c r="P196" i="1"/>
  <c r="N196" i="1"/>
  <c r="L196" i="1"/>
  <c r="Q196" i="1" s="1"/>
  <c r="P195" i="1"/>
  <c r="N195" i="1"/>
  <c r="L195" i="1"/>
  <c r="Q195" i="1" s="1"/>
  <c r="P194" i="1"/>
  <c r="N194" i="1"/>
  <c r="L194" i="1"/>
  <c r="O193" i="1"/>
  <c r="M193" i="1"/>
  <c r="K193" i="1"/>
  <c r="F193" i="1"/>
  <c r="P192" i="1"/>
  <c r="N192" i="1"/>
  <c r="L192" i="1"/>
  <c r="F192" i="1"/>
  <c r="P191" i="1"/>
  <c r="Q191" i="1" s="1"/>
  <c r="N191" i="1"/>
  <c r="L191" i="1"/>
  <c r="O190" i="1"/>
  <c r="Q190" i="1" s="1"/>
  <c r="M190" i="1"/>
  <c r="K190" i="1"/>
  <c r="P189" i="1"/>
  <c r="Q189" i="1" s="1"/>
  <c r="N189" i="1"/>
  <c r="L189" i="1"/>
  <c r="O188" i="1"/>
  <c r="Q188" i="1" s="1"/>
  <c r="M188" i="1"/>
  <c r="K188" i="1"/>
  <c r="O187" i="1"/>
  <c r="M187" i="1"/>
  <c r="K187" i="1"/>
  <c r="F187" i="1"/>
  <c r="Q187" i="1" s="1"/>
  <c r="P186" i="1"/>
  <c r="N186" i="1"/>
  <c r="L186" i="1"/>
  <c r="F186" i="1"/>
  <c r="Q186" i="1" s="1"/>
  <c r="O185" i="1"/>
  <c r="M185" i="1"/>
  <c r="K185" i="1"/>
  <c r="Q185" i="1" s="1"/>
  <c r="P184" i="1"/>
  <c r="N184" i="1"/>
  <c r="L184" i="1"/>
  <c r="O183" i="1"/>
  <c r="M183" i="1"/>
  <c r="K183" i="1"/>
  <c r="F183" i="1"/>
  <c r="P182" i="1"/>
  <c r="N182" i="1"/>
  <c r="Q182" i="1" s="1"/>
  <c r="P181" i="1"/>
  <c r="N181" i="1"/>
  <c r="F181" i="1"/>
  <c r="Q181" i="1" s="1"/>
  <c r="O180" i="1"/>
  <c r="M180" i="1"/>
  <c r="K180" i="1"/>
  <c r="F180" i="1"/>
  <c r="O179" i="1"/>
  <c r="M179" i="1"/>
  <c r="M173" i="1" s="1"/>
  <c r="K179" i="1"/>
  <c r="F179" i="1"/>
  <c r="P178" i="1"/>
  <c r="Q178" i="1" s="1"/>
  <c r="N178" i="1"/>
  <c r="L178" i="1"/>
  <c r="O177" i="1"/>
  <c r="Q177" i="1" s="1"/>
  <c r="M177" i="1"/>
  <c r="K177" i="1"/>
  <c r="O176" i="1"/>
  <c r="M176" i="1"/>
  <c r="K176" i="1"/>
  <c r="O175" i="1"/>
  <c r="Q175" i="1" s="1"/>
  <c r="M175" i="1"/>
  <c r="K175" i="1"/>
  <c r="P173" i="1"/>
  <c r="A171" i="1"/>
  <c r="P167" i="1"/>
  <c r="N167" i="1"/>
  <c r="L167" i="1"/>
  <c r="F167" i="1"/>
  <c r="Q167" i="1" s="1"/>
  <c r="P166" i="1"/>
  <c r="N166" i="1"/>
  <c r="L166" i="1"/>
  <c r="Q166" i="1" s="1"/>
  <c r="O165" i="1"/>
  <c r="M165" i="1"/>
  <c r="K165" i="1"/>
  <c r="F165" i="1"/>
  <c r="Q165" i="1" s="1"/>
  <c r="P164" i="1"/>
  <c r="N164" i="1"/>
  <c r="L164" i="1"/>
  <c r="F164" i="1"/>
  <c r="Q164" i="1" s="1"/>
  <c r="O163" i="1"/>
  <c r="M163" i="1"/>
  <c r="K163" i="1"/>
  <c r="F163" i="1"/>
  <c r="Q163" i="1" s="1"/>
  <c r="Q162" i="1"/>
  <c r="P162" i="1"/>
  <c r="N162" i="1"/>
  <c r="L162" i="1"/>
  <c r="P161" i="1"/>
  <c r="N161" i="1"/>
  <c r="L161" i="1"/>
  <c r="F161" i="1"/>
  <c r="Q161" i="1" s="1"/>
  <c r="P160" i="1"/>
  <c r="N160" i="1"/>
  <c r="L160" i="1"/>
  <c r="P159" i="1"/>
  <c r="N159" i="1"/>
  <c r="L159" i="1"/>
  <c r="F159" i="1"/>
  <c r="P158" i="1"/>
  <c r="N158" i="1"/>
  <c r="L158" i="1"/>
  <c r="F158" i="1"/>
  <c r="P157" i="1"/>
  <c r="N157" i="1"/>
  <c r="L157" i="1"/>
  <c r="F157" i="1"/>
  <c r="Q157" i="1" s="1"/>
  <c r="P156" i="1"/>
  <c r="N156" i="1"/>
  <c r="L156" i="1"/>
  <c r="Q156" i="1" s="1"/>
  <c r="O155" i="1"/>
  <c r="M155" i="1"/>
  <c r="K155" i="1"/>
  <c r="F155" i="1"/>
  <c r="O154" i="1"/>
  <c r="M154" i="1"/>
  <c r="K154" i="1"/>
  <c r="Q154" i="1" s="1"/>
  <c r="P153" i="1"/>
  <c r="N153" i="1"/>
  <c r="L153" i="1"/>
  <c r="F153" i="1"/>
  <c r="Q153" i="1" s="1"/>
  <c r="O152" i="1"/>
  <c r="M152" i="1"/>
  <c r="K152" i="1"/>
  <c r="F152" i="1"/>
  <c r="Q152" i="1" s="1"/>
  <c r="O151" i="1"/>
  <c r="M151" i="1"/>
  <c r="K151" i="1"/>
  <c r="F151" i="1"/>
  <c r="Q151" i="1" s="1"/>
  <c r="P150" i="1"/>
  <c r="N150" i="1"/>
  <c r="L150" i="1"/>
  <c r="F150" i="1"/>
  <c r="Q150" i="1" s="1"/>
  <c r="P149" i="1"/>
  <c r="N149" i="1"/>
  <c r="L149" i="1"/>
  <c r="P148" i="1"/>
  <c r="N148" i="1"/>
  <c r="L148" i="1"/>
  <c r="O147" i="1"/>
  <c r="M147" i="1"/>
  <c r="K147" i="1"/>
  <c r="F147" i="1"/>
  <c r="O146" i="1"/>
  <c r="M146" i="1"/>
  <c r="Q146" i="1" s="1"/>
  <c r="K146" i="1"/>
  <c r="P145" i="1"/>
  <c r="N145" i="1"/>
  <c r="L145" i="1"/>
  <c r="F145" i="1"/>
  <c r="P144" i="1"/>
  <c r="N144" i="1"/>
  <c r="L144" i="1"/>
  <c r="F144" i="1"/>
  <c r="Q143" i="1"/>
  <c r="O143" i="1"/>
  <c r="M143" i="1"/>
  <c r="K143" i="1"/>
  <c r="P142" i="1"/>
  <c r="N142" i="1"/>
  <c r="L142" i="1"/>
  <c r="F142" i="1"/>
  <c r="Q142" i="1" s="1"/>
  <c r="O141" i="1"/>
  <c r="M141" i="1"/>
  <c r="K141" i="1"/>
  <c r="Q141" i="1" s="1"/>
  <c r="P140" i="1"/>
  <c r="N140" i="1"/>
  <c r="L140" i="1"/>
  <c r="P139" i="1"/>
  <c r="N139" i="1"/>
  <c r="L139" i="1"/>
  <c r="F139" i="1"/>
  <c r="P138" i="1"/>
  <c r="N138" i="1"/>
  <c r="L138" i="1"/>
  <c r="F138" i="1"/>
  <c r="Q138" i="1" s="1"/>
  <c r="O137" i="1"/>
  <c r="M137" i="1"/>
  <c r="K137" i="1"/>
  <c r="F137" i="1"/>
  <c r="Q137" i="1" s="1"/>
  <c r="P136" i="1"/>
  <c r="N136" i="1"/>
  <c r="L136" i="1"/>
  <c r="F136" i="1"/>
  <c r="O135" i="1"/>
  <c r="M135" i="1"/>
  <c r="K135" i="1"/>
  <c r="Q135" i="1" s="1"/>
  <c r="P134" i="1"/>
  <c r="N134" i="1"/>
  <c r="L134" i="1"/>
  <c r="Q134" i="1" s="1"/>
  <c r="O133" i="1"/>
  <c r="M133" i="1"/>
  <c r="K133" i="1"/>
  <c r="F133" i="1"/>
  <c r="P132" i="1"/>
  <c r="N132" i="1"/>
  <c r="L132" i="1"/>
  <c r="F132" i="1"/>
  <c r="Q132" i="1" s="1"/>
  <c r="P131" i="1"/>
  <c r="N131" i="1"/>
  <c r="L131" i="1"/>
  <c r="F131" i="1"/>
  <c r="Q131" i="1" s="1"/>
  <c r="O130" i="1"/>
  <c r="M130" i="1"/>
  <c r="K130" i="1"/>
  <c r="F130" i="1"/>
  <c r="Q130" i="1" s="1"/>
  <c r="P129" i="1"/>
  <c r="N129" i="1"/>
  <c r="L129" i="1"/>
  <c r="F129" i="1"/>
  <c r="P128" i="1"/>
  <c r="Q128" i="1" s="1"/>
  <c r="N128" i="1"/>
  <c r="F128" i="1"/>
  <c r="O127" i="1"/>
  <c r="Q127" i="1" s="1"/>
  <c r="M127" i="1"/>
  <c r="K127" i="1"/>
  <c r="P126" i="1"/>
  <c r="Q126" i="1" s="1"/>
  <c r="N126" i="1"/>
  <c r="L126" i="1"/>
  <c r="P125" i="1"/>
  <c r="Q125" i="1" s="1"/>
  <c r="N125" i="1"/>
  <c r="L125" i="1"/>
  <c r="O124" i="1"/>
  <c r="Q124" i="1" s="1"/>
  <c r="M124" i="1"/>
  <c r="K124" i="1"/>
  <c r="P123" i="1"/>
  <c r="N123" i="1"/>
  <c r="L123" i="1"/>
  <c r="F123" i="1"/>
  <c r="P122" i="1"/>
  <c r="N122" i="1"/>
  <c r="L122" i="1"/>
  <c r="F122" i="1"/>
  <c r="Q122" i="1" s="1"/>
  <c r="O121" i="1"/>
  <c r="M121" i="1"/>
  <c r="K121" i="1"/>
  <c r="F121" i="1"/>
  <c r="Q121" i="1" s="1"/>
  <c r="P120" i="1"/>
  <c r="N120" i="1"/>
  <c r="Q120" i="1" s="1"/>
  <c r="P119" i="1"/>
  <c r="N119" i="1"/>
  <c r="L119" i="1"/>
  <c r="F119" i="1"/>
  <c r="Q119" i="1" s="1"/>
  <c r="P118" i="1"/>
  <c r="N118" i="1"/>
  <c r="L118" i="1"/>
  <c r="F118" i="1"/>
  <c r="Q118" i="1" s="1"/>
  <c r="P117" i="1"/>
  <c r="N117" i="1"/>
  <c r="L117" i="1"/>
  <c r="F117" i="1"/>
  <c r="Q117" i="1" s="1"/>
  <c r="P116" i="1"/>
  <c r="N116" i="1"/>
  <c r="L116" i="1"/>
  <c r="F116" i="1"/>
  <c r="Q116" i="1" s="1"/>
  <c r="Q115" i="1"/>
  <c r="P115" i="1"/>
  <c r="N115" i="1"/>
  <c r="O114" i="1"/>
  <c r="Q114" i="1" s="1"/>
  <c r="M114" i="1"/>
  <c r="K114" i="1"/>
  <c r="P113" i="1"/>
  <c r="Q113" i="1" s="1"/>
  <c r="N113" i="1"/>
  <c r="F113" i="1"/>
  <c r="O112" i="1"/>
  <c r="M112" i="1"/>
  <c r="K112" i="1"/>
  <c r="F112" i="1"/>
  <c r="Q112" i="1" s="1"/>
  <c r="P111" i="1"/>
  <c r="N111" i="1"/>
  <c r="L111" i="1"/>
  <c r="F111" i="1"/>
  <c r="Q111" i="1" s="1"/>
  <c r="O110" i="1"/>
  <c r="M110" i="1"/>
  <c r="K110" i="1"/>
  <c r="F110" i="1"/>
  <c r="Q109" i="1"/>
  <c r="P109" i="1"/>
  <c r="N109" i="1"/>
  <c r="F109" i="1"/>
  <c r="O108" i="1"/>
  <c r="M108" i="1"/>
  <c r="K108" i="1"/>
  <c r="F108" i="1"/>
  <c r="Q108" i="1" s="1"/>
  <c r="O107" i="1"/>
  <c r="M107" i="1"/>
  <c r="K107" i="1"/>
  <c r="Q107" i="1" s="1"/>
  <c r="O106" i="1"/>
  <c r="M106" i="1"/>
  <c r="K106" i="1"/>
  <c r="Q106" i="1" s="1"/>
  <c r="P105" i="1"/>
  <c r="N105" i="1"/>
  <c r="L105" i="1"/>
  <c r="Q105" i="1" s="1"/>
  <c r="O104" i="1"/>
  <c r="M104" i="1"/>
  <c r="K104" i="1"/>
  <c r="Q104" i="1" s="1"/>
  <c r="O103" i="1"/>
  <c r="M103" i="1"/>
  <c r="K103" i="1"/>
  <c r="F103" i="1"/>
  <c r="O102" i="1"/>
  <c r="M102" i="1"/>
  <c r="K102" i="1"/>
  <c r="F102" i="1"/>
  <c r="P101" i="1"/>
  <c r="N101" i="1"/>
  <c r="L101" i="1"/>
  <c r="F101" i="1"/>
  <c r="P100" i="1"/>
  <c r="Q100" i="1" s="1"/>
  <c r="N100" i="1"/>
  <c r="L100" i="1"/>
  <c r="P99" i="1"/>
  <c r="Q99" i="1" s="1"/>
  <c r="N99" i="1"/>
  <c r="L99" i="1"/>
  <c r="O98" i="1"/>
  <c r="Q98" i="1" s="1"/>
  <c r="M98" i="1"/>
  <c r="K98" i="1"/>
  <c r="P97" i="1"/>
  <c r="N97" i="1"/>
  <c r="L97" i="1"/>
  <c r="F97" i="1"/>
  <c r="O96" i="1"/>
  <c r="M96" i="1"/>
  <c r="K96" i="1"/>
  <c r="F96" i="1"/>
  <c r="Q96" i="1" s="1"/>
  <c r="P95" i="1"/>
  <c r="N95" i="1"/>
  <c r="L95" i="1"/>
  <c r="F95" i="1"/>
  <c r="Q95" i="1" s="1"/>
  <c r="P94" i="1"/>
  <c r="N94" i="1"/>
  <c r="L94" i="1"/>
  <c r="F94" i="1"/>
  <c r="O93" i="1"/>
  <c r="M93" i="1"/>
  <c r="Q93" i="1" s="1"/>
  <c r="K93" i="1"/>
  <c r="O92" i="1"/>
  <c r="M92" i="1"/>
  <c r="K92" i="1"/>
  <c r="F92" i="1"/>
  <c r="O91" i="1"/>
  <c r="M91" i="1"/>
  <c r="K91" i="1"/>
  <c r="F91" i="1"/>
  <c r="P90" i="1"/>
  <c r="N90" i="1"/>
  <c r="L90" i="1"/>
  <c r="F90" i="1"/>
  <c r="Q90" i="1" s="1"/>
  <c r="O89" i="1"/>
  <c r="M89" i="1"/>
  <c r="K89" i="1"/>
  <c r="F89" i="1"/>
  <c r="Q89" i="1" s="1"/>
  <c r="P88" i="1"/>
  <c r="N88" i="1"/>
  <c r="L88" i="1"/>
  <c r="F88" i="1"/>
  <c r="Q88" i="1" s="1"/>
  <c r="P87" i="1"/>
  <c r="N87" i="1"/>
  <c r="L87" i="1"/>
  <c r="F87" i="1"/>
  <c r="Q87" i="1" s="1"/>
  <c r="O86" i="1"/>
  <c r="M86" i="1"/>
  <c r="K86" i="1"/>
  <c r="F86" i="1"/>
  <c r="Q86" i="1" s="1"/>
  <c r="P85" i="1"/>
  <c r="N85" i="1"/>
  <c r="L85" i="1"/>
  <c r="F85" i="1"/>
  <c r="Q84" i="1"/>
  <c r="P84" i="1"/>
  <c r="N84" i="1"/>
  <c r="L84" i="1"/>
  <c r="P83" i="1"/>
  <c r="N83" i="1"/>
  <c r="L83" i="1"/>
  <c r="F83" i="1"/>
  <c r="Q83" i="1" s="1"/>
  <c r="P82" i="1"/>
  <c r="N82" i="1"/>
  <c r="L82" i="1"/>
  <c r="Q82" i="1" s="1"/>
  <c r="P81" i="1"/>
  <c r="N81" i="1"/>
  <c r="L81" i="1"/>
  <c r="F81" i="1"/>
  <c r="Q81" i="1" s="1"/>
  <c r="O80" i="1"/>
  <c r="M80" i="1"/>
  <c r="Q80" i="1" s="1"/>
  <c r="K80" i="1"/>
  <c r="P79" i="1"/>
  <c r="N79" i="1"/>
  <c r="L79" i="1"/>
  <c r="F79" i="1"/>
  <c r="P78" i="1"/>
  <c r="N78" i="1"/>
  <c r="L78" i="1"/>
  <c r="P77" i="1"/>
  <c r="N77" i="1"/>
  <c r="L77" i="1"/>
  <c r="F77" i="1"/>
  <c r="P76" i="1"/>
  <c r="N76" i="1"/>
  <c r="Q76" i="1" s="1"/>
  <c r="L76" i="1"/>
  <c r="P75" i="1"/>
  <c r="N75" i="1"/>
  <c r="L75" i="1"/>
  <c r="F75" i="1"/>
  <c r="Q75" i="1" s="1"/>
  <c r="P74" i="1"/>
  <c r="Q74" i="1" s="1"/>
  <c r="N74" i="1"/>
  <c r="L74" i="1"/>
  <c r="P73" i="1"/>
  <c r="N73" i="1"/>
  <c r="L73" i="1"/>
  <c r="F73" i="1"/>
  <c r="P72" i="1"/>
  <c r="N72" i="1"/>
  <c r="L72" i="1"/>
  <c r="F72" i="1"/>
  <c r="Q72" i="1" s="1"/>
  <c r="P71" i="1"/>
  <c r="N71" i="1"/>
  <c r="L71" i="1"/>
  <c r="Q71" i="1" s="1"/>
  <c r="P70" i="1"/>
  <c r="N70" i="1"/>
  <c r="L70" i="1"/>
  <c r="F70" i="1"/>
  <c r="P69" i="1"/>
  <c r="N69" i="1"/>
  <c r="L69" i="1"/>
  <c r="F69" i="1"/>
  <c r="Q69" i="1" s="1"/>
  <c r="O67" i="1"/>
  <c r="M67" i="1"/>
  <c r="K67" i="1"/>
  <c r="Q67" i="1" s="1"/>
  <c r="P66" i="1"/>
  <c r="N66" i="1"/>
  <c r="L66" i="1"/>
  <c r="F66" i="1"/>
  <c r="Q66" i="1" s="1"/>
  <c r="P65" i="1"/>
  <c r="N65" i="1"/>
  <c r="L65" i="1"/>
  <c r="F65" i="1"/>
  <c r="Q65" i="1" s="1"/>
  <c r="P64" i="1"/>
  <c r="N64" i="1"/>
  <c r="F64" i="1"/>
  <c r="P63" i="1"/>
  <c r="N63" i="1"/>
  <c r="L63" i="1"/>
  <c r="F63" i="1"/>
  <c r="P62" i="1"/>
  <c r="N62" i="1"/>
  <c r="L62" i="1"/>
  <c r="F62" i="1"/>
  <c r="P61" i="1"/>
  <c r="N61" i="1"/>
  <c r="L61" i="1"/>
  <c r="F61" i="1"/>
  <c r="P60" i="1"/>
  <c r="N60" i="1"/>
  <c r="L60" i="1"/>
  <c r="F60" i="1"/>
  <c r="Q60" i="1" s="1"/>
  <c r="P59" i="1"/>
  <c r="N59" i="1"/>
  <c r="F59" i="1"/>
  <c r="Q59" i="1" s="1"/>
  <c r="P58" i="1"/>
  <c r="N58" i="1"/>
  <c r="L58" i="1"/>
  <c r="F58" i="1"/>
  <c r="P57" i="1"/>
  <c r="N57" i="1"/>
  <c r="L57" i="1"/>
  <c r="F57" i="1"/>
  <c r="Q57" i="1" s="1"/>
  <c r="O56" i="1"/>
  <c r="M56" i="1"/>
  <c r="K56" i="1"/>
  <c r="F56" i="1"/>
  <c r="Q56" i="1" s="1"/>
  <c r="P55" i="1"/>
  <c r="N55" i="1"/>
  <c r="Q55" i="1" s="1"/>
  <c r="L55" i="1"/>
  <c r="O54" i="1"/>
  <c r="M54" i="1"/>
  <c r="K54" i="1"/>
  <c r="F54" i="1"/>
  <c r="P53" i="1"/>
  <c r="N53" i="1"/>
  <c r="L53" i="1"/>
  <c r="F53" i="1"/>
  <c r="P52" i="1"/>
  <c r="N52" i="1"/>
  <c r="L52" i="1"/>
  <c r="F52" i="1"/>
  <c r="Q51" i="1"/>
  <c r="P51" i="1"/>
  <c r="N51" i="1"/>
  <c r="L51" i="1"/>
  <c r="O50" i="1"/>
  <c r="M50" i="1"/>
  <c r="K50" i="1"/>
  <c r="F50" i="1"/>
  <c r="Q50" i="1" s="1"/>
  <c r="P49" i="1"/>
  <c r="N49" i="1"/>
  <c r="L49" i="1"/>
  <c r="F49" i="1"/>
  <c r="Q49" i="1" s="1"/>
  <c r="P48" i="1"/>
  <c r="N48" i="1"/>
  <c r="L48" i="1"/>
  <c r="F48" i="1"/>
  <c r="P47" i="1"/>
  <c r="N47" i="1"/>
  <c r="L47" i="1"/>
  <c r="F47" i="1"/>
  <c r="Q47" i="1" s="1"/>
  <c r="O46" i="1"/>
  <c r="M46" i="1"/>
  <c r="K46" i="1"/>
  <c r="F46" i="1"/>
  <c r="P45" i="1"/>
  <c r="N45" i="1"/>
  <c r="L45" i="1"/>
  <c r="F45" i="1"/>
  <c r="Q45" i="1" s="1"/>
  <c r="P44" i="1"/>
  <c r="N44" i="1"/>
  <c r="L44" i="1"/>
  <c r="F44" i="1"/>
  <c r="Q44" i="1" s="1"/>
  <c r="O43" i="1"/>
  <c r="M43" i="1"/>
  <c r="Q43" i="1" s="1"/>
  <c r="K43" i="1"/>
  <c r="P42" i="1"/>
  <c r="N42" i="1"/>
  <c r="L42" i="1"/>
  <c r="F42" i="1"/>
  <c r="Q42" i="1" s="1"/>
  <c r="O41" i="1"/>
  <c r="M41" i="1"/>
  <c r="K41" i="1"/>
  <c r="F41" i="1"/>
  <c r="Q41" i="1" s="1"/>
  <c r="P40" i="1"/>
  <c r="N40" i="1"/>
  <c r="L40" i="1"/>
  <c r="F40" i="1"/>
  <c r="Q40" i="1" s="1"/>
  <c r="P39" i="1"/>
  <c r="N39" i="1"/>
  <c r="L39" i="1"/>
  <c r="F39" i="1"/>
  <c r="Q38" i="1"/>
  <c r="P38" i="1"/>
  <c r="L38" i="1"/>
  <c r="F38" i="1"/>
  <c r="Q37" i="1"/>
  <c r="O37" i="1"/>
  <c r="M37" i="1"/>
  <c r="K37" i="1"/>
  <c r="P36" i="1"/>
  <c r="N36" i="1"/>
  <c r="L36" i="1"/>
  <c r="F36" i="1"/>
  <c r="Q36" i="1" s="1"/>
  <c r="O35" i="1"/>
  <c r="M35" i="1"/>
  <c r="K35" i="1"/>
  <c r="F35" i="1"/>
  <c r="Q35" i="1" s="1"/>
  <c r="P34" i="1"/>
  <c r="N34" i="1"/>
  <c r="Q34" i="1" s="1"/>
  <c r="L34" i="1"/>
  <c r="P33" i="1"/>
  <c r="N33" i="1"/>
  <c r="L33" i="1"/>
  <c r="F33" i="1"/>
  <c r="Q33" i="1" s="1"/>
  <c r="P32" i="1"/>
  <c r="N32" i="1"/>
  <c r="L32" i="1"/>
  <c r="F32" i="1"/>
  <c r="O31" i="1"/>
  <c r="M31" i="1"/>
  <c r="K31" i="1"/>
  <c r="F31" i="1"/>
  <c r="P30" i="1"/>
  <c r="N30" i="1"/>
  <c r="L30" i="1"/>
  <c r="F30" i="1"/>
  <c r="Q30" i="1" s="1"/>
  <c r="P29" i="1"/>
  <c r="N29" i="1"/>
  <c r="L29" i="1"/>
  <c r="F29" i="1"/>
  <c r="Q29" i="1" s="1"/>
  <c r="P28" i="1"/>
  <c r="N28" i="1"/>
  <c r="L28" i="1"/>
  <c r="F28" i="1"/>
  <c r="P27" i="1"/>
  <c r="N27" i="1"/>
  <c r="L27" i="1"/>
  <c r="F27" i="1"/>
  <c r="Q27" i="1" s="1"/>
  <c r="P26" i="1"/>
  <c r="Q26" i="1" s="1"/>
  <c r="N26" i="1"/>
  <c r="L26" i="1"/>
  <c r="O25" i="1"/>
  <c r="M25" i="1"/>
  <c r="K25" i="1"/>
  <c r="F25" i="1"/>
  <c r="Q24" i="1"/>
  <c r="P24" i="1"/>
  <c r="N24" i="1"/>
  <c r="F24" i="1"/>
  <c r="Q23" i="1"/>
  <c r="O23" i="1"/>
  <c r="M23" i="1"/>
  <c r="K23" i="1"/>
  <c r="Q22" i="1"/>
  <c r="O22" i="1"/>
  <c r="M22" i="1"/>
  <c r="K22" i="1"/>
  <c r="P21" i="1"/>
  <c r="N21" i="1"/>
  <c r="L21" i="1"/>
  <c r="F21" i="1"/>
  <c r="Q21" i="1" s="1"/>
  <c r="P20" i="1"/>
  <c r="N20" i="1"/>
  <c r="L20" i="1"/>
  <c r="Q20" i="1" s="1"/>
  <c r="P19" i="1"/>
  <c r="N19" i="1"/>
  <c r="L19" i="1"/>
  <c r="F19" i="1"/>
  <c r="P18" i="1"/>
  <c r="N18" i="1"/>
  <c r="L18" i="1"/>
  <c r="F18" i="1"/>
  <c r="Q18" i="1" s="1"/>
  <c r="P17" i="1"/>
  <c r="N17" i="1"/>
  <c r="L17" i="1"/>
  <c r="F17" i="1"/>
  <c r="Q17" i="1" s="1"/>
  <c r="O16" i="1"/>
  <c r="M16" i="1"/>
  <c r="Q16" i="1" s="1"/>
  <c r="O15" i="1"/>
  <c r="M15" i="1"/>
  <c r="F15" i="1"/>
  <c r="Q15" i="1" s="1"/>
  <c r="P14" i="1"/>
  <c r="N14" i="1"/>
  <c r="F14" i="1"/>
  <c r="Q14" i="1" s="1"/>
  <c r="P13" i="1"/>
  <c r="N13" i="1"/>
  <c r="L13" i="1"/>
  <c r="Q13" i="1" s="1"/>
  <c r="O12" i="1"/>
  <c r="M12" i="1"/>
  <c r="K12" i="1"/>
  <c r="Q12" i="1" s="1"/>
  <c r="P11" i="1"/>
  <c r="N11" i="1"/>
  <c r="L11" i="1"/>
  <c r="F11" i="1"/>
  <c r="Q11" i="1" s="1"/>
  <c r="P10" i="1"/>
  <c r="N10" i="1"/>
  <c r="Q10" i="1" s="1"/>
  <c r="L10" i="1"/>
  <c r="O9" i="1"/>
  <c r="M9" i="1"/>
  <c r="K9" i="1"/>
  <c r="P8" i="1"/>
  <c r="N8" i="1"/>
  <c r="L8" i="1"/>
  <c r="F8" i="1"/>
  <c r="I4" i="1" s="1"/>
  <c r="P7" i="1"/>
  <c r="N7" i="1"/>
  <c r="Q7" i="1" s="1"/>
  <c r="P6" i="1"/>
  <c r="N6" i="1"/>
  <c r="Q6" i="1" s="1"/>
  <c r="O173" i="1" l="1"/>
  <c r="Q176" i="1"/>
  <c r="Q9" i="1"/>
  <c r="M4" i="1"/>
  <c r="Q25" i="1"/>
  <c r="Q31" i="1"/>
  <c r="Q46" i="1"/>
  <c r="Q73" i="1"/>
  <c r="Q123" i="1"/>
  <c r="L4" i="1"/>
  <c r="Q52" i="1"/>
  <c r="Q54" i="1"/>
  <c r="Q61" i="1"/>
  <c r="Q62" i="1"/>
  <c r="Q79" i="1"/>
  <c r="Q91" i="1"/>
  <c r="Q92" i="1"/>
  <c r="Q97" i="1"/>
  <c r="I173" i="1"/>
  <c r="Q203" i="1"/>
  <c r="P4" i="1"/>
  <c r="Q102" i="1"/>
  <c r="Q103" i="1"/>
  <c r="Q136" i="1"/>
  <c r="Q144" i="1"/>
  <c r="Q145" i="1"/>
  <c r="Q155" i="1"/>
  <c r="Q158" i="1"/>
  <c r="Q210" i="1"/>
  <c r="Q19" i="1"/>
  <c r="Q39" i="1"/>
  <c r="Q58" i="1"/>
  <c r="Q70" i="1"/>
  <c r="Q85" i="1"/>
  <c r="Q110" i="1"/>
  <c r="Q133" i="1"/>
  <c r="Q206" i="1"/>
  <c r="Q218" i="1"/>
  <c r="Q232" i="1"/>
  <c r="Q244" i="1"/>
  <c r="N4" i="1"/>
  <c r="Q8" i="1"/>
  <c r="Q4" i="1" s="1"/>
  <c r="O4" i="1"/>
  <c r="Q32" i="1"/>
  <c r="Q53" i="1"/>
  <c r="Q101" i="1"/>
  <c r="Q129" i="1"/>
  <c r="Q139" i="1"/>
  <c r="Q140" i="1"/>
  <c r="Q149" i="1"/>
  <c r="Q159" i="1"/>
  <c r="Q160" i="1"/>
  <c r="L173" i="1"/>
  <c r="K173" i="1"/>
  <c r="Q179" i="1"/>
  <c r="Q180" i="1"/>
  <c r="Q211" i="1"/>
  <c r="K4" i="1"/>
  <c r="Q28" i="1"/>
  <c r="Q48" i="1"/>
  <c r="Q63" i="1"/>
  <c r="Q64" i="1"/>
  <c r="Q77" i="1"/>
  <c r="Q78" i="1"/>
  <c r="Q94" i="1"/>
  <c r="Q147" i="1"/>
  <c r="Q148" i="1"/>
  <c r="N173" i="1"/>
  <c r="Q183" i="1"/>
  <c r="Q184" i="1"/>
  <c r="Q192" i="1"/>
  <c r="Q193" i="1"/>
  <c r="Q194" i="1"/>
  <c r="Q198" i="1"/>
  <c r="Q201" i="1"/>
  <c r="Q212" i="1"/>
  <c r="Q215" i="1"/>
  <c r="Q221" i="1"/>
  <c r="Q255" i="1"/>
  <c r="Q173" i="1" l="1"/>
</calcChain>
</file>

<file path=xl/sharedStrings.xml><?xml version="1.0" encoding="utf-8"?>
<sst xmlns="http://schemas.openxmlformats.org/spreadsheetml/2006/main" count="1047" uniqueCount="278">
  <si>
    <t>2020 წლის სახელმწიფო შესყიდვების წლიური გეგმა</t>
  </si>
  <si>
    <t>1. შედგენის თარიღი:17/08/20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</si>
  <si>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</si>
  <si>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</si>
  <si>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</si>
  <si>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</si>
  <si>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</si>
  <si>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</si>
  <si>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</si>
  <si>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</si>
  <si>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</si>
  <si>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</si>
  <si>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</si>
  <si>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</si>
  <si>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</si>
  <si>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</si>
  <si>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</si>
  <si>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გამარტივებული შესყიდვა (270106)</t>
  </si>
  <si>
    <t>გამარტივებული შესყიდვა (2703030701)</t>
  </si>
  <si>
    <t>კონსოლიდირებული (270106)</t>
  </si>
  <si>
    <t>კონსოლიდირებული (2703030701)</t>
  </si>
  <si>
    <t>ელ. ტენდერი (270106)</t>
  </si>
  <si>
    <t>ელ. ტენდერი (2703030701)</t>
  </si>
  <si>
    <t>ნაშთი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</si>
  <si>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</si>
  <si>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</si>
  <si>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</si>
  <si>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</si>
  <si>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ნორმატიული</t>
  </si>
  <si>
    <t>მონეტარული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</si>
  <si>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</si>
  <si>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</si>
  <si>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</si>
  <si>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</si>
  <si>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</si>
  <si>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</si>
  <si>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</si>
  <si>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</si>
  <si>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წარმომადგენლობითი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</si>
  <si>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</si>
  <si>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</si>
  <si>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</si>
  <si>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</si>
  <si>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</si>
  <si>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</si>
  <si>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</si>
  <si>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</si>
  <si>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</si>
  <si>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</si>
  <si>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</si>
  <si>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</si>
  <si>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</si>
  <si>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</si>
  <si>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</si>
  <si>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</si>
  <si>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22300000</t>
  </si>
  <si>
    <t>ღია ბარათები, მისალოცი ბარათები და სხვა ნაბეჭდი მასალა</t>
  </si>
  <si>
    <t>22400000</t>
  </si>
  <si>
    <t>სარეკლამო მისაკრავი ეტიკეტები/სტიკერები და ზოლები</t>
  </si>
  <si>
    <t>გადაუდებელი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</si>
  <si>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</si>
  <si>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</si>
  <si>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</si>
  <si>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</si>
  <si>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</si>
  <si>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</si>
  <si>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</si>
  <si>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</si>
  <si>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</si>
  <si>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</si>
  <si>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</si>
  <si>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</si>
  <si>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</si>
  <si>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</si>
  <si>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</si>
  <si>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</si>
  <si>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</si>
  <si>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</si>
  <si>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</si>
  <si>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</si>
  <si>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</si>
  <si>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</si>
  <si>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</si>
  <si>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</si>
  <si>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</si>
  <si>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31700000</t>
  </si>
  <si>
    <t>ელექტრონული, ელექტრომექანიკური და ელექტროტექნიკური აქსესუარები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</si>
  <si>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</si>
  <si>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</si>
  <si>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</si>
  <si>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</si>
  <si>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</si>
  <si>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</si>
  <si>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</si>
  <si>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</si>
  <si>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</si>
  <si>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</si>
  <si>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</si>
  <si>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</si>
  <si>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</si>
  <si>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</si>
  <si>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</si>
  <si>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</si>
  <si>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</si>
  <si>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</si>
  <si>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34900000</t>
  </si>
  <si>
    <t>სხვადასხვასა ტრანპოსრტო მოწყობილობები და სათადარიგო ნაწილები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</si>
  <si>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</si>
  <si>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</si>
  <si>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</si>
  <si>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</si>
  <si>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</si>
  <si>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</si>
  <si>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</si>
  <si>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</si>
  <si>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</si>
  <si>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</si>
  <si>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39300000</t>
  </si>
  <si>
    <t>სხვადასხვა სახის მოწყობილობები (სადეზინფექციო მოწყობილობები)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</si>
  <si>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</si>
  <si>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</si>
  <si>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</si>
  <si>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</si>
  <si>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</si>
  <si>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</si>
  <si>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</si>
  <si>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</si>
  <si>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</si>
  <si>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</si>
  <si>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</si>
  <si>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</si>
  <si>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</si>
  <si>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</si>
  <si>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</si>
  <si>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</si>
  <si>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</si>
  <si>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</si>
  <si>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</si>
  <si>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</si>
  <si>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</si>
  <si>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</si>
  <si>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</si>
  <si>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</si>
  <si>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</si>
  <si>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</si>
  <si>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</si>
  <si>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</si>
  <si>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</si>
  <si>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45200000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</si>
  <si>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</si>
  <si>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</si>
  <si>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</si>
  <si>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</si>
  <si>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</si>
  <si>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48200000</t>
  </si>
  <si>
    <t>ქსელების, ინტერნეტისა და ინტრანეტის პროგრამების პროგრამული პაკეტები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</si>
  <si>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</si>
  <si>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</si>
  <si>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</si>
  <si>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</si>
  <si>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</si>
  <si>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</si>
  <si>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</si>
  <si>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</si>
  <si>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</si>
  <si>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</si>
  <si>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</si>
  <si>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</si>
  <si>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</si>
  <si>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</si>
  <si>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</si>
  <si>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</si>
  <si>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</si>
  <si>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</si>
  <si>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</si>
  <si>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</si>
  <si>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</si>
  <si>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</si>
  <si>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</si>
  <si>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</si>
  <si>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</si>
  <si>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</si>
  <si>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</si>
  <si>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</si>
  <si>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</si>
  <si>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</si>
  <si>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</si>
  <si>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</si>
  <si>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</si>
  <si>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</si>
  <si>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</si>
  <si>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64100000</t>
  </si>
  <si>
    <t>საფოსტო და საკურიერო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</si>
  <si>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</si>
  <si>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</si>
  <si>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</si>
  <si>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65200000</t>
  </si>
  <si>
    <t>გაზის განაწილება და მასთან დაკავშირებული მომსახურებები</t>
  </si>
  <si>
    <t>65300000</t>
  </si>
  <si>
    <t>ელექტროენერგიის განაწილება და მასთან დაკავშირებული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</si>
  <si>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</si>
  <si>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</si>
  <si>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</si>
  <si>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</si>
  <si>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</si>
  <si>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</si>
  <si>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</si>
  <si>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</si>
  <si>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</si>
  <si>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</si>
  <si>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</si>
  <si>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</si>
  <si>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</si>
  <si>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</si>
  <si>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</si>
  <si>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</si>
  <si>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</si>
  <si>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</si>
  <si>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</si>
  <si>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</si>
  <si>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</si>
  <si>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</si>
  <si>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</si>
  <si>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</si>
  <si>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</si>
  <si>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</si>
  <si>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</si>
  <si>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</si>
  <si>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</si>
  <si>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</si>
  <si>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79900000</t>
  </si>
  <si>
    <t>ღონისძიებების ორგანიზება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</si>
  <si>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</si>
  <si>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</si>
  <si>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</si>
  <si>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</si>
  <si>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</si>
  <si>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</si>
  <si>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</si>
  <si>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სოფლის ექიმი</t>
  </si>
  <si>
    <t>90400000</t>
  </si>
  <si>
    <t>ჩამდინარე წყლებთან დაკავშირებული მომსახურებები</t>
  </si>
  <si>
    <t>რაციონალური ხარჯვა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</si>
  <si>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</si>
  <si>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</si>
  <si>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</si>
  <si>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</si>
  <si>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</si>
  <si>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</si>
  <si>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</si>
  <si>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</si>
  <si>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</si>
  <si>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</si>
  <si>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</si>
  <si>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14500000</t>
  </si>
  <si>
    <t>ტექნიკური ალმასი, პემზის ქვა, ზუმფარა და სხვა ბუნებრივი სახეხები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</si>
  <si>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</si>
  <si>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</si>
  <si>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</si>
  <si>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ღონისძიება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</si>
  <si>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</si>
  <si>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</si>
  <si>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Sylfaen"/>
        <family val="2"/>
        <scheme val="minor"/>
      </rPr>
      <t xml:space="preserve"> </t>
    </r>
  </si>
  <si>
    <t>გადაუდებელი (სინჯ)</t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</si>
  <si>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</si>
  <si>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</si>
  <si>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</si>
  <si>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</si>
  <si>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</si>
  <si>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</si>
  <si>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</si>
  <si>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</si>
  <si>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71900000</t>
  </si>
  <si>
    <t>ლაბორატორიული მომსახურებები</t>
  </si>
  <si>
    <t>სხვადასხვა მომსახურება</t>
  </si>
  <si>
    <t>2020 წლის სახელმწიფო შესყიდვების წლიური გეგმა (გრანტი)</t>
  </si>
  <si>
    <t>4. დაფინანსების წყარო: გრანტი</t>
  </si>
  <si>
    <t>საბუღალტრო,აუდიტორული და ფინანსური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</si>
</sst>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7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rgb="FFFF0000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10"/>
      <name val="Sylfaen"/>
      <family val="2"/>
      <scheme val="minor"/>
    </font>
    <font>
      <b/>
      <u/>
      <sz val="10"/>
      <name val="Sylfaen"/>
      <family val="2"/>
      <scheme val="minor"/>
    </font>
    <font>
      <b/>
      <sz val="10"/>
      <name val="Sylfaen"/>
      <family val="2"/>
      <scheme val="minor"/>
    </font>
    <font>
      <sz val="10"/>
      <color theme="1"/>
      <name val="Sylfaen"/>
      <family val="2"/>
      <scheme val="minor"/>
    </font>
    <font>
      <sz val="10"/>
      <color rgb="FFFF0000"/>
      <name val="Sylfaen"/>
      <family val="2"/>
      <scheme val="minor"/>
    </font>
    <font>
      <b/>
      <sz val="10"/>
      <color rgb="FFFF0000"/>
      <name val="Sylfaen"/>
      <family val="2"/>
      <scheme val="minor"/>
    </font>
    <font>
      <sz val="10"/>
      <color rgb="FFFF0000"/>
      <name val="Sylfaen"/>
      <family val="1"/>
      <scheme val="minor"/>
    </font>
    <font>
      <sz val="11"/>
      <color rgb="FF222222"/>
      <name val="Verdana"/>
      <family val="2"/>
    </font>
    <font>
      <sz val="11"/>
      <name val="Sylfaen"/>
      <family val="2"/>
      <scheme val="minor"/>
    </font>
    <font>
      <u val="singleAccounting"/>
      <sz val="11"/>
      <name val="Sylfaen"/>
      <family val="2"/>
      <scheme val="minor"/>
    </font>
    <font>
      <sz val="10"/>
      <color rgb="FF222222"/>
      <name val="Sylfaen"/>
      <family val="2"/>
      <scheme val="minor"/>
    </font>
    <font>
      <sz val="10"/>
      <color rgb="FF000000"/>
      <name val="Sylfaen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5" fillId="0" borderId="1" xfId="2" applyFont="1" applyFill="1" applyBorder="1" applyAlignment="1">
      <alignment horizontal="center" vertical="center"/>
    </xf>
    <xf numFmtId="0" fontId="0" fillId="0" borderId="0" xfId="0" applyFill="1"/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2" fontId="0" fillId="0" borderId="0" xfId="0" applyNumberFormat="1" applyFill="1"/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14" fontId="8" fillId="0" borderId="1" xfId="3" applyNumberFormat="1" applyFont="1" applyFill="1" applyBorder="1" applyAlignment="1">
      <alignment vertical="center"/>
    </xf>
    <xf numFmtId="43" fontId="9" fillId="0" borderId="2" xfId="3" applyNumberFormat="1" applyFont="1" applyFill="1" applyBorder="1" applyAlignment="1">
      <alignment vertical="center"/>
    </xf>
    <xf numFmtId="2" fontId="5" fillId="0" borderId="1" xfId="2" applyNumberFormat="1" applyFont="1" applyFill="1" applyBorder="1" applyAlignment="1">
      <alignment horizontal="center" wrapText="1"/>
    </xf>
    <xf numFmtId="2" fontId="9" fillId="0" borderId="1" xfId="2" applyNumberFormat="1" applyFont="1" applyFill="1" applyBorder="1" applyAlignment="1">
      <alignment horizontal="center" wrapText="1"/>
    </xf>
    <xf numFmtId="43" fontId="3" fillId="0" borderId="1" xfId="1" applyFont="1" applyFill="1" applyBorder="1" applyAlignment="1"/>
    <xf numFmtId="49" fontId="5" fillId="2" borderId="1" xfId="3" applyNumberFormat="1" applyFont="1" applyFill="1" applyBorder="1" applyAlignment="1" applyProtection="1">
      <alignment horizontal="center" vertical="center" wrapText="1"/>
    </xf>
    <xf numFmtId="43" fontId="10" fillId="0" borderId="2" xfId="3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11" fillId="0" borderId="1" xfId="3" applyFont="1" applyFill="1" applyBorder="1" applyAlignment="1">
      <alignment horizontal="left" vertical="center"/>
    </xf>
    <xf numFmtId="0" fontId="9" fillId="0" borderId="1" xfId="0" applyFont="1" applyFill="1" applyBorder="1" applyAlignment="1"/>
    <xf numFmtId="49" fontId="5" fillId="3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/>
    </xf>
    <xf numFmtId="49" fontId="5" fillId="4" borderId="1" xfId="3" applyNumberFormat="1" applyFont="1" applyFill="1" applyBorder="1" applyAlignment="1" applyProtection="1">
      <alignment horizontal="center" vertical="center" wrapText="1"/>
    </xf>
    <xf numFmtId="0" fontId="9" fillId="0" borderId="2" xfId="3" applyFont="1" applyFill="1" applyBorder="1" applyAlignment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0" fontId="9" fillId="0" borderId="2" xfId="0" applyFont="1" applyFill="1" applyBorder="1" applyAlignment="1"/>
    <xf numFmtId="49" fontId="8" fillId="2" borderId="1" xfId="3" applyNumberFormat="1" applyFont="1" applyFill="1" applyBorder="1" applyAlignment="1" applyProtection="1">
      <alignment horizontal="center" vertical="center" wrapText="1"/>
    </xf>
    <xf numFmtId="49" fontId="8" fillId="4" borderId="1" xfId="3" applyNumberFormat="1" applyFont="1" applyFill="1" applyBorder="1" applyAlignment="1" applyProtection="1">
      <alignment horizontal="center" vertical="center" wrapText="1"/>
    </xf>
    <xf numFmtId="0" fontId="9" fillId="0" borderId="2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left" vertical="center"/>
    </xf>
    <xf numFmtId="0" fontId="12" fillId="0" borderId="2" xfId="0" applyFont="1" applyFill="1" applyBorder="1" applyAlignment="1"/>
    <xf numFmtId="49" fontId="8" fillId="2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wrapText="1"/>
    </xf>
    <xf numFmtId="43" fontId="9" fillId="0" borderId="2" xfId="3" applyNumberFormat="1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8" fillId="0" borderId="1" xfId="5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8" fillId="5" borderId="1" xfId="5" applyFont="1" applyFill="1" applyBorder="1" applyAlignment="1">
      <alignment vertical="center"/>
    </xf>
    <xf numFmtId="0" fontId="8" fillId="0" borderId="1" xfId="3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3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4" fillId="0" borderId="0" xfId="4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/>
    </xf>
    <xf numFmtId="49" fontId="5" fillId="0" borderId="5" xfId="3" applyNumberFormat="1" applyFont="1" applyFill="1" applyBorder="1" applyAlignment="1" applyProtection="1">
      <alignment horizontal="left" vertical="center" wrapText="1"/>
    </xf>
    <xf numFmtId="43" fontId="5" fillId="0" borderId="5" xfId="4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vertical="center"/>
    </xf>
    <xf numFmtId="0" fontId="0" fillId="0" borderId="1" xfId="0" applyFill="1" applyBorder="1"/>
    <xf numFmtId="43" fontId="0" fillId="0" borderId="1" xfId="0" applyNumberFormat="1" applyFill="1" applyBorder="1"/>
    <xf numFmtId="43" fontId="5" fillId="0" borderId="5" xfId="4" applyFont="1" applyFill="1" applyBorder="1" applyAlignment="1">
      <alignment vertical="center"/>
    </xf>
    <xf numFmtId="0" fontId="2" fillId="0" borderId="1" xfId="0" applyFont="1" applyFill="1" applyBorder="1"/>
    <xf numFmtId="49" fontId="5" fillId="0" borderId="1" xfId="3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49" fontId="8" fillId="4" borderId="1" xfId="3" applyNumberFormat="1" applyFont="1" applyFill="1" applyBorder="1" applyAlignment="1">
      <alignment horizontal="center" vertical="center"/>
    </xf>
    <xf numFmtId="0" fontId="5" fillId="5" borderId="1" xfId="3" applyFont="1" applyFill="1" applyBorder="1" applyAlignment="1" applyProtection="1">
      <alignment horizontal="left" vertical="center" wrapText="1" readingOrder="1"/>
      <protection locked="0"/>
    </xf>
    <xf numFmtId="0" fontId="15" fillId="0" borderId="0" xfId="0" applyFont="1" applyFill="1" applyBorder="1" applyAlignment="1">
      <alignment wrapText="1"/>
    </xf>
    <xf numFmtId="2" fontId="9" fillId="0" borderId="2" xfId="3" applyNumberFormat="1" applyFont="1" applyFill="1" applyBorder="1" applyAlignment="1">
      <alignment vertical="center"/>
    </xf>
    <xf numFmtId="49" fontId="8" fillId="3" borderId="1" xfId="3" applyNumberFormat="1" applyFont="1" applyFill="1" applyBorder="1" applyAlignment="1">
      <alignment horizontal="center" vertical="center"/>
    </xf>
    <xf numFmtId="49" fontId="5" fillId="0" borderId="5" xfId="3" applyNumberFormat="1" applyFont="1" applyFill="1" applyBorder="1" applyAlignment="1" applyProtection="1">
      <alignment horizontal="left" vertical="center"/>
    </xf>
    <xf numFmtId="43" fontId="13" fillId="0" borderId="1" xfId="4" applyFont="1" applyFill="1" applyBorder="1"/>
    <xf numFmtId="0" fontId="0" fillId="0" borderId="0" xfId="0" applyFill="1" applyAlignment="1"/>
    <xf numFmtId="0" fontId="0" fillId="0" borderId="1" xfId="0" applyFill="1" applyBorder="1" applyAlignment="1">
      <alignment horizontal="center"/>
    </xf>
    <xf numFmtId="49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ill="1" applyBorder="1" applyAlignment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4320;&#4308;&#4308;&#4321;&#4322;&#4320;&#4312;%20-%20&#4306;&#4308;&#4306;&#4315;&#4304;%202020%20&#4332;\&#4320;&#4308;&#4308;&#4321;&#4322;&#4320;&#4312;%20-%20&#4306;&#4308;&#4306;&#4315;&#4304;%202020%20&#43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ამარტივებული შესყიდვა"/>
      <sheetName val="ელ. ტენდერი"/>
      <sheetName val="კონსოლიდირებული ტენდერი"/>
      <sheetName val="2020"/>
      <sheetName val="16.12.19"/>
      <sheetName val="26.12.19"/>
      <sheetName val="10.01.20"/>
      <sheetName val="21.01.2020"/>
      <sheetName val="06.02.20"/>
      <sheetName val="13.02.20"/>
      <sheetName val="21.02.20"/>
      <sheetName val="05.03.20"/>
      <sheetName val="17.03.20"/>
      <sheetName val="06.04.20"/>
      <sheetName val="23.04.20"/>
      <sheetName val="04.05.20"/>
      <sheetName val="19.05.20"/>
      <sheetName val="27.05.20"/>
      <sheetName val="08.06.20"/>
      <sheetName val="19.06.20"/>
      <sheetName val="30.06.2020"/>
      <sheetName val="21.07.20"/>
      <sheetName val="24.07.20"/>
      <sheetName val="17.08.20"/>
      <sheetName val="მიმდინარე"/>
    </sheetNames>
    <sheetDataSet>
      <sheetData sheetId="0">
        <row r="1">
          <cell r="K1" t="str">
            <v>CPV</v>
          </cell>
          <cell r="L1" t="str">
            <v>ღირებულება CPV-ის მიხედვით</v>
          </cell>
          <cell r="N1" t="str">
            <v xml:space="preserve">დაფინანსების წყარო </v>
          </cell>
          <cell r="O1" t="str">
            <v>პროგრამული კოდი</v>
          </cell>
        </row>
        <row r="2">
          <cell r="K2">
            <v>48600000</v>
          </cell>
          <cell r="L2">
            <v>3840</v>
          </cell>
          <cell r="N2" t="str">
            <v>სახელმწიფო ბიუჯეტი</v>
          </cell>
          <cell r="O2">
            <v>270106</v>
          </cell>
        </row>
        <row r="3">
          <cell r="K3">
            <v>50300000</v>
          </cell>
          <cell r="L3">
            <v>830</v>
          </cell>
          <cell r="N3" t="str">
            <v>საკუთარი შემოსავლები</v>
          </cell>
          <cell r="O3">
            <v>270106</v>
          </cell>
        </row>
        <row r="4">
          <cell r="K4">
            <v>72400000</v>
          </cell>
          <cell r="L4">
            <v>480</v>
          </cell>
          <cell r="N4" t="str">
            <v>სახელმწიფო ბიუჯეტი</v>
          </cell>
          <cell r="O4">
            <v>2703030701</v>
          </cell>
        </row>
        <row r="5">
          <cell r="K5">
            <v>50100000</v>
          </cell>
          <cell r="L5">
            <v>135000</v>
          </cell>
          <cell r="N5" t="str">
            <v>სახელმწიფო ბიუჯეტი</v>
          </cell>
          <cell r="O5">
            <v>2703030701</v>
          </cell>
        </row>
        <row r="6">
          <cell r="K6">
            <v>72400000</v>
          </cell>
          <cell r="L6">
            <v>15813</v>
          </cell>
          <cell r="N6" t="str">
            <v>სახელმწიფო ბიუჯეტი</v>
          </cell>
          <cell r="O6">
            <v>270106</v>
          </cell>
        </row>
        <row r="7">
          <cell r="K7">
            <v>64200000</v>
          </cell>
          <cell r="L7">
            <v>18000</v>
          </cell>
          <cell r="N7" t="str">
            <v>სახელმწიფო ბიუჯეტი</v>
          </cell>
          <cell r="O7">
            <v>270106</v>
          </cell>
        </row>
        <row r="8">
          <cell r="K8">
            <v>72400000</v>
          </cell>
          <cell r="L8">
            <v>5940</v>
          </cell>
          <cell r="N8" t="str">
            <v>სახელმწიფო ბიუჯეტი</v>
          </cell>
          <cell r="O8">
            <v>2703030701</v>
          </cell>
        </row>
        <row r="9">
          <cell r="K9">
            <v>72400000</v>
          </cell>
          <cell r="L9">
            <v>4320</v>
          </cell>
          <cell r="N9" t="str">
            <v>სახელმწიფო ბიუჯეტი</v>
          </cell>
          <cell r="O9">
            <v>2703030701</v>
          </cell>
        </row>
        <row r="10">
          <cell r="K10">
            <v>72400000</v>
          </cell>
          <cell r="L10">
            <v>3000</v>
          </cell>
          <cell r="N10" t="str">
            <v>სახელმწიფო ბიუჯეტი</v>
          </cell>
          <cell r="O10">
            <v>2703030701</v>
          </cell>
        </row>
        <row r="11">
          <cell r="K11">
            <v>72400000</v>
          </cell>
          <cell r="L11">
            <v>16050</v>
          </cell>
          <cell r="N11" t="str">
            <v>სახელმწიფო ბიუჯეტი</v>
          </cell>
          <cell r="O11">
            <v>2703030701</v>
          </cell>
        </row>
        <row r="12">
          <cell r="K12">
            <v>72400000</v>
          </cell>
          <cell r="L12">
            <v>12720</v>
          </cell>
          <cell r="N12" t="str">
            <v>სახელმწიფო ბიუჯეტი</v>
          </cell>
          <cell r="O12">
            <v>2703030701</v>
          </cell>
        </row>
        <row r="13">
          <cell r="K13">
            <v>64200000</v>
          </cell>
          <cell r="L13">
            <v>6984.9</v>
          </cell>
          <cell r="N13" t="str">
            <v>სახელმწიფო ბიუჯეტი</v>
          </cell>
          <cell r="O13">
            <v>2703030701</v>
          </cell>
        </row>
        <row r="14">
          <cell r="K14">
            <v>63700000</v>
          </cell>
          <cell r="L14">
            <v>169092</v>
          </cell>
          <cell r="N14" t="str">
            <v>სახელმწიფო ბიუჯეტი</v>
          </cell>
          <cell r="O14">
            <v>2703030701</v>
          </cell>
        </row>
        <row r="15">
          <cell r="K15">
            <v>50100000</v>
          </cell>
          <cell r="L15">
            <v>72586</v>
          </cell>
          <cell r="N15" t="str">
            <v>სახელმწიფო ბიუჯეტი</v>
          </cell>
          <cell r="O15">
            <v>2703030701</v>
          </cell>
        </row>
        <row r="16">
          <cell r="K16">
            <v>50100000</v>
          </cell>
          <cell r="L16">
            <v>10000</v>
          </cell>
          <cell r="N16" t="str">
            <v>სახელმწიფო ბიუჯეტი</v>
          </cell>
          <cell r="O16">
            <v>2703030701</v>
          </cell>
        </row>
        <row r="17">
          <cell r="K17">
            <v>50100000</v>
          </cell>
          <cell r="L17">
            <v>74983</v>
          </cell>
          <cell r="N17" t="str">
            <v>სახელმწიფო ბიუჯეტი</v>
          </cell>
          <cell r="O17">
            <v>2703030701</v>
          </cell>
        </row>
        <row r="18">
          <cell r="K18">
            <v>50100000</v>
          </cell>
          <cell r="L18">
            <v>15000</v>
          </cell>
          <cell r="N18" t="str">
            <v>სახელმწიფო ბიუჯეტი</v>
          </cell>
          <cell r="O18">
            <v>2703030701</v>
          </cell>
        </row>
        <row r="19">
          <cell r="K19">
            <v>50100000</v>
          </cell>
          <cell r="L19">
            <v>150000</v>
          </cell>
          <cell r="N19" t="str">
            <v>სახელმწიფო ბიუჯეტი</v>
          </cell>
          <cell r="O19">
            <v>2703030701</v>
          </cell>
        </row>
        <row r="20">
          <cell r="K20">
            <v>50100000</v>
          </cell>
          <cell r="L20">
            <v>12000</v>
          </cell>
          <cell r="N20" t="str">
            <v>სახელმწიფო ბიუჯეტი</v>
          </cell>
          <cell r="O20">
            <v>2703030701</v>
          </cell>
        </row>
        <row r="21">
          <cell r="K21">
            <v>64200000</v>
          </cell>
          <cell r="L21">
            <v>1200</v>
          </cell>
          <cell r="N21" t="str">
            <v>სახელმწიფო ბიუჯეტი</v>
          </cell>
          <cell r="O21">
            <v>2703030701</v>
          </cell>
        </row>
        <row r="22">
          <cell r="K22">
            <v>72400000</v>
          </cell>
          <cell r="L22">
            <v>16800</v>
          </cell>
          <cell r="N22" t="str">
            <v>სახელმწიფო ბიუჯეტი</v>
          </cell>
          <cell r="O22">
            <v>2703030701</v>
          </cell>
        </row>
        <row r="23">
          <cell r="K23">
            <v>72400000</v>
          </cell>
          <cell r="L23">
            <v>14000</v>
          </cell>
          <cell r="N23" t="str">
            <v>სახელმწიფო ბიუჯეტი</v>
          </cell>
          <cell r="O23">
            <v>270106</v>
          </cell>
        </row>
        <row r="24">
          <cell r="K24">
            <v>50100000</v>
          </cell>
          <cell r="L24">
            <v>70000</v>
          </cell>
          <cell r="N24" t="str">
            <v>სახელმწიფო ბიუჯეტი</v>
          </cell>
          <cell r="O24">
            <v>2703030701</v>
          </cell>
        </row>
        <row r="25">
          <cell r="K25" t="str">
            <v>09100000</v>
          </cell>
          <cell r="L25">
            <v>49725</v>
          </cell>
          <cell r="N25" t="str">
            <v>სახელმწიფო ბიუჯეტი</v>
          </cell>
          <cell r="O25">
            <v>2703030701</v>
          </cell>
        </row>
        <row r="26">
          <cell r="K26" t="str">
            <v>09100000</v>
          </cell>
          <cell r="L26">
            <v>18110</v>
          </cell>
          <cell r="N26" t="str">
            <v>სახელმწიფო ბიუჯეტი</v>
          </cell>
          <cell r="O26">
            <v>2703030701</v>
          </cell>
        </row>
        <row r="27">
          <cell r="K27" t="str">
            <v>09100000</v>
          </cell>
          <cell r="L27">
            <v>66984</v>
          </cell>
          <cell r="N27" t="str">
            <v>სახელმწიფო ბიუჯეტი</v>
          </cell>
          <cell r="O27">
            <v>2703030701</v>
          </cell>
        </row>
        <row r="28">
          <cell r="K28" t="str">
            <v>09100000</v>
          </cell>
          <cell r="L28">
            <v>8225</v>
          </cell>
          <cell r="N28" t="str">
            <v>სახელმწიფო ბიუჯეტი</v>
          </cell>
          <cell r="O28">
            <v>2703030701</v>
          </cell>
        </row>
        <row r="29">
          <cell r="K29" t="str">
            <v>09100000</v>
          </cell>
          <cell r="L29">
            <v>7560</v>
          </cell>
          <cell r="N29" t="str">
            <v>სახელმწიფო ბიუჯეტი</v>
          </cell>
          <cell r="O29">
            <v>2703030701</v>
          </cell>
        </row>
        <row r="30">
          <cell r="K30">
            <v>75100000</v>
          </cell>
          <cell r="L30">
            <v>15000</v>
          </cell>
          <cell r="N30" t="str">
            <v>სახელმწიფო ბიუჯეტი</v>
          </cell>
          <cell r="O30">
            <v>2703030701</v>
          </cell>
        </row>
        <row r="31">
          <cell r="K31">
            <v>50100000</v>
          </cell>
          <cell r="L31">
            <v>250000</v>
          </cell>
          <cell r="N31" t="str">
            <v>სახელმწიფო ბიუჯეტი</v>
          </cell>
          <cell r="O31">
            <v>2703030701</v>
          </cell>
        </row>
        <row r="32">
          <cell r="K32">
            <v>30100000</v>
          </cell>
          <cell r="L32">
            <v>57</v>
          </cell>
          <cell r="N32" t="str">
            <v>საკუთარი შემოსავლები</v>
          </cell>
          <cell r="O32">
            <v>270106</v>
          </cell>
        </row>
        <row r="33">
          <cell r="K33">
            <v>48400000</v>
          </cell>
          <cell r="L33">
            <v>4989</v>
          </cell>
          <cell r="N33" t="str">
            <v>სახელმწიფო ბიუჯეტი</v>
          </cell>
          <cell r="O33">
            <v>270106</v>
          </cell>
        </row>
        <row r="34">
          <cell r="K34">
            <v>90400000</v>
          </cell>
          <cell r="L34">
            <v>2000</v>
          </cell>
          <cell r="N34" t="str">
            <v>საკუთარი შემოსავლები</v>
          </cell>
          <cell r="O34">
            <v>2703030701</v>
          </cell>
        </row>
        <row r="35">
          <cell r="K35">
            <v>50300000</v>
          </cell>
          <cell r="L35">
            <v>533.79999999999995</v>
          </cell>
          <cell r="N35" t="str">
            <v>საკუთარი შემოსავლები</v>
          </cell>
          <cell r="O35">
            <v>2703030701</v>
          </cell>
        </row>
        <row r="36">
          <cell r="K36">
            <v>50400000</v>
          </cell>
          <cell r="L36">
            <v>3900</v>
          </cell>
          <cell r="N36" t="str">
            <v>საკუთარი შემოსავლები</v>
          </cell>
          <cell r="O36">
            <v>2703030701</v>
          </cell>
        </row>
        <row r="37">
          <cell r="K37">
            <v>42500000</v>
          </cell>
          <cell r="L37">
            <v>286</v>
          </cell>
          <cell r="N37" t="str">
            <v>საკუთარი შემოსავლები</v>
          </cell>
          <cell r="O37">
            <v>270106</v>
          </cell>
        </row>
        <row r="38">
          <cell r="K38">
            <v>44400000</v>
          </cell>
          <cell r="L38">
            <v>90</v>
          </cell>
          <cell r="N38" t="str">
            <v>საკუთარი შემოსავლები</v>
          </cell>
          <cell r="O38">
            <v>270106</v>
          </cell>
        </row>
        <row r="39">
          <cell r="K39" t="str">
            <v>09100000</v>
          </cell>
          <cell r="L39">
            <v>3780</v>
          </cell>
          <cell r="N39" t="str">
            <v>სახელმწიფო ბიუჯეტი</v>
          </cell>
          <cell r="O39">
            <v>2703030701</v>
          </cell>
        </row>
        <row r="40">
          <cell r="K40" t="str">
            <v>09100000</v>
          </cell>
          <cell r="L40">
            <v>2320</v>
          </cell>
          <cell r="N40" t="str">
            <v>სახელმწიფო ბიუჯეტი</v>
          </cell>
          <cell r="O40">
            <v>2703030701</v>
          </cell>
        </row>
        <row r="41">
          <cell r="K41" t="str">
            <v>09100000</v>
          </cell>
          <cell r="L41">
            <v>66420</v>
          </cell>
          <cell r="N41" t="str">
            <v>სახელმწიფო ბიუჯეტი</v>
          </cell>
          <cell r="O41">
            <v>2703030701</v>
          </cell>
        </row>
        <row r="42">
          <cell r="K42" t="str">
            <v>09100000</v>
          </cell>
          <cell r="L42">
            <v>45730</v>
          </cell>
          <cell r="N42" t="str">
            <v>სახელმწიფო ბიუჯეტი</v>
          </cell>
          <cell r="O42">
            <v>2703030701</v>
          </cell>
        </row>
        <row r="43">
          <cell r="K43" t="str">
            <v>09100000</v>
          </cell>
          <cell r="L43">
            <v>25880</v>
          </cell>
          <cell r="N43" t="str">
            <v>სახელმწიფო ბიუჯეტი</v>
          </cell>
          <cell r="O43">
            <v>2703030701</v>
          </cell>
        </row>
        <row r="44">
          <cell r="K44">
            <v>79500000</v>
          </cell>
          <cell r="L44">
            <v>60</v>
          </cell>
          <cell r="N44" t="str">
            <v>სახელმწიფო ბიუჯეტი</v>
          </cell>
          <cell r="O44">
            <v>2703030701</v>
          </cell>
        </row>
        <row r="45">
          <cell r="K45">
            <v>44500000</v>
          </cell>
          <cell r="L45">
            <v>75</v>
          </cell>
          <cell r="N45" t="str">
            <v>საკუთარი შემოსავლები</v>
          </cell>
          <cell r="O45">
            <v>270106</v>
          </cell>
        </row>
        <row r="46">
          <cell r="K46">
            <v>50700000</v>
          </cell>
          <cell r="L46">
            <v>395</v>
          </cell>
          <cell r="N46" t="str">
            <v>საკუთარი შემოსავლები</v>
          </cell>
          <cell r="O46">
            <v>270106</v>
          </cell>
        </row>
        <row r="47">
          <cell r="K47">
            <v>15900000</v>
          </cell>
          <cell r="L47">
            <v>1485</v>
          </cell>
          <cell r="N47" t="str">
            <v>სახელმწიფო ბიუჯეტი</v>
          </cell>
          <cell r="O47">
            <v>270106</v>
          </cell>
        </row>
        <row r="48">
          <cell r="K48">
            <v>79800000</v>
          </cell>
          <cell r="L48">
            <v>1160</v>
          </cell>
          <cell r="N48" t="str">
            <v>საკუთარი შემოსავლები</v>
          </cell>
          <cell r="O48">
            <v>2703030701</v>
          </cell>
        </row>
        <row r="49">
          <cell r="K49">
            <v>50500000</v>
          </cell>
          <cell r="L49">
            <v>255.1</v>
          </cell>
          <cell r="N49" t="str">
            <v>სახელმწიფო ბიუჯეტი</v>
          </cell>
          <cell r="O49">
            <v>2703030701</v>
          </cell>
        </row>
        <row r="50">
          <cell r="K50">
            <v>63100000</v>
          </cell>
          <cell r="L50">
            <v>1557.5</v>
          </cell>
          <cell r="N50" t="str">
            <v>სახელმწიფო ბიუჯეტი</v>
          </cell>
          <cell r="O50">
            <v>270106</v>
          </cell>
        </row>
        <row r="51">
          <cell r="K51">
            <v>72400000</v>
          </cell>
          <cell r="L51">
            <v>325</v>
          </cell>
          <cell r="N51" t="str">
            <v>სახელმწიფო ბიუჯეტი</v>
          </cell>
          <cell r="O51">
            <v>2703030701</v>
          </cell>
        </row>
        <row r="52">
          <cell r="K52">
            <v>22400000</v>
          </cell>
          <cell r="L52">
            <v>245</v>
          </cell>
          <cell r="N52" t="str">
            <v>საკუთარი შემოსავლები</v>
          </cell>
          <cell r="O52">
            <v>2703030701</v>
          </cell>
        </row>
        <row r="53">
          <cell r="K53">
            <v>24100000</v>
          </cell>
          <cell r="L53">
            <v>4900</v>
          </cell>
          <cell r="N53" t="str">
            <v>საკუთარი შემოსავლები</v>
          </cell>
          <cell r="O53">
            <v>2703030701</v>
          </cell>
        </row>
        <row r="54">
          <cell r="K54">
            <v>72400000</v>
          </cell>
          <cell r="L54">
            <v>2320</v>
          </cell>
          <cell r="N54" t="str">
            <v>სახელმწიფო ბიუჯეტი</v>
          </cell>
          <cell r="O54">
            <v>2703030701</v>
          </cell>
        </row>
        <row r="55">
          <cell r="K55">
            <v>79500000</v>
          </cell>
          <cell r="L55">
            <v>3500</v>
          </cell>
          <cell r="N55" t="str">
            <v>სახელმწიფო ბიუჯეტი</v>
          </cell>
          <cell r="O55">
            <v>2703030701</v>
          </cell>
        </row>
        <row r="56">
          <cell r="K56">
            <v>50100000</v>
          </cell>
          <cell r="L56">
            <v>1980</v>
          </cell>
          <cell r="N56" t="str">
            <v>სახელმწიფო ბიუჯეტი</v>
          </cell>
          <cell r="O56">
            <v>2703030701</v>
          </cell>
        </row>
        <row r="57">
          <cell r="K57">
            <v>92200000</v>
          </cell>
          <cell r="L57">
            <v>860</v>
          </cell>
          <cell r="N57" t="str">
            <v>სახელმწიფო ბიუჯეტი</v>
          </cell>
          <cell r="O57">
            <v>270106</v>
          </cell>
        </row>
        <row r="58">
          <cell r="K58">
            <v>30200000</v>
          </cell>
          <cell r="L58">
            <v>57.99</v>
          </cell>
          <cell r="N58" t="str">
            <v>სახელმწიფო ბიუჯეტი</v>
          </cell>
          <cell r="O58">
            <v>270106</v>
          </cell>
        </row>
        <row r="59">
          <cell r="K59">
            <v>33600000</v>
          </cell>
          <cell r="L59">
            <v>6918.8</v>
          </cell>
          <cell r="N59" t="str">
            <v>სახელმწიფო ბიუჯეტი</v>
          </cell>
          <cell r="O59">
            <v>2703030701</v>
          </cell>
        </row>
        <row r="60">
          <cell r="K60">
            <v>77200000</v>
          </cell>
          <cell r="L60">
            <v>399.99</v>
          </cell>
          <cell r="N60" t="str">
            <v>სახელმწიფო ბიუჯეტი</v>
          </cell>
          <cell r="O60">
            <v>2703030701</v>
          </cell>
        </row>
        <row r="61">
          <cell r="K61">
            <v>44100000</v>
          </cell>
          <cell r="L61">
            <v>3525</v>
          </cell>
          <cell r="N61" t="str">
            <v>სახელმწიფო ბიუჯეტი</v>
          </cell>
          <cell r="O61">
            <v>270106</v>
          </cell>
        </row>
        <row r="62">
          <cell r="K62">
            <v>44500000</v>
          </cell>
          <cell r="L62">
            <v>184.5</v>
          </cell>
          <cell r="N62" t="str">
            <v>საკუთარი შემოსავლები</v>
          </cell>
          <cell r="O62">
            <v>270106</v>
          </cell>
        </row>
        <row r="63">
          <cell r="K63">
            <v>22400000</v>
          </cell>
          <cell r="L63">
            <v>160</v>
          </cell>
          <cell r="N63" t="str">
            <v>საკუთარი შემოსავლები</v>
          </cell>
          <cell r="O63">
            <v>2703030701</v>
          </cell>
        </row>
        <row r="64">
          <cell r="K64">
            <v>30200000</v>
          </cell>
          <cell r="L64">
            <v>2091</v>
          </cell>
          <cell r="N64" t="str">
            <v>სახელმწიფო ბიუჯეტი</v>
          </cell>
          <cell r="O64">
            <v>270106</v>
          </cell>
        </row>
        <row r="65">
          <cell r="K65">
            <v>31600000</v>
          </cell>
          <cell r="L65">
            <v>2868</v>
          </cell>
          <cell r="N65" t="str">
            <v>სახელმწიფო ბიუჯეტი</v>
          </cell>
          <cell r="O65">
            <v>270106</v>
          </cell>
        </row>
        <row r="66">
          <cell r="K66">
            <v>30200000</v>
          </cell>
          <cell r="L66">
            <v>91</v>
          </cell>
          <cell r="N66" t="str">
            <v>სახელმწიფო ბიუჯეტი</v>
          </cell>
          <cell r="O66">
            <v>270106</v>
          </cell>
        </row>
        <row r="67">
          <cell r="K67">
            <v>31400000</v>
          </cell>
          <cell r="L67">
            <v>310</v>
          </cell>
          <cell r="N67" t="str">
            <v>სახელმწიფო ბიუჯეტი</v>
          </cell>
          <cell r="O67">
            <v>270106</v>
          </cell>
        </row>
        <row r="68">
          <cell r="K68">
            <v>31600000</v>
          </cell>
          <cell r="L68">
            <v>216</v>
          </cell>
          <cell r="N68" t="str">
            <v>სახელმწიფო ბიუჯეტი</v>
          </cell>
          <cell r="O68">
            <v>270106</v>
          </cell>
        </row>
        <row r="69">
          <cell r="K69">
            <v>44200000</v>
          </cell>
          <cell r="L69">
            <v>550</v>
          </cell>
          <cell r="N69" t="str">
            <v>სახელმწიფო ბიუჯეტი</v>
          </cell>
          <cell r="O69">
            <v>270106</v>
          </cell>
        </row>
        <row r="70">
          <cell r="K70">
            <v>44300000</v>
          </cell>
          <cell r="L70">
            <v>262</v>
          </cell>
          <cell r="N70" t="str">
            <v>სახელმწიფო ბიუჯეტი</v>
          </cell>
          <cell r="O70">
            <v>270106</v>
          </cell>
        </row>
        <row r="71">
          <cell r="K71">
            <v>45300000</v>
          </cell>
          <cell r="L71">
            <v>1750</v>
          </cell>
          <cell r="N71" t="str">
            <v>სახელმწიფო ბიუჯეტი</v>
          </cell>
          <cell r="O71">
            <v>270106</v>
          </cell>
        </row>
        <row r="72">
          <cell r="K72">
            <v>42100000</v>
          </cell>
          <cell r="L72">
            <v>950</v>
          </cell>
          <cell r="N72" t="str">
            <v>საკუთარი შემოსავლები</v>
          </cell>
          <cell r="O72">
            <v>2703030701</v>
          </cell>
        </row>
        <row r="73">
          <cell r="K73">
            <v>90400000</v>
          </cell>
          <cell r="L73">
            <v>300</v>
          </cell>
          <cell r="N73" t="str">
            <v>საკუთარი შემოსავლები</v>
          </cell>
          <cell r="O73">
            <v>2703030701</v>
          </cell>
        </row>
        <row r="74">
          <cell r="K74">
            <v>50100000</v>
          </cell>
          <cell r="L74">
            <v>100</v>
          </cell>
          <cell r="N74" t="str">
            <v>საკუთარი შემოსავლები</v>
          </cell>
          <cell r="O74">
            <v>270106</v>
          </cell>
        </row>
        <row r="75">
          <cell r="K75">
            <v>90400000</v>
          </cell>
          <cell r="L75">
            <v>250</v>
          </cell>
          <cell r="N75" t="str">
            <v>საკუთარი შემოსავლები</v>
          </cell>
          <cell r="O75">
            <v>270106</v>
          </cell>
        </row>
        <row r="76">
          <cell r="K76">
            <v>44600000</v>
          </cell>
          <cell r="L76">
            <v>411.17</v>
          </cell>
          <cell r="N76" t="str">
            <v>სახელმწიფო ბიუჯეტი</v>
          </cell>
          <cell r="O76">
            <v>270106</v>
          </cell>
        </row>
        <row r="77">
          <cell r="K77">
            <v>90900000</v>
          </cell>
          <cell r="L77">
            <v>4980</v>
          </cell>
          <cell r="N77" t="str">
            <v>სახელმწიფო ბიუჯეტი</v>
          </cell>
          <cell r="O77">
            <v>270106</v>
          </cell>
        </row>
        <row r="78">
          <cell r="K78">
            <v>90400000</v>
          </cell>
          <cell r="L78">
            <v>250</v>
          </cell>
          <cell r="N78" t="str">
            <v>საკუთარი შემოსავლები</v>
          </cell>
          <cell r="O78">
            <v>270106</v>
          </cell>
        </row>
        <row r="79">
          <cell r="K79">
            <v>90400000</v>
          </cell>
          <cell r="L79">
            <v>151.47</v>
          </cell>
          <cell r="N79" t="str">
            <v>საკუთარი შემოსავლები</v>
          </cell>
          <cell r="O79">
            <v>270106</v>
          </cell>
        </row>
        <row r="80">
          <cell r="K80">
            <v>31400000</v>
          </cell>
          <cell r="L80">
            <v>480</v>
          </cell>
          <cell r="N80" t="str">
            <v>სახელმწიფო ბიუჯეტი</v>
          </cell>
          <cell r="O80">
            <v>270106</v>
          </cell>
        </row>
        <row r="81">
          <cell r="K81">
            <v>50400000</v>
          </cell>
          <cell r="L81">
            <v>1000</v>
          </cell>
          <cell r="N81" t="str">
            <v>საკუთარი შემოსავლები</v>
          </cell>
          <cell r="O81">
            <v>2703030701</v>
          </cell>
        </row>
        <row r="82">
          <cell r="K82">
            <v>32300000</v>
          </cell>
          <cell r="L82">
            <v>4225</v>
          </cell>
          <cell r="N82" t="str">
            <v>საკუთარი შემოსავლები</v>
          </cell>
          <cell r="O82">
            <v>2703030701</v>
          </cell>
        </row>
        <row r="83">
          <cell r="K83">
            <v>42500000</v>
          </cell>
          <cell r="L83">
            <v>4164</v>
          </cell>
          <cell r="N83" t="str">
            <v>საკუთარი შემოსავლები</v>
          </cell>
          <cell r="O83">
            <v>270106</v>
          </cell>
        </row>
        <row r="84">
          <cell r="K84">
            <v>50700000</v>
          </cell>
          <cell r="L84">
            <v>2500</v>
          </cell>
          <cell r="N84" t="str">
            <v>საკუთარი შემოსავლები</v>
          </cell>
          <cell r="O84">
            <v>270106</v>
          </cell>
        </row>
        <row r="85">
          <cell r="K85">
            <v>79100000</v>
          </cell>
          <cell r="L85">
            <v>1626</v>
          </cell>
          <cell r="N85" t="str">
            <v>სახელმწიფო ბიუჯეტი</v>
          </cell>
          <cell r="O85">
            <v>270106</v>
          </cell>
        </row>
        <row r="86">
          <cell r="K86">
            <v>79500000</v>
          </cell>
          <cell r="L86">
            <v>795</v>
          </cell>
          <cell r="N86" t="str">
            <v>სახელმწიფო ბიუჯეტი</v>
          </cell>
          <cell r="O86">
            <v>270106</v>
          </cell>
        </row>
        <row r="87">
          <cell r="K87">
            <v>44500000</v>
          </cell>
          <cell r="L87">
            <v>3300</v>
          </cell>
          <cell r="N87" t="str">
            <v>სახელმწიფო ბიუჯეტი</v>
          </cell>
          <cell r="O87">
            <v>2703030701</v>
          </cell>
        </row>
        <row r="88">
          <cell r="K88" t="str">
            <v>09100000</v>
          </cell>
          <cell r="L88">
            <v>4880</v>
          </cell>
          <cell r="N88" t="str">
            <v>სახელმწიფო ბიუჯეტი</v>
          </cell>
          <cell r="O88">
            <v>2703030701</v>
          </cell>
        </row>
        <row r="89">
          <cell r="K89" t="str">
            <v>09100000</v>
          </cell>
          <cell r="L89">
            <v>48000</v>
          </cell>
          <cell r="N89" t="str">
            <v>სახელმწიფო ბიუჯეტი</v>
          </cell>
          <cell r="O89">
            <v>2703030701</v>
          </cell>
        </row>
        <row r="90">
          <cell r="K90" t="str">
            <v>09100000</v>
          </cell>
          <cell r="L90">
            <v>7770</v>
          </cell>
          <cell r="N90" t="str">
            <v>სახელმწიფო ბიუჯეტი</v>
          </cell>
          <cell r="O90">
            <v>2703030701</v>
          </cell>
        </row>
        <row r="91">
          <cell r="K91" t="str">
            <v>09100000</v>
          </cell>
          <cell r="L91">
            <v>41800</v>
          </cell>
          <cell r="N91" t="str">
            <v>სახელმწიფო ბიუჯეტი</v>
          </cell>
          <cell r="O91">
            <v>2703030701</v>
          </cell>
        </row>
        <row r="92">
          <cell r="K92" t="str">
            <v>09100000</v>
          </cell>
          <cell r="L92">
            <v>17690</v>
          </cell>
          <cell r="N92" t="str">
            <v>სახელმწიფო ბიუჯეტი</v>
          </cell>
          <cell r="O92">
            <v>2703030701</v>
          </cell>
        </row>
        <row r="93">
          <cell r="K93">
            <v>33600000</v>
          </cell>
          <cell r="L93">
            <v>1326</v>
          </cell>
          <cell r="N93" t="str">
            <v>სახელმწიფო ბიუჯეტი</v>
          </cell>
          <cell r="O93">
            <v>2703030701</v>
          </cell>
        </row>
        <row r="94">
          <cell r="K94">
            <v>90900000</v>
          </cell>
          <cell r="L94">
            <v>17000</v>
          </cell>
          <cell r="N94" t="str">
            <v>სახელმწიფო ბიუჯეტი</v>
          </cell>
          <cell r="O94">
            <v>2703030701</v>
          </cell>
        </row>
        <row r="95">
          <cell r="K95">
            <v>30200000</v>
          </cell>
          <cell r="L95">
            <v>1340</v>
          </cell>
          <cell r="N95" t="str">
            <v>სახელმწიფო ბიუჯეტი</v>
          </cell>
          <cell r="O95">
            <v>270106</v>
          </cell>
        </row>
        <row r="96">
          <cell r="K96">
            <v>30200000</v>
          </cell>
          <cell r="L96">
            <v>930.7</v>
          </cell>
          <cell r="N96" t="str">
            <v>სახელმწიფო ბიუჯეტი</v>
          </cell>
          <cell r="O96">
            <v>270106</v>
          </cell>
        </row>
        <row r="97">
          <cell r="K97">
            <v>31200000</v>
          </cell>
          <cell r="L97">
            <v>190.5</v>
          </cell>
          <cell r="N97" t="str">
            <v>სახელმწიფო ბიუჯეტი</v>
          </cell>
          <cell r="O97">
            <v>2703030701</v>
          </cell>
        </row>
        <row r="98">
          <cell r="K98">
            <v>92200000</v>
          </cell>
          <cell r="L98">
            <v>400</v>
          </cell>
          <cell r="N98" t="str">
            <v>სახელმწიფო ბიუჯეტი</v>
          </cell>
          <cell r="O98">
            <v>270106</v>
          </cell>
        </row>
        <row r="99">
          <cell r="K99">
            <v>22200000</v>
          </cell>
          <cell r="L99">
            <v>72</v>
          </cell>
          <cell r="N99" t="str">
            <v>სახელმწიფო ბიუჯეტი</v>
          </cell>
          <cell r="O99">
            <v>270106</v>
          </cell>
        </row>
        <row r="100">
          <cell r="K100">
            <v>50100000</v>
          </cell>
          <cell r="L100">
            <v>7033.84</v>
          </cell>
          <cell r="N100" t="str">
            <v>სახელმწიფო ბიუჯეტი</v>
          </cell>
          <cell r="O100">
            <v>2703030701</v>
          </cell>
        </row>
        <row r="101">
          <cell r="K101">
            <v>39800000</v>
          </cell>
          <cell r="L101">
            <v>435</v>
          </cell>
          <cell r="N101" t="str">
            <v>საკუთარი შემოსავლები</v>
          </cell>
          <cell r="O101">
            <v>270106</v>
          </cell>
        </row>
        <row r="102">
          <cell r="K102">
            <v>31200000</v>
          </cell>
          <cell r="L102">
            <v>92</v>
          </cell>
          <cell r="N102" t="str">
            <v>სახელმწიფო ბიუჯეტი</v>
          </cell>
          <cell r="O102">
            <v>270106</v>
          </cell>
        </row>
        <row r="103">
          <cell r="K103">
            <v>44300000</v>
          </cell>
          <cell r="L103">
            <v>308</v>
          </cell>
          <cell r="N103" t="str">
            <v>სახელმწიფო ბიუჯეტი</v>
          </cell>
          <cell r="O103">
            <v>270106</v>
          </cell>
        </row>
        <row r="104">
          <cell r="K104">
            <v>50300000</v>
          </cell>
          <cell r="L104">
            <v>260</v>
          </cell>
          <cell r="N104" t="str">
            <v>საკუთარი შემოსავლები</v>
          </cell>
          <cell r="O104">
            <v>2703030701</v>
          </cell>
        </row>
        <row r="105">
          <cell r="K105">
            <v>50300000</v>
          </cell>
          <cell r="L105">
            <v>410</v>
          </cell>
          <cell r="N105" t="str">
            <v>საკუთარი შემოსავლები</v>
          </cell>
          <cell r="O105">
            <v>270106</v>
          </cell>
        </row>
        <row r="106">
          <cell r="K106">
            <v>33600000</v>
          </cell>
          <cell r="L106">
            <v>4919.53</v>
          </cell>
          <cell r="N106" t="str">
            <v>სახელმწიფო ბიუჯეტი</v>
          </cell>
          <cell r="O106">
            <v>2703030701</v>
          </cell>
        </row>
        <row r="107">
          <cell r="K107">
            <v>90900000</v>
          </cell>
          <cell r="L107">
            <v>1682.12</v>
          </cell>
          <cell r="N107" t="str">
            <v>საკუთარი შემოსავლები</v>
          </cell>
          <cell r="O107">
            <v>270106</v>
          </cell>
        </row>
        <row r="108">
          <cell r="K108">
            <v>31500000</v>
          </cell>
          <cell r="L108">
            <v>100</v>
          </cell>
          <cell r="N108" t="str">
            <v>საკუთარი შემოსავლები</v>
          </cell>
          <cell r="O108">
            <v>270106</v>
          </cell>
        </row>
        <row r="109">
          <cell r="K109">
            <v>33600000</v>
          </cell>
          <cell r="L109">
            <v>9000</v>
          </cell>
          <cell r="N109" t="str">
            <v>სახელმწიფო ბიუჯეტი</v>
          </cell>
          <cell r="O109">
            <v>2703030701</v>
          </cell>
        </row>
        <row r="110">
          <cell r="K110">
            <v>30100000</v>
          </cell>
          <cell r="L110">
            <v>325</v>
          </cell>
          <cell r="N110" t="str">
            <v>საკუთარი შემოსავლები</v>
          </cell>
          <cell r="O110">
            <v>270106</v>
          </cell>
        </row>
        <row r="111">
          <cell r="K111">
            <v>44600000</v>
          </cell>
          <cell r="L111">
            <v>400</v>
          </cell>
          <cell r="N111" t="str">
            <v>სახელმწიფო ბიუჯეტი</v>
          </cell>
          <cell r="O111">
            <v>2703030701</v>
          </cell>
        </row>
        <row r="112">
          <cell r="K112">
            <v>19600000</v>
          </cell>
          <cell r="L112">
            <v>1550</v>
          </cell>
          <cell r="N112" t="str">
            <v>სახელმწიფო ბიუჯეტი</v>
          </cell>
          <cell r="O112">
            <v>2703030701</v>
          </cell>
        </row>
        <row r="113">
          <cell r="K113">
            <v>32500000</v>
          </cell>
          <cell r="L113">
            <v>2540</v>
          </cell>
          <cell r="N113" t="str">
            <v>სახელმწიფო ბიუჯეტი</v>
          </cell>
          <cell r="O113">
            <v>270106</v>
          </cell>
        </row>
        <row r="114">
          <cell r="K114">
            <v>79500000</v>
          </cell>
          <cell r="L114">
            <v>75</v>
          </cell>
          <cell r="N114" t="str">
            <v>სახელმწიფო ბიუჯეტი</v>
          </cell>
          <cell r="O114">
            <v>270106</v>
          </cell>
        </row>
        <row r="115">
          <cell r="K115">
            <v>30200000</v>
          </cell>
          <cell r="L115">
            <v>200</v>
          </cell>
          <cell r="N115" t="str">
            <v>სახელმწიფო ბიუჯეტი</v>
          </cell>
          <cell r="O115">
            <v>270106</v>
          </cell>
        </row>
        <row r="116">
          <cell r="K116">
            <v>90500000</v>
          </cell>
          <cell r="L116">
            <v>187.5</v>
          </cell>
          <cell r="N116" t="str">
            <v>საკუთარი შემოსავლები</v>
          </cell>
          <cell r="O116">
            <v>2703030701</v>
          </cell>
        </row>
        <row r="117">
          <cell r="K117">
            <v>33700000</v>
          </cell>
          <cell r="L117">
            <v>3840</v>
          </cell>
          <cell r="N117" t="str">
            <v>სახელმწიფო ბიუჯეტი</v>
          </cell>
          <cell r="O117">
            <v>270106</v>
          </cell>
        </row>
        <row r="118">
          <cell r="K118">
            <v>98300000</v>
          </cell>
          <cell r="L118">
            <v>600</v>
          </cell>
          <cell r="N118" t="str">
            <v>საკუთარი შემოსავლები</v>
          </cell>
          <cell r="O118">
            <v>270106</v>
          </cell>
        </row>
        <row r="119">
          <cell r="K119">
            <v>32500000</v>
          </cell>
          <cell r="L119">
            <v>200</v>
          </cell>
          <cell r="N119" t="str">
            <v>სახელმწიფო ბიუჯეტი</v>
          </cell>
          <cell r="O119">
            <v>270106</v>
          </cell>
        </row>
        <row r="120">
          <cell r="K120">
            <v>50700000</v>
          </cell>
          <cell r="L120">
            <v>1109.69</v>
          </cell>
          <cell r="N120" t="str">
            <v>საკუთარი შემოსავლები</v>
          </cell>
          <cell r="O120">
            <v>270106</v>
          </cell>
        </row>
        <row r="121">
          <cell r="K121" t="str">
            <v>09100000</v>
          </cell>
          <cell r="L121">
            <v>3495</v>
          </cell>
          <cell r="N121" t="str">
            <v>სახელმწიფო ბიუჯეტი</v>
          </cell>
          <cell r="O121">
            <v>2703030701</v>
          </cell>
        </row>
        <row r="122">
          <cell r="K122" t="str">
            <v>09100000</v>
          </cell>
          <cell r="L122">
            <v>31360</v>
          </cell>
          <cell r="N122" t="str">
            <v>სახელმწიფო ბიუჯეტი</v>
          </cell>
          <cell r="O122">
            <v>2703030701</v>
          </cell>
        </row>
        <row r="123">
          <cell r="K123" t="str">
            <v>09100000</v>
          </cell>
          <cell r="L123">
            <v>9090</v>
          </cell>
          <cell r="N123" t="str">
            <v>სახელმწიფო ბიუჯეტი</v>
          </cell>
          <cell r="O123">
            <v>2703030701</v>
          </cell>
        </row>
        <row r="124">
          <cell r="K124" t="str">
            <v>09100000</v>
          </cell>
          <cell r="L124">
            <v>42580</v>
          </cell>
          <cell r="N124" t="str">
            <v>სახელმწიფო ბიუჯეტი</v>
          </cell>
          <cell r="O124">
            <v>2703030701</v>
          </cell>
        </row>
        <row r="125">
          <cell r="K125">
            <v>33100000</v>
          </cell>
          <cell r="L125">
            <v>22500</v>
          </cell>
          <cell r="N125" t="str">
            <v>სახელმწიფო ბიუჯეტი</v>
          </cell>
          <cell r="O125">
            <v>2703030701</v>
          </cell>
        </row>
        <row r="126">
          <cell r="K126">
            <v>72400000</v>
          </cell>
          <cell r="L126">
            <v>16050</v>
          </cell>
          <cell r="N126" t="str">
            <v>სახელმწიფო ბიუჯეტი</v>
          </cell>
          <cell r="O126">
            <v>2703030701</v>
          </cell>
        </row>
        <row r="127">
          <cell r="K127">
            <v>50100000</v>
          </cell>
          <cell r="L127">
            <v>180</v>
          </cell>
          <cell r="N127" t="str">
            <v>სახელმწიფო ბიუჯეტი</v>
          </cell>
          <cell r="O127">
            <v>2703030701</v>
          </cell>
        </row>
        <row r="128">
          <cell r="K128">
            <v>50100000</v>
          </cell>
          <cell r="L128">
            <v>60</v>
          </cell>
          <cell r="N128" t="str">
            <v>სახელმწიფო ბიუჯეტი</v>
          </cell>
          <cell r="O128">
            <v>2703030701</v>
          </cell>
        </row>
        <row r="129">
          <cell r="K129">
            <v>50100000</v>
          </cell>
          <cell r="L129">
            <v>60</v>
          </cell>
          <cell r="N129" t="str">
            <v>სახელმწიფო ბიუჯეტი</v>
          </cell>
          <cell r="O129">
            <v>2703030701</v>
          </cell>
        </row>
        <row r="130">
          <cell r="K130">
            <v>50100000</v>
          </cell>
          <cell r="L130">
            <v>60</v>
          </cell>
          <cell r="N130" t="str">
            <v>სახელმწიფო ბიუჯეტი</v>
          </cell>
          <cell r="O130">
            <v>2703030701</v>
          </cell>
        </row>
        <row r="131">
          <cell r="K131">
            <v>15900000</v>
          </cell>
          <cell r="L131">
            <v>91.8</v>
          </cell>
          <cell r="N131" t="str">
            <v>სახელმწიფო ბიუჯეტი</v>
          </cell>
          <cell r="O131">
            <v>270106</v>
          </cell>
        </row>
        <row r="132">
          <cell r="K132">
            <v>15800000</v>
          </cell>
          <cell r="L132">
            <v>84</v>
          </cell>
          <cell r="N132" t="str">
            <v>სახელმწიფო ბიუჯეტი</v>
          </cell>
          <cell r="O132">
            <v>270106</v>
          </cell>
        </row>
        <row r="133">
          <cell r="K133">
            <v>50100000</v>
          </cell>
          <cell r="L133">
            <v>5000</v>
          </cell>
          <cell r="N133" t="str">
            <v>სახელმწიფო ბიუჯეტი</v>
          </cell>
          <cell r="O133">
            <v>2703030701</v>
          </cell>
        </row>
        <row r="134">
          <cell r="K134">
            <v>50500000</v>
          </cell>
          <cell r="L134">
            <v>75</v>
          </cell>
          <cell r="N134" t="str">
            <v>საკუთარი შემოსავლები</v>
          </cell>
          <cell r="O134">
            <v>2703030701</v>
          </cell>
        </row>
        <row r="135">
          <cell r="K135">
            <v>90400000</v>
          </cell>
          <cell r="L135">
            <v>2000</v>
          </cell>
          <cell r="N135" t="str">
            <v>საკუთარი შემოსავლები</v>
          </cell>
          <cell r="O135">
            <v>2703030701</v>
          </cell>
        </row>
        <row r="136">
          <cell r="K136">
            <v>33600000</v>
          </cell>
          <cell r="L136">
            <v>44014.23</v>
          </cell>
          <cell r="N136" t="str">
            <v>სახელმწიფო ბიუჯეტი</v>
          </cell>
          <cell r="O136">
            <v>2703030701</v>
          </cell>
        </row>
        <row r="137">
          <cell r="K137">
            <v>33100000</v>
          </cell>
          <cell r="L137">
            <v>3969</v>
          </cell>
          <cell r="N137" t="str">
            <v>სახელმწიფო ბიუჯეტი</v>
          </cell>
          <cell r="O137">
            <v>2703030701</v>
          </cell>
        </row>
        <row r="138">
          <cell r="K138">
            <v>90900000</v>
          </cell>
          <cell r="L138">
            <v>26500</v>
          </cell>
          <cell r="N138" t="str">
            <v>სახელმწიფო ბიუჯეტი</v>
          </cell>
          <cell r="O138">
            <v>2703030701</v>
          </cell>
        </row>
        <row r="139">
          <cell r="K139">
            <v>50100000</v>
          </cell>
          <cell r="L139">
            <v>50000</v>
          </cell>
          <cell r="N139" t="str">
            <v>სახელმწიფო ბიუჯეტი</v>
          </cell>
          <cell r="O139">
            <v>2703030701</v>
          </cell>
        </row>
        <row r="140">
          <cell r="K140">
            <v>34300000</v>
          </cell>
          <cell r="L140">
            <v>20800</v>
          </cell>
          <cell r="N140" t="str">
            <v>სახელმწიფო ბიუჯეტი</v>
          </cell>
          <cell r="O140">
            <v>2703030701</v>
          </cell>
        </row>
        <row r="141">
          <cell r="K141">
            <v>34300000</v>
          </cell>
          <cell r="L141">
            <v>53680</v>
          </cell>
          <cell r="N141" t="str">
            <v>სახელმწიფო ბიუჯეტი</v>
          </cell>
          <cell r="O141">
            <v>2703030701</v>
          </cell>
        </row>
        <row r="142">
          <cell r="K142" t="str">
            <v>09100000</v>
          </cell>
          <cell r="L142">
            <v>27480</v>
          </cell>
          <cell r="N142" t="str">
            <v>სახელმწიფო ბიუჯეტი</v>
          </cell>
          <cell r="O142">
            <v>2703030701</v>
          </cell>
        </row>
        <row r="143">
          <cell r="K143" t="str">
            <v>09100000</v>
          </cell>
          <cell r="L143">
            <v>12440</v>
          </cell>
          <cell r="N143" t="str">
            <v>სახელმწიფო ბიუჯეტი</v>
          </cell>
          <cell r="O143">
            <v>2703030701</v>
          </cell>
        </row>
        <row r="144">
          <cell r="K144" t="str">
            <v>09100000</v>
          </cell>
          <cell r="L144">
            <v>55145</v>
          </cell>
          <cell r="N144" t="str">
            <v>სახელმწიფო ბიუჯეტი</v>
          </cell>
          <cell r="O144">
            <v>2703030701</v>
          </cell>
        </row>
        <row r="145">
          <cell r="K145" t="str">
            <v>09100000</v>
          </cell>
          <cell r="L145">
            <v>5200</v>
          </cell>
          <cell r="N145" t="str">
            <v>სახელმწიფო ბიუჯეტი</v>
          </cell>
          <cell r="O145">
            <v>2703030701</v>
          </cell>
        </row>
        <row r="146">
          <cell r="K146" t="str">
            <v>09100000</v>
          </cell>
          <cell r="L146">
            <v>4625</v>
          </cell>
          <cell r="N146" t="str">
            <v>სახელმწიფო ბიუჯეტი</v>
          </cell>
          <cell r="O146">
            <v>2703030701</v>
          </cell>
        </row>
        <row r="147">
          <cell r="K147">
            <v>72400000</v>
          </cell>
          <cell r="L147">
            <v>730</v>
          </cell>
          <cell r="N147" t="str">
            <v>სახელმწიფო ბიუჯეტი</v>
          </cell>
          <cell r="O147">
            <v>2703030701</v>
          </cell>
        </row>
        <row r="148">
          <cell r="K148">
            <v>80500000</v>
          </cell>
          <cell r="L148">
            <v>2085</v>
          </cell>
          <cell r="N148" t="str">
            <v>სახელმწიფო ბიუჯეტი</v>
          </cell>
          <cell r="O148">
            <v>270106</v>
          </cell>
        </row>
        <row r="149">
          <cell r="K149">
            <v>64100000</v>
          </cell>
          <cell r="L149">
            <v>4990</v>
          </cell>
          <cell r="N149" t="str">
            <v>სახელმწიფო ბიუჯეტი</v>
          </cell>
          <cell r="O149">
            <v>270106</v>
          </cell>
        </row>
        <row r="150">
          <cell r="K150">
            <v>34300000</v>
          </cell>
          <cell r="L150">
            <v>2400</v>
          </cell>
          <cell r="N150" t="str">
            <v>სახელმწიფო ბიუჯეტი</v>
          </cell>
          <cell r="O150">
            <v>2703030701</v>
          </cell>
        </row>
        <row r="151">
          <cell r="K151">
            <v>50100000</v>
          </cell>
          <cell r="L151">
            <v>15000</v>
          </cell>
          <cell r="N151" t="str">
            <v>სახელმწიფო ბიუჯეტი</v>
          </cell>
          <cell r="O151">
            <v>2703030701</v>
          </cell>
        </row>
        <row r="152">
          <cell r="K152">
            <v>31400000</v>
          </cell>
          <cell r="L152">
            <v>4000</v>
          </cell>
          <cell r="N152" t="str">
            <v>სახელმწიფო ბიუჯეტი</v>
          </cell>
          <cell r="O152">
            <v>2703030701</v>
          </cell>
        </row>
        <row r="153">
          <cell r="K153">
            <v>71600000</v>
          </cell>
          <cell r="L153">
            <v>650</v>
          </cell>
          <cell r="N153" t="str">
            <v>სახელმწიფო ბიუჯეტი</v>
          </cell>
          <cell r="O153">
            <v>2703030701</v>
          </cell>
        </row>
        <row r="154">
          <cell r="K154">
            <v>39200000</v>
          </cell>
          <cell r="L154">
            <v>382.5</v>
          </cell>
          <cell r="N154" t="str">
            <v>საკუთარი შემოსავლები</v>
          </cell>
          <cell r="O154">
            <v>270106</v>
          </cell>
        </row>
        <row r="155">
          <cell r="K155">
            <v>90900000</v>
          </cell>
          <cell r="L155">
            <v>26417.82</v>
          </cell>
          <cell r="N155" t="str">
            <v>სახელმწიფო ბიუჯეტი</v>
          </cell>
          <cell r="O155">
            <v>2703030701</v>
          </cell>
        </row>
        <row r="156">
          <cell r="K156">
            <v>33600000</v>
          </cell>
          <cell r="L156">
            <v>671.85</v>
          </cell>
          <cell r="N156" t="str">
            <v>სახელმწიფო ბიუჯეტი</v>
          </cell>
          <cell r="O156">
            <v>2703030701</v>
          </cell>
        </row>
        <row r="157">
          <cell r="K157">
            <v>72400000</v>
          </cell>
          <cell r="L157">
            <v>8177.75</v>
          </cell>
          <cell r="N157" t="str">
            <v>სახელმწიფო ბიუჯეტი</v>
          </cell>
          <cell r="O157">
            <v>270106</v>
          </cell>
        </row>
        <row r="158">
          <cell r="K158">
            <v>44100000</v>
          </cell>
          <cell r="L158">
            <v>1200</v>
          </cell>
          <cell r="N158" t="str">
            <v>სახელმწიფო ბიუჯეტი</v>
          </cell>
          <cell r="O158">
            <v>270106</v>
          </cell>
        </row>
        <row r="159">
          <cell r="K159">
            <v>75100000</v>
          </cell>
          <cell r="L159">
            <v>4</v>
          </cell>
          <cell r="N159" t="str">
            <v>სახელმწიფო ბიუჯეტი</v>
          </cell>
          <cell r="O159">
            <v>2703030701</v>
          </cell>
        </row>
        <row r="160">
          <cell r="K160">
            <v>63100000</v>
          </cell>
          <cell r="L160">
            <v>241</v>
          </cell>
          <cell r="N160" t="str">
            <v>სახელმწიფო ბიუჯეტი</v>
          </cell>
          <cell r="O160">
            <v>270106</v>
          </cell>
        </row>
        <row r="161">
          <cell r="K161">
            <v>71600000</v>
          </cell>
          <cell r="L161">
            <v>585</v>
          </cell>
          <cell r="N161" t="str">
            <v>სახელმწიფო ბიუჯეტი</v>
          </cell>
          <cell r="O161">
            <v>2703030701</v>
          </cell>
        </row>
        <row r="162">
          <cell r="K162">
            <v>22400000</v>
          </cell>
          <cell r="L162">
            <v>250</v>
          </cell>
          <cell r="N162" t="str">
            <v>სახელმწიფო ბიუჯეტი</v>
          </cell>
          <cell r="O162">
            <v>270106</v>
          </cell>
        </row>
        <row r="163">
          <cell r="K163" t="str">
            <v>09100000</v>
          </cell>
          <cell r="L163">
            <v>15520</v>
          </cell>
          <cell r="N163" t="str">
            <v>სახელმწიფო ბიუჯეტი</v>
          </cell>
          <cell r="O163">
            <v>2703030701</v>
          </cell>
        </row>
        <row r="164">
          <cell r="K164" t="str">
            <v>09100000</v>
          </cell>
          <cell r="L164">
            <v>33440</v>
          </cell>
          <cell r="N164" t="str">
            <v>სახელმწიფო ბიუჯეტი</v>
          </cell>
          <cell r="O164">
            <v>2703030701</v>
          </cell>
        </row>
        <row r="165">
          <cell r="K165" t="str">
            <v>09100000</v>
          </cell>
          <cell r="L165">
            <v>39560</v>
          </cell>
          <cell r="N165" t="str">
            <v>სახელმწიფო ბიუჯეტი</v>
          </cell>
          <cell r="O165">
            <v>2703030701</v>
          </cell>
        </row>
        <row r="166">
          <cell r="K166" t="str">
            <v>09100000</v>
          </cell>
          <cell r="L166">
            <v>3860</v>
          </cell>
          <cell r="N166" t="str">
            <v>სახელმწიფო ბიუჯეტი</v>
          </cell>
          <cell r="O166">
            <v>2703030701</v>
          </cell>
        </row>
        <row r="167">
          <cell r="K167" t="str">
            <v>09100000</v>
          </cell>
          <cell r="L167">
            <v>3180</v>
          </cell>
          <cell r="N167" t="str">
            <v>სახელმწიფო ბიუჯეტი</v>
          </cell>
          <cell r="O167">
            <v>2703030701</v>
          </cell>
        </row>
        <row r="168">
          <cell r="K168">
            <v>90400000</v>
          </cell>
          <cell r="L168">
            <v>300</v>
          </cell>
          <cell r="N168" t="str">
            <v>სახელმწიფო ბიუჯეტი</v>
          </cell>
          <cell r="O168">
            <v>2703030701</v>
          </cell>
        </row>
        <row r="169">
          <cell r="K169">
            <v>30200000</v>
          </cell>
          <cell r="L169">
            <v>4552</v>
          </cell>
          <cell r="N169" t="str">
            <v>საკუთარი შემოსავლები</v>
          </cell>
          <cell r="O169">
            <v>270106</v>
          </cell>
        </row>
        <row r="170">
          <cell r="K170">
            <v>33600000</v>
          </cell>
          <cell r="L170">
            <v>180</v>
          </cell>
          <cell r="N170" t="str">
            <v>საკუთარი შემოსავლები</v>
          </cell>
          <cell r="O170">
            <v>2703030701</v>
          </cell>
        </row>
        <row r="171">
          <cell r="K171">
            <v>75100000</v>
          </cell>
          <cell r="L171">
            <v>7.2</v>
          </cell>
          <cell r="N171" t="str">
            <v>სახელმწიფო ბიუჯეტი</v>
          </cell>
          <cell r="O171">
            <v>2703030701</v>
          </cell>
        </row>
        <row r="172">
          <cell r="K172">
            <v>33600000</v>
          </cell>
          <cell r="L172">
            <v>886.5</v>
          </cell>
          <cell r="N172" t="str">
            <v>საკუთარი შემოსავლები</v>
          </cell>
          <cell r="O172">
            <v>2703030701</v>
          </cell>
        </row>
        <row r="173">
          <cell r="K173">
            <v>35100000</v>
          </cell>
          <cell r="L173">
            <v>400</v>
          </cell>
          <cell r="N173" t="str">
            <v>საკუთარი შემოსავლები</v>
          </cell>
          <cell r="O173">
            <v>2703030701</v>
          </cell>
        </row>
        <row r="174">
          <cell r="K174">
            <v>42100000</v>
          </cell>
          <cell r="L174">
            <v>153</v>
          </cell>
          <cell r="N174" t="str">
            <v>საკუთარი შემოსავლები</v>
          </cell>
          <cell r="O174">
            <v>2703030701</v>
          </cell>
        </row>
        <row r="175">
          <cell r="K175">
            <v>44600000</v>
          </cell>
          <cell r="L175">
            <v>650</v>
          </cell>
          <cell r="N175" t="str">
            <v>სახელმწიფო ბიუჯეტი</v>
          </cell>
          <cell r="O175">
            <v>2703030701</v>
          </cell>
        </row>
        <row r="176">
          <cell r="K176">
            <v>71300000</v>
          </cell>
          <cell r="L176">
            <v>892.86</v>
          </cell>
          <cell r="N176" t="str">
            <v>სახელმწიფო ბიუჯეტი</v>
          </cell>
          <cell r="O176">
            <v>2703030701</v>
          </cell>
        </row>
        <row r="177">
          <cell r="K177">
            <v>31700000</v>
          </cell>
          <cell r="L177">
            <v>875</v>
          </cell>
          <cell r="N177" t="str">
            <v>სახელმწიფო ბიუჯეტი</v>
          </cell>
          <cell r="O177">
            <v>2703030701</v>
          </cell>
        </row>
        <row r="178">
          <cell r="K178">
            <v>31100000</v>
          </cell>
          <cell r="L178">
            <v>150</v>
          </cell>
          <cell r="N178" t="str">
            <v>სახელმწიფო ბიუჯეტი</v>
          </cell>
          <cell r="O178">
            <v>270106</v>
          </cell>
        </row>
        <row r="179">
          <cell r="K179">
            <v>33600000</v>
          </cell>
          <cell r="L179">
            <v>2352</v>
          </cell>
          <cell r="N179" t="str">
            <v>სახელმწიფო ბიუჯეტი</v>
          </cell>
          <cell r="O179">
            <v>2703030701</v>
          </cell>
        </row>
        <row r="180">
          <cell r="K180">
            <v>65300000</v>
          </cell>
          <cell r="L180">
            <v>638</v>
          </cell>
          <cell r="N180" t="str">
            <v>სახელმწიფო ბიუჯეტი</v>
          </cell>
          <cell r="O180">
            <v>270106</v>
          </cell>
        </row>
        <row r="181">
          <cell r="K181">
            <v>64200000</v>
          </cell>
          <cell r="L181">
            <v>35000</v>
          </cell>
          <cell r="N181" t="str">
            <v>სახელმწიფო ბიუჯეტი</v>
          </cell>
          <cell r="O181">
            <v>270106</v>
          </cell>
        </row>
        <row r="182">
          <cell r="K182">
            <v>22300000</v>
          </cell>
          <cell r="L182">
            <v>464.53</v>
          </cell>
          <cell r="N182" t="str">
            <v>სახელმწიფო ბიუჯეტი</v>
          </cell>
          <cell r="O182">
            <v>270106</v>
          </cell>
        </row>
        <row r="183">
          <cell r="K183">
            <v>19600000</v>
          </cell>
          <cell r="L183">
            <v>4990</v>
          </cell>
          <cell r="N183" t="str">
            <v>საკუთარი შემოსავლები</v>
          </cell>
          <cell r="O183">
            <v>2703030701</v>
          </cell>
        </row>
        <row r="184">
          <cell r="K184">
            <v>19600000</v>
          </cell>
          <cell r="L184">
            <v>3439</v>
          </cell>
          <cell r="N184" t="str">
            <v>სახელმწიფო ბიუჯეტი</v>
          </cell>
          <cell r="O184">
            <v>2703030701</v>
          </cell>
        </row>
        <row r="185">
          <cell r="K185">
            <v>18400000</v>
          </cell>
          <cell r="L185">
            <v>1080</v>
          </cell>
          <cell r="N185" t="str">
            <v>სახელმწიფო ბიუჯეტი</v>
          </cell>
          <cell r="O185">
            <v>2703030701</v>
          </cell>
        </row>
        <row r="186">
          <cell r="K186">
            <v>71600000</v>
          </cell>
          <cell r="L186">
            <v>30</v>
          </cell>
          <cell r="N186" t="str">
            <v>სახელმწიფო ბიუჯეტი</v>
          </cell>
          <cell r="O186">
            <v>2703030701</v>
          </cell>
        </row>
        <row r="187">
          <cell r="K187">
            <v>39500000</v>
          </cell>
          <cell r="L187">
            <v>273</v>
          </cell>
          <cell r="N187" t="str">
            <v>საკუთარი შემოსავლები</v>
          </cell>
          <cell r="O187">
            <v>270106</v>
          </cell>
        </row>
        <row r="188">
          <cell r="K188">
            <v>33600000</v>
          </cell>
          <cell r="L188">
            <v>611.1</v>
          </cell>
          <cell r="N188" t="str">
            <v>სახელმწიფო ბიუჯეტი</v>
          </cell>
          <cell r="O188">
            <v>2703030701</v>
          </cell>
        </row>
        <row r="189">
          <cell r="K189">
            <v>33100000</v>
          </cell>
          <cell r="L189">
            <v>660</v>
          </cell>
          <cell r="N189" t="str">
            <v>სახელმწიფო ბიუჯეტი</v>
          </cell>
          <cell r="O189">
            <v>2703030701</v>
          </cell>
        </row>
        <row r="190">
          <cell r="K190">
            <v>22400000</v>
          </cell>
          <cell r="L190">
            <v>150</v>
          </cell>
          <cell r="N190" t="str">
            <v>სახელმწიფო ბიუჯეტი</v>
          </cell>
          <cell r="O190">
            <v>270106</v>
          </cell>
        </row>
        <row r="191">
          <cell r="K191">
            <v>44600000</v>
          </cell>
          <cell r="L191">
            <v>250</v>
          </cell>
          <cell r="N191" t="str">
            <v>სახელმწიფო ბიუჯეტი</v>
          </cell>
          <cell r="O191">
            <v>2703030701</v>
          </cell>
        </row>
        <row r="192">
          <cell r="K192">
            <v>50700000</v>
          </cell>
          <cell r="L192">
            <v>500</v>
          </cell>
          <cell r="N192" t="str">
            <v>საკუთარი შემოსავლები</v>
          </cell>
          <cell r="O192">
            <v>270106</v>
          </cell>
        </row>
        <row r="193">
          <cell r="K193">
            <v>63100000</v>
          </cell>
          <cell r="L193">
            <v>680</v>
          </cell>
          <cell r="N193" t="str">
            <v>სახელმწიფო ბიუჯეტი</v>
          </cell>
          <cell r="O193">
            <v>270106</v>
          </cell>
        </row>
        <row r="194">
          <cell r="K194">
            <v>75100000</v>
          </cell>
          <cell r="L194">
            <v>4</v>
          </cell>
          <cell r="N194" t="str">
            <v>სახელმწიფო ბიუჯეტი</v>
          </cell>
          <cell r="O194">
            <v>2703030701</v>
          </cell>
        </row>
        <row r="195">
          <cell r="K195">
            <v>44100000</v>
          </cell>
          <cell r="L195">
            <v>1687.1</v>
          </cell>
          <cell r="N195" t="str">
            <v>საკუთარი შემოსავლები</v>
          </cell>
          <cell r="O195">
            <v>270106</v>
          </cell>
        </row>
        <row r="196">
          <cell r="K196">
            <v>39200000</v>
          </cell>
          <cell r="L196">
            <v>23</v>
          </cell>
          <cell r="N196" t="str">
            <v>საკუთარი შემოსავლები</v>
          </cell>
          <cell r="O196">
            <v>270106</v>
          </cell>
        </row>
        <row r="197">
          <cell r="K197">
            <v>14500000</v>
          </cell>
          <cell r="L197">
            <v>7.5</v>
          </cell>
          <cell r="N197" t="str">
            <v>საკუთარი შემოსავლები</v>
          </cell>
          <cell r="O197">
            <v>270106</v>
          </cell>
        </row>
        <row r="198">
          <cell r="K198">
            <v>33600000</v>
          </cell>
          <cell r="L198">
            <v>1560</v>
          </cell>
          <cell r="N198" t="str">
            <v>სახელმწიფო ბიუჯეტი</v>
          </cell>
          <cell r="O198">
            <v>2703030701</v>
          </cell>
        </row>
        <row r="199">
          <cell r="K199">
            <v>33600000</v>
          </cell>
          <cell r="L199">
            <v>893.1</v>
          </cell>
          <cell r="N199" t="str">
            <v>საკუთარი შემოსავლები</v>
          </cell>
          <cell r="O199">
            <v>2703030701</v>
          </cell>
        </row>
        <row r="200">
          <cell r="K200">
            <v>45400000</v>
          </cell>
          <cell r="L200">
            <v>2780.62</v>
          </cell>
          <cell r="N200" t="str">
            <v>სახელმწიფო ბიუჯეტი</v>
          </cell>
          <cell r="O200">
            <v>270106</v>
          </cell>
        </row>
        <row r="201">
          <cell r="K201">
            <v>72400000</v>
          </cell>
          <cell r="L201">
            <v>1600</v>
          </cell>
          <cell r="N201" t="str">
            <v>სახელმწიფო ბიუჯეტი</v>
          </cell>
          <cell r="O201">
            <v>2703030701</v>
          </cell>
        </row>
        <row r="202">
          <cell r="K202">
            <v>44100000</v>
          </cell>
          <cell r="L202">
            <v>529.70000000000005</v>
          </cell>
          <cell r="N202" t="str">
            <v>საკუთარი შემოსავლები</v>
          </cell>
          <cell r="O202">
            <v>270106</v>
          </cell>
        </row>
        <row r="203">
          <cell r="K203">
            <v>24900000</v>
          </cell>
          <cell r="L203">
            <v>26</v>
          </cell>
          <cell r="N203" t="str">
            <v>სახელმწიფო ბიუჯეტი</v>
          </cell>
          <cell r="O203">
            <v>270106</v>
          </cell>
        </row>
        <row r="204">
          <cell r="K204">
            <v>35800000</v>
          </cell>
          <cell r="L204">
            <v>4500</v>
          </cell>
          <cell r="N204" t="str">
            <v>სახელმწიფო ბიუჯეტი</v>
          </cell>
          <cell r="O204">
            <v>2703030701</v>
          </cell>
        </row>
        <row r="205">
          <cell r="K205">
            <v>45400000</v>
          </cell>
          <cell r="L205">
            <v>1306.1300000000001</v>
          </cell>
          <cell r="N205" t="str">
            <v>სახელმწიფო ბიუჯეტი</v>
          </cell>
          <cell r="O205">
            <v>270106</v>
          </cell>
        </row>
        <row r="206">
          <cell r="K206">
            <v>50100000</v>
          </cell>
          <cell r="L206">
            <v>10000</v>
          </cell>
          <cell r="N206" t="str">
            <v>სახელმწიფო ბიუჯეტი</v>
          </cell>
          <cell r="O206">
            <v>2703030701</v>
          </cell>
        </row>
        <row r="207">
          <cell r="K207">
            <v>79500000</v>
          </cell>
          <cell r="L207">
            <v>182</v>
          </cell>
          <cell r="N207" t="str">
            <v>სახელმწიფო ბიუჯეტი</v>
          </cell>
          <cell r="O207">
            <v>270106</v>
          </cell>
        </row>
        <row r="208">
          <cell r="K208">
            <v>63100000</v>
          </cell>
          <cell r="L208">
            <v>1400</v>
          </cell>
          <cell r="N208" t="str">
            <v>სახელმწიფო ბიუჯეტი</v>
          </cell>
          <cell r="O208">
            <v>270106</v>
          </cell>
        </row>
        <row r="209">
          <cell r="K209">
            <v>50100000</v>
          </cell>
          <cell r="L209">
            <v>100000</v>
          </cell>
          <cell r="N209" t="str">
            <v>სახელმწიფო ბიუჯეტი</v>
          </cell>
          <cell r="O209">
            <v>2703030701</v>
          </cell>
        </row>
        <row r="210">
          <cell r="K210">
            <v>50100000</v>
          </cell>
          <cell r="L210">
            <v>80000</v>
          </cell>
          <cell r="N210" t="str">
            <v>სახელმწიფო ბიუჯეტი</v>
          </cell>
          <cell r="O210">
            <v>2703030701</v>
          </cell>
        </row>
        <row r="211">
          <cell r="K211" t="str">
            <v>09100000</v>
          </cell>
          <cell r="L211">
            <v>16730</v>
          </cell>
          <cell r="N211" t="str">
            <v>სახელმწიფო ბიუჯეტი</v>
          </cell>
          <cell r="O211">
            <v>2703030701</v>
          </cell>
        </row>
        <row r="212">
          <cell r="K212" t="str">
            <v>09100000</v>
          </cell>
          <cell r="L212">
            <v>14420</v>
          </cell>
          <cell r="N212" t="str">
            <v>სახელმწიფო ბიუჯეტი</v>
          </cell>
          <cell r="O212">
            <v>2703030701</v>
          </cell>
        </row>
        <row r="213">
          <cell r="K213" t="str">
            <v>09100000</v>
          </cell>
          <cell r="L213">
            <v>28800</v>
          </cell>
          <cell r="N213" t="str">
            <v>სახელმწიფო ბიუჯეტი</v>
          </cell>
          <cell r="O213">
            <v>2703030701</v>
          </cell>
        </row>
        <row r="214">
          <cell r="K214" t="str">
            <v>09100000</v>
          </cell>
          <cell r="L214">
            <v>2505</v>
          </cell>
          <cell r="N214" t="str">
            <v>სახელმწიფო ბიუჯეტი</v>
          </cell>
          <cell r="O214">
            <v>2703030701</v>
          </cell>
        </row>
        <row r="215">
          <cell r="K215">
            <v>33600000</v>
          </cell>
          <cell r="L215">
            <v>7949.16</v>
          </cell>
          <cell r="N215" t="str">
            <v>სახელმწიფო ბიუჯეტი</v>
          </cell>
          <cell r="O215">
            <v>2703030701</v>
          </cell>
        </row>
        <row r="216">
          <cell r="K216">
            <v>90900000</v>
          </cell>
          <cell r="L216">
            <v>19862.400000000001</v>
          </cell>
          <cell r="N216" t="str">
            <v>სახელმწიფო ბიუჯეტი</v>
          </cell>
          <cell r="O216">
            <v>2703030701</v>
          </cell>
        </row>
        <row r="217">
          <cell r="K217">
            <v>39300000</v>
          </cell>
          <cell r="L217">
            <v>4960</v>
          </cell>
          <cell r="N217" t="str">
            <v>სახელმწიფო ბიუჯეტი</v>
          </cell>
          <cell r="O217">
            <v>2703030701</v>
          </cell>
        </row>
        <row r="218">
          <cell r="K218" t="str">
            <v>34300000</v>
          </cell>
          <cell r="L218">
            <v>3088</v>
          </cell>
          <cell r="N218" t="str">
            <v>სახელმწიფო ბიუჯეტი</v>
          </cell>
          <cell r="O218">
            <v>2703030701</v>
          </cell>
        </row>
        <row r="219">
          <cell r="K219">
            <v>50100000</v>
          </cell>
          <cell r="L219">
            <v>5000</v>
          </cell>
          <cell r="N219" t="str">
            <v>სახელმწიფო ბიუჯეტი</v>
          </cell>
          <cell r="O219">
            <v>2703030701</v>
          </cell>
        </row>
        <row r="220">
          <cell r="K220">
            <v>31200000</v>
          </cell>
          <cell r="L220">
            <v>670</v>
          </cell>
          <cell r="N220" t="str">
            <v>სახელმწიფო ბიუჯეტი</v>
          </cell>
          <cell r="O220">
            <v>2703030701</v>
          </cell>
        </row>
        <row r="221">
          <cell r="K221">
            <v>31500000</v>
          </cell>
          <cell r="L221">
            <v>2320</v>
          </cell>
          <cell r="N221" t="str">
            <v>საკუთარი შემოსავლები</v>
          </cell>
          <cell r="O221">
            <v>2703030701</v>
          </cell>
        </row>
        <row r="222">
          <cell r="K222">
            <v>31200000</v>
          </cell>
          <cell r="L222">
            <v>4.2</v>
          </cell>
          <cell r="N222" t="str">
            <v>სახელმწიფო ბიუჯეტი</v>
          </cell>
          <cell r="O222">
            <v>2703030701</v>
          </cell>
        </row>
        <row r="223">
          <cell r="K223">
            <v>42100000</v>
          </cell>
          <cell r="L223">
            <v>222</v>
          </cell>
          <cell r="N223" t="str">
            <v>საკუთარი შემოსავლები</v>
          </cell>
          <cell r="O223">
            <v>2703030701</v>
          </cell>
        </row>
        <row r="224">
          <cell r="K224">
            <v>44400000</v>
          </cell>
          <cell r="L224">
            <v>92.8</v>
          </cell>
          <cell r="N224" t="str">
            <v>სახელმწიფო ბიუჯეტი</v>
          </cell>
          <cell r="O224">
            <v>2703030701</v>
          </cell>
        </row>
        <row r="225">
          <cell r="K225">
            <v>44500000</v>
          </cell>
          <cell r="L225">
            <v>39</v>
          </cell>
          <cell r="N225" t="str">
            <v>სახელმწიფო ბიუჯეტი</v>
          </cell>
          <cell r="O225">
            <v>2703030701</v>
          </cell>
        </row>
        <row r="226">
          <cell r="K226">
            <v>44600000</v>
          </cell>
          <cell r="L226">
            <v>330</v>
          </cell>
          <cell r="N226" t="str">
            <v>სახელმწიფო ბიუჯეტი</v>
          </cell>
          <cell r="O226">
            <v>2703030701</v>
          </cell>
        </row>
        <row r="227">
          <cell r="K227">
            <v>50500000</v>
          </cell>
          <cell r="L227">
            <v>300</v>
          </cell>
          <cell r="N227" t="str">
            <v>საკუთარი შემოსავლები</v>
          </cell>
          <cell r="O227">
            <v>2703030701</v>
          </cell>
        </row>
        <row r="228">
          <cell r="K228">
            <v>44600000</v>
          </cell>
          <cell r="L228">
            <v>600</v>
          </cell>
          <cell r="N228" t="str">
            <v>სახელმწიფო ბიუჯეტი</v>
          </cell>
          <cell r="O228">
            <v>2703030701</v>
          </cell>
        </row>
        <row r="229">
          <cell r="K229">
            <v>44500000</v>
          </cell>
          <cell r="L229">
            <v>30</v>
          </cell>
          <cell r="N229" t="str">
            <v>სახელმწიფო ბიუჯეტი</v>
          </cell>
          <cell r="O229">
            <v>2703030701</v>
          </cell>
        </row>
        <row r="230">
          <cell r="K230">
            <v>44400000</v>
          </cell>
          <cell r="L230">
            <v>57</v>
          </cell>
          <cell r="N230" t="str">
            <v>სახელმწიფო ბიუჯეტი</v>
          </cell>
          <cell r="O230">
            <v>2703030701</v>
          </cell>
        </row>
        <row r="231">
          <cell r="K231">
            <v>33100000</v>
          </cell>
          <cell r="L231">
            <v>7500</v>
          </cell>
          <cell r="N231" t="str">
            <v>სახელმწიფო ბიუჯეტი</v>
          </cell>
          <cell r="O231">
            <v>2703030701</v>
          </cell>
        </row>
        <row r="232">
          <cell r="K232" t="str">
            <v>03400000</v>
          </cell>
          <cell r="L232">
            <v>4350</v>
          </cell>
          <cell r="N232" t="str">
            <v>სახელმწიფო ბიუჯეტი</v>
          </cell>
          <cell r="O232">
            <v>2703030701</v>
          </cell>
        </row>
        <row r="233">
          <cell r="K233">
            <v>15900000</v>
          </cell>
          <cell r="L233">
            <v>1080</v>
          </cell>
          <cell r="N233" t="str">
            <v>სახელმწიფო ბიუჯეტი</v>
          </cell>
          <cell r="O233">
            <v>270106</v>
          </cell>
        </row>
        <row r="234">
          <cell r="K234" t="str">
            <v>03400000</v>
          </cell>
          <cell r="L234">
            <v>1575</v>
          </cell>
          <cell r="N234" t="str">
            <v>სახელმწიფო ბიუჯეტი</v>
          </cell>
          <cell r="O234">
            <v>2703030701</v>
          </cell>
        </row>
        <row r="235">
          <cell r="K235">
            <v>33600000</v>
          </cell>
          <cell r="L235">
            <v>2704.99</v>
          </cell>
          <cell r="N235" t="str">
            <v>სახელმწიფო ბიუჯეტი</v>
          </cell>
          <cell r="O235">
            <v>2703030701</v>
          </cell>
        </row>
        <row r="236">
          <cell r="K236">
            <v>72400000</v>
          </cell>
          <cell r="L236">
            <v>950</v>
          </cell>
          <cell r="N236" t="str">
            <v>სახელმწიფო ბიუჯეტი</v>
          </cell>
          <cell r="O236">
            <v>2703030701</v>
          </cell>
        </row>
        <row r="237">
          <cell r="K237">
            <v>34300000</v>
          </cell>
          <cell r="L237">
            <v>600</v>
          </cell>
          <cell r="N237" t="str">
            <v>სახელმწიფო ბიუჯეტი</v>
          </cell>
          <cell r="O237">
            <v>2703030701</v>
          </cell>
        </row>
        <row r="238">
          <cell r="K238">
            <v>33600000</v>
          </cell>
          <cell r="L238">
            <v>9879.7999999999993</v>
          </cell>
          <cell r="N238" t="str">
            <v>სახელმწიფო ბიუჯეტი</v>
          </cell>
          <cell r="O238">
            <v>2703030701</v>
          </cell>
        </row>
        <row r="239">
          <cell r="K239">
            <v>30100000</v>
          </cell>
          <cell r="L239">
            <v>112</v>
          </cell>
          <cell r="N239" t="str">
            <v>საკუთარი შემოსავლები</v>
          </cell>
          <cell r="O239">
            <v>2703030701</v>
          </cell>
        </row>
        <row r="240">
          <cell r="K240" t="str">
            <v>03400000</v>
          </cell>
          <cell r="L240">
            <v>1320</v>
          </cell>
          <cell r="N240" t="str">
            <v>სახელმწიფო ბიუჯეტი</v>
          </cell>
          <cell r="O240">
            <v>2703030701</v>
          </cell>
        </row>
        <row r="241">
          <cell r="K241">
            <v>50100000</v>
          </cell>
          <cell r="L241">
            <v>60</v>
          </cell>
          <cell r="N241" t="str">
            <v>სახელმწიფო ბიუჯეტი</v>
          </cell>
          <cell r="O241">
            <v>2703030701</v>
          </cell>
        </row>
        <row r="242">
          <cell r="K242">
            <v>33100000</v>
          </cell>
          <cell r="L242">
            <v>45500</v>
          </cell>
          <cell r="N242" t="str">
            <v>სახელმწიფო ბიუჯეტი</v>
          </cell>
          <cell r="O242">
            <v>2703030701</v>
          </cell>
        </row>
        <row r="243">
          <cell r="K243">
            <v>75100000</v>
          </cell>
          <cell r="L243">
            <v>595.6</v>
          </cell>
          <cell r="N243" t="str">
            <v>სახელმწიფო ბიუჯეტი</v>
          </cell>
          <cell r="O243">
            <v>2703030701</v>
          </cell>
        </row>
        <row r="244">
          <cell r="K244">
            <v>75100000</v>
          </cell>
          <cell r="L244">
            <v>4</v>
          </cell>
          <cell r="N244" t="str">
            <v>სახელმწიფო ბიუჯეტი</v>
          </cell>
          <cell r="O244">
            <v>2703030701</v>
          </cell>
        </row>
        <row r="245">
          <cell r="K245">
            <v>33100000</v>
          </cell>
          <cell r="L245">
            <v>1040</v>
          </cell>
          <cell r="N245" t="str">
            <v>სახელმწიფო ბიუჯეტი</v>
          </cell>
          <cell r="O245">
            <v>2703030701</v>
          </cell>
        </row>
        <row r="246">
          <cell r="K246">
            <v>75100000</v>
          </cell>
          <cell r="L246">
            <v>7.2</v>
          </cell>
          <cell r="N246" t="str">
            <v>სახელმწიფო ბიუჯეტი</v>
          </cell>
          <cell r="O246">
            <v>2703030701</v>
          </cell>
        </row>
        <row r="247">
          <cell r="K247" t="str">
            <v>03400000</v>
          </cell>
          <cell r="L247">
            <v>1136</v>
          </cell>
          <cell r="N247" t="str">
            <v>სახელმწიფო ბიუჯეტი</v>
          </cell>
          <cell r="O247">
            <v>2703030701</v>
          </cell>
        </row>
        <row r="248">
          <cell r="K248">
            <v>33100000</v>
          </cell>
          <cell r="L248">
            <v>4500</v>
          </cell>
          <cell r="N248" t="str">
            <v>სახელმწიფო ბიუჯეტი</v>
          </cell>
          <cell r="O248">
            <v>2703030701</v>
          </cell>
        </row>
        <row r="249">
          <cell r="K249">
            <v>33100000</v>
          </cell>
          <cell r="L249">
            <v>1600</v>
          </cell>
          <cell r="N249" t="str">
            <v>სახელმწიფო ბიუჯეტი</v>
          </cell>
          <cell r="O249">
            <v>2703030701</v>
          </cell>
        </row>
        <row r="250">
          <cell r="K250">
            <v>33100000</v>
          </cell>
          <cell r="L250">
            <v>1752</v>
          </cell>
          <cell r="N250" t="str">
            <v>საკუთარი შემოსავლები</v>
          </cell>
          <cell r="O250">
            <v>2703030701</v>
          </cell>
        </row>
        <row r="251">
          <cell r="K251">
            <v>79900000</v>
          </cell>
          <cell r="L251">
            <v>400</v>
          </cell>
          <cell r="N251" t="str">
            <v>სახელმწიფო ბიუჯეტი</v>
          </cell>
          <cell r="O251">
            <v>270106</v>
          </cell>
        </row>
        <row r="252">
          <cell r="K252">
            <v>33100000</v>
          </cell>
          <cell r="L252">
            <v>27500</v>
          </cell>
          <cell r="N252" t="str">
            <v>საკუთარი შემოსავლები</v>
          </cell>
          <cell r="O252">
            <v>2703030701</v>
          </cell>
        </row>
        <row r="253">
          <cell r="K253">
            <v>32200000</v>
          </cell>
          <cell r="L253">
            <v>975</v>
          </cell>
          <cell r="N253" t="str">
            <v>საკუთარი შემოსავლები</v>
          </cell>
          <cell r="O253">
            <v>2703030701</v>
          </cell>
        </row>
        <row r="254">
          <cell r="K254">
            <v>35100000</v>
          </cell>
          <cell r="L254">
            <v>380</v>
          </cell>
          <cell r="N254" t="str">
            <v>საკუთარი შემოსავლები</v>
          </cell>
          <cell r="O254">
            <v>2703030701</v>
          </cell>
        </row>
        <row r="255">
          <cell r="K255">
            <v>39800000</v>
          </cell>
          <cell r="L255">
            <v>2602.4</v>
          </cell>
          <cell r="N255" t="str">
            <v>საკუთარი შემოსავლები</v>
          </cell>
          <cell r="O255">
            <v>270106</v>
          </cell>
        </row>
        <row r="256">
          <cell r="K256">
            <v>44500000</v>
          </cell>
          <cell r="L256">
            <v>24</v>
          </cell>
          <cell r="N256" t="str">
            <v>სახელმწიფო ბიუჯეტი</v>
          </cell>
          <cell r="O256">
            <v>2703030701</v>
          </cell>
        </row>
        <row r="257">
          <cell r="K257">
            <v>33100000</v>
          </cell>
          <cell r="L257">
            <v>53000</v>
          </cell>
          <cell r="N257" t="str">
            <v>სახელმწიფო ბიუჯეტი</v>
          </cell>
          <cell r="O257">
            <v>2703030701</v>
          </cell>
        </row>
        <row r="258">
          <cell r="K258">
            <v>33100000</v>
          </cell>
          <cell r="L258">
            <v>59000</v>
          </cell>
          <cell r="N258" t="str">
            <v>სახელმწიფო ბიუჯეტი</v>
          </cell>
          <cell r="O258">
            <v>2703030701</v>
          </cell>
        </row>
        <row r="259">
          <cell r="K259">
            <v>71300000</v>
          </cell>
          <cell r="L259">
            <v>2500</v>
          </cell>
          <cell r="N259" t="str">
            <v>სახელმწიფო ბიუჯეტი</v>
          </cell>
          <cell r="O259">
            <v>2703030701</v>
          </cell>
        </row>
        <row r="260">
          <cell r="K260">
            <v>79500000</v>
          </cell>
          <cell r="L260">
            <v>25</v>
          </cell>
          <cell r="N260" t="str">
            <v>სახელმწიფო ბიუჯეტი</v>
          </cell>
          <cell r="O260">
            <v>270106</v>
          </cell>
        </row>
        <row r="261">
          <cell r="K261">
            <v>79100000</v>
          </cell>
          <cell r="L261">
            <v>8</v>
          </cell>
          <cell r="N261" t="str">
            <v>სახელმწიფო ბიუჯეტი</v>
          </cell>
          <cell r="O261">
            <v>270106</v>
          </cell>
        </row>
        <row r="262">
          <cell r="K262">
            <v>44500000</v>
          </cell>
          <cell r="L262">
            <v>437.5</v>
          </cell>
          <cell r="N262" t="str">
            <v>სახელმწიფო ბიუჯეტი</v>
          </cell>
          <cell r="O262">
            <v>2703030701</v>
          </cell>
        </row>
        <row r="263">
          <cell r="K263">
            <v>42100000</v>
          </cell>
          <cell r="L263">
            <v>500</v>
          </cell>
          <cell r="N263" t="str">
            <v>საკუთარი შემოსავლები</v>
          </cell>
          <cell r="O263">
            <v>2703030701</v>
          </cell>
        </row>
        <row r="264">
          <cell r="K264" t="str">
            <v>09100000</v>
          </cell>
          <cell r="L264">
            <v>6650</v>
          </cell>
          <cell r="N264" t="str">
            <v>სახელმწიფო ბიუჯეტი</v>
          </cell>
          <cell r="O264">
            <v>2703030701</v>
          </cell>
        </row>
        <row r="265">
          <cell r="K265" t="str">
            <v>09100000</v>
          </cell>
          <cell r="L265">
            <v>40200</v>
          </cell>
          <cell r="N265" t="str">
            <v>სახელმწიფო ბიუჯეტი</v>
          </cell>
          <cell r="O265">
            <v>2703030701</v>
          </cell>
        </row>
        <row r="266">
          <cell r="K266" t="str">
            <v>09100000</v>
          </cell>
          <cell r="L266">
            <v>22356</v>
          </cell>
          <cell r="N266" t="str">
            <v>სახელმწიფო ბიუჯეტი</v>
          </cell>
          <cell r="O266">
            <v>2703030701</v>
          </cell>
        </row>
        <row r="267">
          <cell r="K267" t="str">
            <v>09100000</v>
          </cell>
          <cell r="L267">
            <v>49560</v>
          </cell>
          <cell r="N267" t="str">
            <v>სახელმწიფო ბიუჯეტი</v>
          </cell>
          <cell r="O267">
            <v>2703030701</v>
          </cell>
        </row>
        <row r="268">
          <cell r="K268" t="str">
            <v>09100000</v>
          </cell>
          <cell r="L268">
            <v>3460</v>
          </cell>
          <cell r="N268" t="str">
            <v>სახელმწიფო ბიუჯეტი</v>
          </cell>
          <cell r="O268">
            <v>2703030701</v>
          </cell>
        </row>
        <row r="269">
          <cell r="K269">
            <v>50100000</v>
          </cell>
          <cell r="L269">
            <v>15000</v>
          </cell>
          <cell r="N269" t="str">
            <v>სახელმწიფო ბიუჯეტი</v>
          </cell>
          <cell r="O269">
            <v>2703030701</v>
          </cell>
        </row>
        <row r="270">
          <cell r="K270" t="str">
            <v>32400000</v>
          </cell>
          <cell r="L270">
            <v>90</v>
          </cell>
          <cell r="N270" t="str">
            <v>სახელმწიფო ბიუჯეტი</v>
          </cell>
          <cell r="O270">
            <v>2703030701</v>
          </cell>
        </row>
        <row r="271">
          <cell r="K271">
            <v>34300000</v>
          </cell>
          <cell r="L271">
            <v>250</v>
          </cell>
          <cell r="N271" t="str">
            <v>საკუთარი შემოსავლები</v>
          </cell>
          <cell r="O271">
            <v>2703030701</v>
          </cell>
        </row>
        <row r="272">
          <cell r="K272">
            <v>35100000</v>
          </cell>
          <cell r="L272">
            <v>105</v>
          </cell>
          <cell r="N272" t="str">
            <v>საკუთარი შემოსავლები</v>
          </cell>
          <cell r="O272">
            <v>2703030701</v>
          </cell>
        </row>
        <row r="273">
          <cell r="K273">
            <v>63100000</v>
          </cell>
          <cell r="L273">
            <v>900</v>
          </cell>
          <cell r="N273" t="str">
            <v>სახელმწიფო ბიუჯეტი</v>
          </cell>
          <cell r="O273">
            <v>270106</v>
          </cell>
        </row>
        <row r="274">
          <cell r="K274">
            <v>33600000</v>
          </cell>
          <cell r="L274">
            <v>6577.52</v>
          </cell>
          <cell r="N274" t="str">
            <v>სახელმწიფო ბიუჯეტი</v>
          </cell>
          <cell r="O274">
            <v>2703030701</v>
          </cell>
        </row>
        <row r="275">
          <cell r="K275">
            <v>34900000</v>
          </cell>
          <cell r="L275">
            <v>2660</v>
          </cell>
          <cell r="N275" t="str">
            <v>სახელმწიფო ბიუჯეტი</v>
          </cell>
          <cell r="O275">
            <v>2703030701</v>
          </cell>
        </row>
        <row r="276">
          <cell r="K276">
            <v>33100000</v>
          </cell>
          <cell r="L276">
            <v>1052.1500000000001</v>
          </cell>
          <cell r="N276" t="str">
            <v>სახელმწიფო ბიუჯეტი</v>
          </cell>
          <cell r="O276">
            <v>2703030701</v>
          </cell>
        </row>
        <row r="277">
          <cell r="K277">
            <v>22400000</v>
          </cell>
          <cell r="L277">
            <v>3600</v>
          </cell>
          <cell r="N277" t="str">
            <v>საკუთარი შემოსავლები</v>
          </cell>
          <cell r="O277">
            <v>2703030701</v>
          </cell>
        </row>
        <row r="278">
          <cell r="K278">
            <v>75100000</v>
          </cell>
          <cell r="L278">
            <v>7.2</v>
          </cell>
          <cell r="N278" t="str">
            <v>სახელმწიფო ბიუჯეტი</v>
          </cell>
          <cell r="O278">
            <v>2703030701</v>
          </cell>
        </row>
        <row r="279">
          <cell r="K279">
            <v>50300000</v>
          </cell>
          <cell r="L279">
            <v>50</v>
          </cell>
          <cell r="N279" t="str">
            <v>საკუთარი შემოსავლები</v>
          </cell>
          <cell r="O279">
            <v>2703030701</v>
          </cell>
        </row>
        <row r="280">
          <cell r="K280">
            <v>50100000</v>
          </cell>
          <cell r="L280">
            <v>900</v>
          </cell>
          <cell r="N280" t="str">
            <v>საკუთარი შემოსავლები</v>
          </cell>
          <cell r="O280">
            <v>2703030701</v>
          </cell>
        </row>
        <row r="281">
          <cell r="K281">
            <v>22400000</v>
          </cell>
          <cell r="L281">
            <v>349</v>
          </cell>
          <cell r="N281" t="str">
            <v>სახელმწიფო ბიუჯეტი</v>
          </cell>
          <cell r="O281">
            <v>2703030701</v>
          </cell>
        </row>
        <row r="282">
          <cell r="K282">
            <v>45400000</v>
          </cell>
          <cell r="L282">
            <v>1500</v>
          </cell>
          <cell r="N282" t="str">
            <v>საკუთარი შემოსავლები</v>
          </cell>
          <cell r="O282">
            <v>2703030701</v>
          </cell>
        </row>
        <row r="283">
          <cell r="K283">
            <v>50700000</v>
          </cell>
          <cell r="L283">
            <v>485</v>
          </cell>
          <cell r="N283" t="str">
            <v>საკუთარი შემოსავლები</v>
          </cell>
          <cell r="O283">
            <v>270106</v>
          </cell>
        </row>
        <row r="284">
          <cell r="K284">
            <v>48200000</v>
          </cell>
          <cell r="L284">
            <v>1790</v>
          </cell>
          <cell r="N284" t="str">
            <v>სახელმწიფო ბიუჯეტი</v>
          </cell>
          <cell r="O284">
            <v>270106</v>
          </cell>
        </row>
        <row r="285">
          <cell r="K285">
            <v>50100000</v>
          </cell>
          <cell r="L285">
            <v>50000</v>
          </cell>
          <cell r="N285" t="str">
            <v>სახელმწიფო ბიუჯეტი</v>
          </cell>
          <cell r="O285">
            <v>2703030701</v>
          </cell>
        </row>
        <row r="286">
          <cell r="K286" t="str">
            <v>09100000</v>
          </cell>
          <cell r="L286">
            <v>10818</v>
          </cell>
          <cell r="N286" t="str">
            <v>სახელმწიფო ბიუჯეტი</v>
          </cell>
          <cell r="O286">
            <v>2703030701</v>
          </cell>
        </row>
        <row r="287">
          <cell r="K287" t="str">
            <v>09100000</v>
          </cell>
          <cell r="L287">
            <v>36844</v>
          </cell>
          <cell r="N287" t="str">
            <v>სახელმწიფო ბიუჯეტი</v>
          </cell>
          <cell r="O287">
            <v>2703030701</v>
          </cell>
        </row>
        <row r="288">
          <cell r="K288" t="str">
            <v>09100000</v>
          </cell>
          <cell r="L288">
            <v>2595</v>
          </cell>
          <cell r="N288" t="str">
            <v>სახელმწიფო ბიუჯეტი</v>
          </cell>
          <cell r="O288">
            <v>2703030701</v>
          </cell>
        </row>
        <row r="289">
          <cell r="K289" t="str">
            <v>09100000</v>
          </cell>
          <cell r="L289">
            <v>29260</v>
          </cell>
          <cell r="N289" t="str">
            <v>სახელმწიფო ბიუჯეტი</v>
          </cell>
          <cell r="O289">
            <v>2703030701</v>
          </cell>
        </row>
        <row r="290">
          <cell r="K290" t="str">
            <v>09100000</v>
          </cell>
          <cell r="L290">
            <v>3860</v>
          </cell>
          <cell r="N290" t="str">
            <v>სახელმწიფო ბიუჯეტი</v>
          </cell>
          <cell r="O290">
            <v>2703030701</v>
          </cell>
        </row>
        <row r="291">
          <cell r="K291">
            <v>50500000</v>
          </cell>
          <cell r="L291">
            <v>446.43</v>
          </cell>
          <cell r="N291" t="str">
            <v>საკუთარი შემოსავლები</v>
          </cell>
          <cell r="O291">
            <v>2703030701</v>
          </cell>
        </row>
        <row r="292">
          <cell r="K292">
            <v>44600000</v>
          </cell>
          <cell r="L292">
            <v>374.5</v>
          </cell>
          <cell r="N292" t="str">
            <v>სახელმწიფო ბიუჯეტი</v>
          </cell>
          <cell r="O292">
            <v>2703030701</v>
          </cell>
        </row>
        <row r="293">
          <cell r="K293">
            <v>50100000</v>
          </cell>
          <cell r="L293">
            <v>20000</v>
          </cell>
          <cell r="N293" t="str">
            <v>სახელმწიფო ბიუჯეტი</v>
          </cell>
          <cell r="O293">
            <v>2703030701</v>
          </cell>
        </row>
        <row r="294">
          <cell r="K294">
            <v>75100000</v>
          </cell>
          <cell r="L294">
            <v>4</v>
          </cell>
          <cell r="N294" t="str">
            <v>სახელმწიფო ბიუჯეტი</v>
          </cell>
          <cell r="O294">
            <v>2703030701</v>
          </cell>
        </row>
        <row r="295">
          <cell r="K295">
            <v>44400000</v>
          </cell>
          <cell r="L295">
            <v>1567</v>
          </cell>
          <cell r="N295" t="str">
            <v>სახელმწიფო ბიუჯეტი</v>
          </cell>
          <cell r="O295">
            <v>270106</v>
          </cell>
        </row>
        <row r="296">
          <cell r="K296">
            <v>79400000</v>
          </cell>
          <cell r="L296">
            <v>118</v>
          </cell>
          <cell r="N296" t="str">
            <v>სახელმწიფო ბიუჯეტი</v>
          </cell>
          <cell r="O296">
            <v>2703030701</v>
          </cell>
        </row>
        <row r="297">
          <cell r="K297">
            <v>32500000</v>
          </cell>
          <cell r="L297">
            <v>669</v>
          </cell>
          <cell r="N297" t="str">
            <v>სახელმწიფო ბიუჯეტი</v>
          </cell>
          <cell r="O297">
            <v>270106</v>
          </cell>
        </row>
        <row r="298">
          <cell r="K298">
            <v>44200000</v>
          </cell>
          <cell r="L298">
            <v>30</v>
          </cell>
          <cell r="N298" t="str">
            <v>სახელმწიფო ბიუჯეტი</v>
          </cell>
          <cell r="O298">
            <v>270106</v>
          </cell>
        </row>
        <row r="299">
          <cell r="K299">
            <v>45300000</v>
          </cell>
          <cell r="L299">
            <v>250</v>
          </cell>
          <cell r="N299" t="str">
            <v>სახელმწიფო ბიუჯეტი</v>
          </cell>
          <cell r="O299">
            <v>270106</v>
          </cell>
        </row>
        <row r="300">
          <cell r="K300">
            <v>72400000</v>
          </cell>
          <cell r="L300">
            <v>1240</v>
          </cell>
          <cell r="N300" t="str">
            <v>სახელმწიფო ბიუჯეტი</v>
          </cell>
          <cell r="O300">
            <v>2703030701</v>
          </cell>
        </row>
        <row r="301">
          <cell r="K301">
            <v>79800000</v>
          </cell>
          <cell r="L301">
            <v>2100</v>
          </cell>
          <cell r="N301" t="str">
            <v>გრანტი</v>
          </cell>
          <cell r="O301">
            <v>2703030701</v>
          </cell>
        </row>
        <row r="302">
          <cell r="K302">
            <v>65200000</v>
          </cell>
          <cell r="L302">
            <v>627</v>
          </cell>
          <cell r="N302" t="str">
            <v>სახელმწიფო ბიუჯეტი</v>
          </cell>
          <cell r="O302">
            <v>2703030701</v>
          </cell>
        </row>
        <row r="303">
          <cell r="K303">
            <v>71600000</v>
          </cell>
          <cell r="L303">
            <v>55</v>
          </cell>
          <cell r="N303" t="str">
            <v>სახელმწიფო ბიუჯეტი</v>
          </cell>
          <cell r="O303">
            <v>2703030701</v>
          </cell>
        </row>
        <row r="304">
          <cell r="K304">
            <v>85100000</v>
          </cell>
          <cell r="L304">
            <v>1000</v>
          </cell>
          <cell r="N304" t="str">
            <v>სახელმწიფო ბიუჯეტი</v>
          </cell>
          <cell r="O304">
            <v>2703030701</v>
          </cell>
        </row>
        <row r="305">
          <cell r="K305">
            <v>33600000</v>
          </cell>
          <cell r="L305">
            <v>16294.02</v>
          </cell>
          <cell r="N305" t="str">
            <v>სახელმწიფო ბიუჯეტი</v>
          </cell>
          <cell r="O305">
            <v>2703030701</v>
          </cell>
        </row>
        <row r="306">
          <cell r="K306">
            <v>50100000</v>
          </cell>
          <cell r="L306">
            <v>840</v>
          </cell>
          <cell r="N306" t="str">
            <v>სახელმწიფო ბიუჯეტი</v>
          </cell>
          <cell r="O306">
            <v>2703030701</v>
          </cell>
        </row>
        <row r="307">
          <cell r="K307">
            <v>33100000</v>
          </cell>
          <cell r="L307">
            <v>3657</v>
          </cell>
          <cell r="N307" t="str">
            <v>სახელმწიფო ბიუჯეტი</v>
          </cell>
          <cell r="O307">
            <v>2703030701</v>
          </cell>
        </row>
        <row r="308">
          <cell r="K308">
            <v>44400000</v>
          </cell>
          <cell r="L308">
            <v>1170</v>
          </cell>
          <cell r="N308" t="str">
            <v>სახელმწიფო ბიუჯეტი</v>
          </cell>
          <cell r="O308">
            <v>2703030701</v>
          </cell>
        </row>
        <row r="309">
          <cell r="K309">
            <v>44400000</v>
          </cell>
          <cell r="L309">
            <v>32.5</v>
          </cell>
          <cell r="N309" t="str">
            <v>სახელმწიფო ბიუჯეტი</v>
          </cell>
          <cell r="O309">
            <v>2703030701</v>
          </cell>
        </row>
        <row r="310">
          <cell r="K310">
            <v>39700000</v>
          </cell>
          <cell r="L310">
            <v>1160</v>
          </cell>
          <cell r="N310" t="str">
            <v>საკუთარი შემოსავლები</v>
          </cell>
          <cell r="O310">
            <v>270106</v>
          </cell>
        </row>
        <row r="311">
          <cell r="K311">
            <v>33100000</v>
          </cell>
          <cell r="L311">
            <v>126000</v>
          </cell>
          <cell r="N311" t="str">
            <v>სახელმწიფო ბიუჯეტი</v>
          </cell>
          <cell r="O311">
            <v>2703030701</v>
          </cell>
        </row>
        <row r="312">
          <cell r="K312">
            <v>33700000</v>
          </cell>
          <cell r="L312">
            <v>4990</v>
          </cell>
          <cell r="N312" t="str">
            <v>საკუთარი შემოსავლები</v>
          </cell>
          <cell r="O312">
            <v>2703030701</v>
          </cell>
        </row>
      </sheetData>
      <sheetData sheetId="1">
        <row r="1">
          <cell r="G1" t="str">
            <v>CPV</v>
          </cell>
          <cell r="N1" t="str">
            <v>ღირებულება CPV-ის ან/და პროგრამული კოდის მიხედვით</v>
          </cell>
          <cell r="Q1" t="str">
            <v xml:space="preserve">დაფინანსების წყარო </v>
          </cell>
          <cell r="R1" t="str">
            <v>პროგრამული კოდი</v>
          </cell>
        </row>
        <row r="2">
          <cell r="G2">
            <v>50100000</v>
          </cell>
          <cell r="N2">
            <v>40000</v>
          </cell>
          <cell r="Q2" t="str">
            <v>სახელმწიფო ბიუჯეტი</v>
          </cell>
          <cell r="R2">
            <v>2703030701</v>
          </cell>
        </row>
        <row r="3">
          <cell r="G3">
            <v>90500000</v>
          </cell>
          <cell r="N3">
            <v>31360</v>
          </cell>
          <cell r="Q3" t="str">
            <v>სახელმწიფო ბიუჯეტი</v>
          </cell>
          <cell r="R3">
            <v>2703030701</v>
          </cell>
        </row>
        <row r="4">
          <cell r="G4">
            <v>79700000</v>
          </cell>
          <cell r="N4">
            <v>13901</v>
          </cell>
          <cell r="Q4" t="str">
            <v>სახელმწიფო ბიუჯეტი</v>
          </cell>
          <cell r="R4">
            <v>270106</v>
          </cell>
        </row>
        <row r="5">
          <cell r="G5">
            <v>24100000</v>
          </cell>
          <cell r="N5">
            <v>50700</v>
          </cell>
          <cell r="Q5" t="str">
            <v>სახელმწიფო ბიუჯეტი</v>
          </cell>
          <cell r="R5">
            <v>2703030701</v>
          </cell>
        </row>
        <row r="6">
          <cell r="G6">
            <v>24100000</v>
          </cell>
          <cell r="N6">
            <v>12550</v>
          </cell>
          <cell r="Q6" t="str">
            <v>სახელმწიფო ბიუჯეტი</v>
          </cell>
          <cell r="R6">
            <v>2703030701</v>
          </cell>
        </row>
        <row r="7">
          <cell r="G7">
            <v>24100000</v>
          </cell>
          <cell r="N7">
            <v>3000</v>
          </cell>
          <cell r="Q7" t="str">
            <v>სახელმწიფო ბიუჯეტი</v>
          </cell>
          <cell r="R7">
            <v>2703030701</v>
          </cell>
        </row>
        <row r="8">
          <cell r="G8">
            <v>24100000</v>
          </cell>
          <cell r="N8">
            <v>111800</v>
          </cell>
          <cell r="Q8" t="str">
            <v>სახელმწიფო ბიუჯეტი</v>
          </cell>
          <cell r="R8">
            <v>2703030701</v>
          </cell>
        </row>
        <row r="9">
          <cell r="G9">
            <v>50100000</v>
          </cell>
          <cell r="N9">
            <v>12000</v>
          </cell>
          <cell r="Q9" t="str">
            <v>სახელმწიფო ბიუჯეტი</v>
          </cell>
          <cell r="R9">
            <v>2703030701</v>
          </cell>
        </row>
        <row r="10">
          <cell r="G10">
            <v>50100000</v>
          </cell>
          <cell r="N10">
            <v>495000</v>
          </cell>
          <cell r="Q10" t="str">
            <v>სახელმწიფო ბიუჯეტი</v>
          </cell>
          <cell r="R10">
            <v>2703030701</v>
          </cell>
        </row>
        <row r="11">
          <cell r="G11">
            <v>50100000</v>
          </cell>
          <cell r="N11">
            <v>15000</v>
          </cell>
          <cell r="Q11" t="str">
            <v>სახელმწიფო ბიუჯეტი</v>
          </cell>
          <cell r="R11">
            <v>270106</v>
          </cell>
        </row>
        <row r="12">
          <cell r="G12">
            <v>50100000</v>
          </cell>
          <cell r="N12">
            <v>235000</v>
          </cell>
          <cell r="Q12" t="str">
            <v>სახელმწიფო ბიუჯეტი</v>
          </cell>
          <cell r="R12">
            <v>2703030701</v>
          </cell>
        </row>
        <row r="13">
          <cell r="G13">
            <v>79800000</v>
          </cell>
          <cell r="N13">
            <v>115000</v>
          </cell>
          <cell r="Q13" t="str">
            <v>სახელმწიფო ბიუჯეტი</v>
          </cell>
          <cell r="R13">
            <v>2703030701</v>
          </cell>
        </row>
        <row r="14">
          <cell r="G14">
            <v>50100000</v>
          </cell>
          <cell r="N14">
            <v>495000</v>
          </cell>
          <cell r="Q14" t="str">
            <v>სახელმწიფო ბიუჯეტი</v>
          </cell>
          <cell r="R14">
            <v>2703030701</v>
          </cell>
        </row>
        <row r="15">
          <cell r="G15">
            <v>50100000</v>
          </cell>
          <cell r="N15">
            <v>450000</v>
          </cell>
          <cell r="Q15" t="str">
            <v>სახელმწიფო ბიუჯეტი</v>
          </cell>
          <cell r="R15">
            <v>2703030701</v>
          </cell>
        </row>
        <row r="16">
          <cell r="G16">
            <v>90500000</v>
          </cell>
          <cell r="N16">
            <v>236240</v>
          </cell>
          <cell r="Q16" t="str">
            <v>სახელმწიფო ბიუჯეტი</v>
          </cell>
          <cell r="R16">
            <v>2703030701</v>
          </cell>
        </row>
        <row r="17">
          <cell r="G17">
            <v>39200000</v>
          </cell>
          <cell r="N17">
            <v>23551</v>
          </cell>
          <cell r="Q17" t="str">
            <v>სახელმწიფო ბიუჯეტი</v>
          </cell>
          <cell r="R17">
            <v>2703030701</v>
          </cell>
        </row>
        <row r="18">
          <cell r="G18">
            <v>30100000</v>
          </cell>
          <cell r="N18">
            <v>34411</v>
          </cell>
          <cell r="Q18" t="str">
            <v>სახელმწიფო ბიუჯეტი</v>
          </cell>
          <cell r="R18" t="str">
            <v>2703030701</v>
          </cell>
        </row>
        <row r="19">
          <cell r="G19">
            <v>42100000</v>
          </cell>
          <cell r="N19">
            <v>5999.95</v>
          </cell>
          <cell r="Q19" t="str">
            <v>სახელმწიფო ბიუჯეტი</v>
          </cell>
          <cell r="R19" t="str">
            <v>2703030701</v>
          </cell>
        </row>
        <row r="20">
          <cell r="G20">
            <v>39800000</v>
          </cell>
          <cell r="N20">
            <v>48256.4</v>
          </cell>
          <cell r="Q20" t="str">
            <v>სახელმწიფო ბიუჯეტი</v>
          </cell>
          <cell r="R20" t="str">
            <v>2703030701</v>
          </cell>
        </row>
        <row r="21">
          <cell r="G21">
            <v>31500000</v>
          </cell>
          <cell r="N21">
            <v>3099</v>
          </cell>
          <cell r="Q21" t="str">
            <v>სახელმწიფო ბიუჯეტი</v>
          </cell>
          <cell r="R21" t="str">
            <v>2703030701</v>
          </cell>
        </row>
        <row r="22">
          <cell r="G22">
            <v>33100000</v>
          </cell>
          <cell r="N22">
            <v>197000</v>
          </cell>
          <cell r="Q22" t="str">
            <v>სახელმწიფო ბიუჯეტი</v>
          </cell>
          <cell r="R22" t="str">
            <v>2703030701</v>
          </cell>
        </row>
        <row r="23">
          <cell r="G23">
            <v>33100000</v>
          </cell>
          <cell r="N23">
            <v>124215</v>
          </cell>
          <cell r="Q23" t="str">
            <v>სახელმწიფო ბიუჯეტი</v>
          </cell>
          <cell r="R23" t="str">
            <v>2703030701</v>
          </cell>
        </row>
        <row r="24">
          <cell r="G24">
            <v>33600000</v>
          </cell>
          <cell r="N24">
            <v>16164.97</v>
          </cell>
          <cell r="Q24" t="str">
            <v>სახელმწიფო ბიუჯეტი</v>
          </cell>
          <cell r="R24" t="str">
            <v>2703030701</v>
          </cell>
        </row>
        <row r="25">
          <cell r="G25">
            <v>33600000</v>
          </cell>
          <cell r="N25">
            <v>23813</v>
          </cell>
          <cell r="Q25" t="str">
            <v>სახელმწიფო ბიუჯეტი</v>
          </cell>
          <cell r="R25" t="str">
            <v>2703030701</v>
          </cell>
        </row>
        <row r="26">
          <cell r="G26">
            <v>24100000</v>
          </cell>
          <cell r="N26">
            <v>24750</v>
          </cell>
          <cell r="Q26" t="str">
            <v>სახელმწიფო ბიუჯეტი</v>
          </cell>
          <cell r="R26" t="str">
            <v>2703030701</v>
          </cell>
        </row>
        <row r="27">
          <cell r="G27">
            <v>39500000</v>
          </cell>
          <cell r="N27">
            <v>4398</v>
          </cell>
          <cell r="Q27" t="str">
            <v>სახელმწიფო ბიუჯეტი</v>
          </cell>
          <cell r="R27">
            <v>270106</v>
          </cell>
        </row>
        <row r="28">
          <cell r="G28">
            <v>79800000</v>
          </cell>
          <cell r="N28">
            <v>1716</v>
          </cell>
          <cell r="Q28" t="str">
            <v>სახელმწიფო ბიუჯეტი</v>
          </cell>
          <cell r="R28" t="str">
            <v>2703030701</v>
          </cell>
        </row>
        <row r="29">
          <cell r="G29">
            <v>55500000</v>
          </cell>
          <cell r="N29">
            <v>10000</v>
          </cell>
          <cell r="Q29" t="str">
            <v>საკუთარი შემოსავლები</v>
          </cell>
          <cell r="R29">
            <v>270106</v>
          </cell>
        </row>
        <row r="30">
          <cell r="G30">
            <v>90400000</v>
          </cell>
          <cell r="N30">
            <v>7000</v>
          </cell>
          <cell r="Q30" t="str">
            <v>სახელმწიფო ბიუჯეტი</v>
          </cell>
          <cell r="R30" t="str">
            <v>2703030701</v>
          </cell>
        </row>
        <row r="31">
          <cell r="G31">
            <v>50700000</v>
          </cell>
          <cell r="N31">
            <v>24733.22</v>
          </cell>
          <cell r="Q31" t="str">
            <v>სახელმწიფო ბიუჯეტი</v>
          </cell>
          <cell r="R31">
            <v>270106</v>
          </cell>
        </row>
        <row r="32">
          <cell r="G32">
            <v>30100000</v>
          </cell>
          <cell r="N32">
            <v>30340</v>
          </cell>
          <cell r="Q32" t="str">
            <v>სახელმწიფო ბიუჯეტი</v>
          </cell>
          <cell r="R32">
            <v>2703030701</v>
          </cell>
        </row>
        <row r="33">
          <cell r="G33">
            <v>50300000</v>
          </cell>
          <cell r="N33">
            <v>15000</v>
          </cell>
          <cell r="Q33" t="str">
            <v>სახელმწიფო ბიუჯეტი</v>
          </cell>
          <cell r="R33">
            <v>2703030701</v>
          </cell>
        </row>
        <row r="34">
          <cell r="G34">
            <v>50500000</v>
          </cell>
          <cell r="N34">
            <v>10000</v>
          </cell>
          <cell r="Q34" t="str">
            <v>სახელმწიფო ბიუჯეტი</v>
          </cell>
          <cell r="R34">
            <v>2703030701</v>
          </cell>
        </row>
        <row r="35">
          <cell r="G35">
            <v>50100000</v>
          </cell>
          <cell r="N35">
            <v>450000</v>
          </cell>
          <cell r="Q35" t="str">
            <v>სახელმწიფო ბიუჯეტი</v>
          </cell>
          <cell r="R35">
            <v>2703030701</v>
          </cell>
        </row>
        <row r="36">
          <cell r="G36">
            <v>50100000</v>
          </cell>
          <cell r="N36">
            <v>450000</v>
          </cell>
          <cell r="Q36" t="str">
            <v>სახელმწიფო ბიუჯეტი</v>
          </cell>
          <cell r="R36">
            <v>2703030701</v>
          </cell>
        </row>
        <row r="37">
          <cell r="G37">
            <v>30200000</v>
          </cell>
          <cell r="N37">
            <v>11960</v>
          </cell>
          <cell r="Q37" t="str">
            <v>სახელმწიფო ბიუჯეტი</v>
          </cell>
          <cell r="R37">
            <v>2703030701</v>
          </cell>
        </row>
        <row r="38">
          <cell r="G38">
            <v>32200000</v>
          </cell>
          <cell r="N38">
            <v>17535</v>
          </cell>
          <cell r="Q38" t="str">
            <v>სახელმწიფო ბიუჯეტი</v>
          </cell>
          <cell r="R38">
            <v>2703030701</v>
          </cell>
        </row>
        <row r="39">
          <cell r="G39">
            <v>50700000</v>
          </cell>
          <cell r="N39">
            <v>7000</v>
          </cell>
          <cell r="Q39" t="str">
            <v>სახელმწიფო ბიუჯეტი</v>
          </cell>
          <cell r="R39">
            <v>270106</v>
          </cell>
        </row>
        <row r="40">
          <cell r="G40">
            <v>33100000</v>
          </cell>
          <cell r="N40">
            <v>18009</v>
          </cell>
          <cell r="Q40" t="str">
            <v>სახელმწიფო ბიუჯეტი</v>
          </cell>
          <cell r="R40">
            <v>2703030701</v>
          </cell>
        </row>
        <row r="41">
          <cell r="G41">
            <v>90900000</v>
          </cell>
          <cell r="N41">
            <v>31398.2</v>
          </cell>
          <cell r="Q41" t="str">
            <v>სახელმწიფო ბიუჯეტი</v>
          </cell>
          <cell r="R41">
            <v>2703030701</v>
          </cell>
        </row>
        <row r="42">
          <cell r="G42">
            <v>79800000</v>
          </cell>
          <cell r="N42">
            <v>42377</v>
          </cell>
          <cell r="Q42" t="str">
            <v>სახელმწიფო ბიუჯეტი</v>
          </cell>
          <cell r="R42">
            <v>2703030701</v>
          </cell>
        </row>
        <row r="43">
          <cell r="G43">
            <v>79200000</v>
          </cell>
          <cell r="N43">
            <v>6799</v>
          </cell>
          <cell r="Q43" t="str">
            <v>სახელმწიფო ბიუჯეტი</v>
          </cell>
          <cell r="R43">
            <v>270106</v>
          </cell>
        </row>
        <row r="44">
          <cell r="G44">
            <v>50100000</v>
          </cell>
          <cell r="N44">
            <v>450000</v>
          </cell>
          <cell r="Q44" t="str">
            <v>სახელმწიფო ბიუჯეტი</v>
          </cell>
          <cell r="R44">
            <v>2703030701</v>
          </cell>
        </row>
        <row r="45">
          <cell r="G45">
            <v>90400000</v>
          </cell>
          <cell r="N45">
            <v>3200</v>
          </cell>
          <cell r="Q45" t="str">
            <v>სახელმწიფო ბიუჯეტი</v>
          </cell>
          <cell r="R45">
            <v>2703030701</v>
          </cell>
        </row>
        <row r="46">
          <cell r="G46">
            <v>35100000</v>
          </cell>
          <cell r="N46">
            <v>18480</v>
          </cell>
          <cell r="Q46" t="str">
            <v>სახელმწიფო ბიუჯეტი</v>
          </cell>
          <cell r="R46">
            <v>2703030701</v>
          </cell>
        </row>
      </sheetData>
      <sheetData sheetId="2">
        <row r="1">
          <cell r="E1" t="str">
            <v>CPV</v>
          </cell>
          <cell r="L1" t="str">
            <v>ღირებულება</v>
          </cell>
          <cell r="N1" t="str">
            <v>დაფინანსების წყარო</v>
          </cell>
          <cell r="O1" t="str">
            <v>პროგრამული კოდი</v>
          </cell>
        </row>
        <row r="2">
          <cell r="E2">
            <v>64200000</v>
          </cell>
          <cell r="L2">
            <v>55000</v>
          </cell>
          <cell r="N2" t="str">
            <v>სახელმწიფო ბიუჯეტი</v>
          </cell>
          <cell r="O2">
            <v>2703030701</v>
          </cell>
        </row>
        <row r="3">
          <cell r="E3">
            <v>66500000</v>
          </cell>
          <cell r="L3">
            <v>640444.89</v>
          </cell>
          <cell r="N3" t="str">
            <v>სახელმწიფო ბიუჯეტი</v>
          </cell>
          <cell r="O3">
            <v>2703030701</v>
          </cell>
        </row>
        <row r="4">
          <cell r="E4">
            <v>66500000</v>
          </cell>
          <cell r="L4">
            <v>684.1</v>
          </cell>
          <cell r="N4" t="str">
            <v>სახელმწიფო ბიუჯეტი</v>
          </cell>
          <cell r="O4">
            <v>270106</v>
          </cell>
        </row>
        <row r="5">
          <cell r="E5">
            <v>66500000</v>
          </cell>
          <cell r="L5">
            <v>850382.81</v>
          </cell>
          <cell r="N5" t="str">
            <v>სახელმწიფო ბიუჯეტი</v>
          </cell>
          <cell r="O5">
            <v>2703030701</v>
          </cell>
        </row>
        <row r="6">
          <cell r="E6" t="str">
            <v>09100000</v>
          </cell>
          <cell r="L6">
            <v>3353485.05</v>
          </cell>
          <cell r="N6" t="str">
            <v>სახელმწიფო ბიუჯეტი</v>
          </cell>
          <cell r="O6">
            <v>2703030701</v>
          </cell>
        </row>
        <row r="7">
          <cell r="E7" t="str">
            <v>09100000</v>
          </cell>
          <cell r="L7">
            <v>145977.84</v>
          </cell>
          <cell r="N7" t="str">
            <v>სახელმწიფო ბიუჯეტი</v>
          </cell>
          <cell r="O7">
            <v>2703030701</v>
          </cell>
        </row>
        <row r="8">
          <cell r="E8" t="str">
            <v>09100000</v>
          </cell>
          <cell r="L8">
            <v>16920</v>
          </cell>
          <cell r="N8" t="str">
            <v>სახელმწიფო ბიუჯეტი</v>
          </cell>
          <cell r="O8">
            <v>270106</v>
          </cell>
        </row>
        <row r="9">
          <cell r="E9">
            <v>33600000</v>
          </cell>
          <cell r="L9">
            <v>319106.34000000003</v>
          </cell>
          <cell r="N9" t="str">
            <v>სახელმწიფო ბიუჯეტი</v>
          </cell>
          <cell r="O9">
            <v>2703030701</v>
          </cell>
        </row>
        <row r="10">
          <cell r="E10">
            <v>33600000</v>
          </cell>
          <cell r="L10">
            <v>45149.04</v>
          </cell>
          <cell r="N10" t="str">
            <v>სახელმწიფო ბიუჯეტი</v>
          </cell>
          <cell r="O10">
            <v>2703030701</v>
          </cell>
        </row>
        <row r="11">
          <cell r="E11">
            <v>33600000</v>
          </cell>
          <cell r="L11">
            <v>45843.07</v>
          </cell>
          <cell r="N11" t="str">
            <v>სახელმწიფო ბიუჯეტი</v>
          </cell>
          <cell r="O11">
            <v>2703030701</v>
          </cell>
        </row>
        <row r="12">
          <cell r="E12">
            <v>33100000</v>
          </cell>
          <cell r="L12">
            <v>35142.199999999997</v>
          </cell>
          <cell r="N12" t="str">
            <v>სახელმწიფო ბიუჯეტი</v>
          </cell>
          <cell r="O12">
            <v>2703030701</v>
          </cell>
        </row>
        <row r="13">
          <cell r="E13">
            <v>30100000</v>
          </cell>
          <cell r="L13">
            <v>17780</v>
          </cell>
          <cell r="N13" t="str">
            <v>სახელმწიფო ბიუჯეტი</v>
          </cell>
          <cell r="O13">
            <v>2703030701</v>
          </cell>
        </row>
        <row r="14">
          <cell r="E14">
            <v>33600000</v>
          </cell>
          <cell r="L14">
            <v>44877.3</v>
          </cell>
          <cell r="N14" t="str">
            <v>სახელმწიფო ბიუჯეტი</v>
          </cell>
          <cell r="O14">
            <v>2703030701</v>
          </cell>
        </row>
        <row r="15">
          <cell r="E15">
            <v>33600000</v>
          </cell>
          <cell r="L15">
            <v>49531.5</v>
          </cell>
          <cell r="N15" t="str">
            <v>სახელმწიფო ბიუჯეტი</v>
          </cell>
          <cell r="O15">
            <v>2703030701</v>
          </cell>
        </row>
        <row r="16">
          <cell r="E16">
            <v>33600000</v>
          </cell>
          <cell r="L16">
            <v>1500</v>
          </cell>
          <cell r="N16" t="str">
            <v>სახელმწიფო ბიუჯეტი</v>
          </cell>
          <cell r="O16">
            <v>2703030701</v>
          </cell>
        </row>
        <row r="17">
          <cell r="E17">
            <v>34300000</v>
          </cell>
          <cell r="L17">
            <v>880</v>
          </cell>
          <cell r="N17" t="str">
            <v>სახელმწიფო ბიუჯეტი</v>
          </cell>
          <cell r="O17">
            <v>2703030701</v>
          </cell>
        </row>
        <row r="18">
          <cell r="E18">
            <v>34300000</v>
          </cell>
          <cell r="L18">
            <v>12000</v>
          </cell>
          <cell r="N18" t="str">
            <v>სახელმწიფო ბიუჯეტი</v>
          </cell>
          <cell r="O18">
            <v>2703030701</v>
          </cell>
        </row>
        <row r="19">
          <cell r="E19">
            <v>34300000</v>
          </cell>
          <cell r="L19">
            <v>12000</v>
          </cell>
          <cell r="N19" t="str">
            <v>სახელმწიფო ბიუჯეტი</v>
          </cell>
          <cell r="O19">
            <v>2703030701</v>
          </cell>
        </row>
        <row r="20">
          <cell r="E20">
            <v>34300000</v>
          </cell>
          <cell r="L20">
            <v>2400</v>
          </cell>
          <cell r="N20" t="str">
            <v>სახელმწიფო ბიუჯეტი</v>
          </cell>
          <cell r="O20">
            <v>2703030701</v>
          </cell>
        </row>
        <row r="21">
          <cell r="E21">
            <v>34300000</v>
          </cell>
          <cell r="L21">
            <v>42385</v>
          </cell>
          <cell r="N21" t="str">
            <v>სახელმწიფო ბიუჯეტი</v>
          </cell>
          <cell r="O21">
            <v>2703030701</v>
          </cell>
        </row>
        <row r="22">
          <cell r="E22">
            <v>34300000</v>
          </cell>
          <cell r="L22">
            <v>310</v>
          </cell>
          <cell r="N22" t="str">
            <v>სახელმწიფო ბიუჯეტი</v>
          </cell>
          <cell r="O22">
            <v>2703030701</v>
          </cell>
        </row>
        <row r="23">
          <cell r="E23">
            <v>33600000</v>
          </cell>
          <cell r="L23">
            <v>87429</v>
          </cell>
          <cell r="N23" t="str">
            <v>სახელმწიფო ბიუჯეტი</v>
          </cell>
          <cell r="O23">
            <v>2703030701</v>
          </cell>
        </row>
        <row r="24">
          <cell r="E24">
            <v>33600000</v>
          </cell>
          <cell r="L24">
            <v>7240</v>
          </cell>
          <cell r="N24" t="str">
            <v>სახელმწიფო ბიუჯეტი</v>
          </cell>
          <cell r="O24">
            <v>2703030701</v>
          </cell>
        </row>
        <row r="25">
          <cell r="E25">
            <v>33600000</v>
          </cell>
          <cell r="L25">
            <v>10263.959999999999</v>
          </cell>
          <cell r="N25" t="str">
            <v>სახელმწიფო ბიუჯეტი</v>
          </cell>
          <cell r="O25">
            <v>2703030701</v>
          </cell>
        </row>
        <row r="26">
          <cell r="E26">
            <v>33600000</v>
          </cell>
          <cell r="L26">
            <v>2000</v>
          </cell>
          <cell r="N26" t="str">
            <v>სახელმწიფო ბიუჯეტი</v>
          </cell>
          <cell r="O26">
            <v>2703030701</v>
          </cell>
        </row>
        <row r="27">
          <cell r="E27">
            <v>33600000</v>
          </cell>
          <cell r="L27">
            <v>172.96</v>
          </cell>
          <cell r="N27" t="str">
            <v>სახელმწიფო ბიუჯეტი</v>
          </cell>
          <cell r="O27">
            <v>2703030701</v>
          </cell>
        </row>
        <row r="28">
          <cell r="E28">
            <v>33100000</v>
          </cell>
          <cell r="L28">
            <v>48462.2</v>
          </cell>
          <cell r="N28" t="str">
            <v>სახელმწიფო ბიუჯეტი</v>
          </cell>
          <cell r="O28">
            <v>2703030701</v>
          </cell>
        </row>
        <row r="29">
          <cell r="E29">
            <v>33600000</v>
          </cell>
          <cell r="L29">
            <v>90862.37</v>
          </cell>
          <cell r="N29" t="str">
            <v>სახელმწიფო ბიუჯეტი</v>
          </cell>
          <cell r="O29">
            <v>2703030701</v>
          </cell>
        </row>
        <row r="30">
          <cell r="E30">
            <v>33100000</v>
          </cell>
          <cell r="L30">
            <v>162500.04</v>
          </cell>
          <cell r="N30" t="str">
            <v>სახელმწიფო ბიუჯეტი</v>
          </cell>
          <cell r="O30">
            <v>2703030701</v>
          </cell>
        </row>
        <row r="31">
          <cell r="E31">
            <v>33100000</v>
          </cell>
          <cell r="L31">
            <v>6681.97</v>
          </cell>
          <cell r="N31" t="str">
            <v>სახელმწიფო ბიუჯეტი</v>
          </cell>
          <cell r="O31">
            <v>2703030701</v>
          </cell>
        </row>
        <row r="32">
          <cell r="E32">
            <v>31400000</v>
          </cell>
          <cell r="L32">
            <v>19580</v>
          </cell>
          <cell r="N32" t="str">
            <v>სახელმწიფო ბიუჯეტი</v>
          </cell>
          <cell r="O32">
            <v>2703030701</v>
          </cell>
        </row>
        <row r="33">
          <cell r="E33">
            <v>33100000</v>
          </cell>
          <cell r="L33">
            <v>300231.69</v>
          </cell>
          <cell r="N33" t="str">
            <v>სახელმწიფო ბიუჯეტი</v>
          </cell>
          <cell r="O33">
            <v>2703030701</v>
          </cell>
        </row>
        <row r="34">
          <cell r="E34">
            <v>30100000</v>
          </cell>
          <cell r="L34">
            <v>1044</v>
          </cell>
          <cell r="N34" t="str">
            <v>სახელმწიფო ბიუჯეტი</v>
          </cell>
          <cell r="O34">
            <v>2703030701</v>
          </cell>
        </row>
        <row r="35">
          <cell r="E35">
            <v>33600000</v>
          </cell>
          <cell r="L35">
            <v>2730</v>
          </cell>
          <cell r="N35" t="str">
            <v>სახელმწიფო ბიუჯეტი</v>
          </cell>
          <cell r="O35">
            <v>2703030701</v>
          </cell>
        </row>
        <row r="36">
          <cell r="E36">
            <v>33600000</v>
          </cell>
          <cell r="L36">
            <v>11330.28</v>
          </cell>
          <cell r="N36" t="str">
            <v>სახელმწიფო ბიუჯეტი</v>
          </cell>
          <cell r="O36">
            <v>2703030701</v>
          </cell>
        </row>
        <row r="37">
          <cell r="E37">
            <v>33100000</v>
          </cell>
          <cell r="L37">
            <v>3875.01</v>
          </cell>
          <cell r="N37" t="str">
            <v>სახელმწიფო ბიუჯეტი</v>
          </cell>
          <cell r="O37">
            <v>2703030701</v>
          </cell>
        </row>
        <row r="38">
          <cell r="E38">
            <v>42900000</v>
          </cell>
          <cell r="L38">
            <v>19950.599999999999</v>
          </cell>
          <cell r="N38" t="str">
            <v>სახელმწიფო ბიუჯეტი</v>
          </cell>
          <cell r="O38">
            <v>2703030701</v>
          </cell>
        </row>
        <row r="39">
          <cell r="E39" t="str">
            <v>09200000</v>
          </cell>
          <cell r="L39">
            <v>105018.5</v>
          </cell>
          <cell r="N39" t="str">
            <v>სახელმწიფო ბიუჯეტი</v>
          </cell>
          <cell r="O39">
            <v>2703030701</v>
          </cell>
        </row>
        <row r="40">
          <cell r="E40">
            <v>33600000</v>
          </cell>
          <cell r="L40">
            <v>31691.7</v>
          </cell>
          <cell r="N40" t="str">
            <v>სახელმწიფო ბიუჯეტი</v>
          </cell>
          <cell r="O40">
            <v>2703030701</v>
          </cell>
        </row>
        <row r="41">
          <cell r="E41">
            <v>33600000</v>
          </cell>
          <cell r="L41">
            <v>680</v>
          </cell>
          <cell r="N41" t="str">
            <v>სახელმწიფო ბიუჯეტი</v>
          </cell>
          <cell r="O41">
            <v>2703030701</v>
          </cell>
        </row>
        <row r="42">
          <cell r="E42">
            <v>33600000</v>
          </cell>
          <cell r="L42">
            <v>7528</v>
          </cell>
          <cell r="N42" t="str">
            <v>სახელმწიფო ბიუჯეტი</v>
          </cell>
          <cell r="O42">
            <v>2703030701</v>
          </cell>
        </row>
        <row r="43">
          <cell r="E43">
            <v>33600000</v>
          </cell>
          <cell r="L43">
            <v>5885.4</v>
          </cell>
          <cell r="N43" t="str">
            <v>სახელმწიფო ბიუჯეტი</v>
          </cell>
          <cell r="O43">
            <v>2703030701</v>
          </cell>
        </row>
        <row r="44">
          <cell r="E44">
            <v>33600000</v>
          </cell>
          <cell r="L44">
            <v>5306.91</v>
          </cell>
          <cell r="N44" t="str">
            <v>სახელმწიფო ბიუჯეტი</v>
          </cell>
          <cell r="O44">
            <v>2703030701</v>
          </cell>
        </row>
        <row r="45">
          <cell r="E45">
            <v>34300000</v>
          </cell>
          <cell r="L45">
            <v>137160</v>
          </cell>
          <cell r="N45" t="str">
            <v>სახელმწიფო ბიუჯეტი</v>
          </cell>
          <cell r="O45">
            <v>2703030701</v>
          </cell>
        </row>
        <row r="46">
          <cell r="E46">
            <v>34300000</v>
          </cell>
          <cell r="L46">
            <v>79502</v>
          </cell>
          <cell r="N46" t="str">
            <v>სახელმწიფო ბიუჯეტი</v>
          </cell>
          <cell r="O46">
            <v>2703030701</v>
          </cell>
        </row>
        <row r="47">
          <cell r="E47">
            <v>30100000</v>
          </cell>
          <cell r="L47">
            <v>22250</v>
          </cell>
          <cell r="N47" t="str">
            <v>სახელმწიფო ბიუჯეტი</v>
          </cell>
          <cell r="O47">
            <v>2703030701</v>
          </cell>
        </row>
        <row r="48">
          <cell r="E48">
            <v>33600000</v>
          </cell>
          <cell r="L48">
            <v>48378</v>
          </cell>
          <cell r="N48" t="str">
            <v>სახელმწიფო ბიუჯეტი</v>
          </cell>
          <cell r="O48">
            <v>2703030701</v>
          </cell>
        </row>
        <row r="49">
          <cell r="E49">
            <v>30200000</v>
          </cell>
          <cell r="L49">
            <v>3224.1</v>
          </cell>
          <cell r="N49" t="str">
            <v>სახელმწიფო ბიუჯეტი</v>
          </cell>
          <cell r="O49">
            <v>2703030701</v>
          </cell>
        </row>
        <row r="50">
          <cell r="E50">
            <v>31400000</v>
          </cell>
          <cell r="L50">
            <v>1749</v>
          </cell>
          <cell r="N50" t="str">
            <v>სახელმწიფო ბიუჯეტი</v>
          </cell>
          <cell r="O50">
            <v>2703030701</v>
          </cell>
        </row>
        <row r="51">
          <cell r="E51">
            <v>34300000</v>
          </cell>
          <cell r="L51">
            <v>2718</v>
          </cell>
          <cell r="N51" t="str">
            <v>სახელმწიფო ბიუჯეტი</v>
          </cell>
          <cell r="O51">
            <v>2703030701</v>
          </cell>
        </row>
        <row r="52">
          <cell r="E52">
            <v>34300000</v>
          </cell>
          <cell r="L52">
            <v>2400</v>
          </cell>
          <cell r="N52" t="str">
            <v>სახელმწიფო ბიუჯეტი</v>
          </cell>
          <cell r="O52">
            <v>2703030701</v>
          </cell>
        </row>
        <row r="53">
          <cell r="E53">
            <v>34300000</v>
          </cell>
          <cell r="L53">
            <v>3120</v>
          </cell>
          <cell r="N53" t="str">
            <v>სახელმწიფო ბიუჯეტი</v>
          </cell>
          <cell r="O53">
            <v>2703030701</v>
          </cell>
        </row>
        <row r="54">
          <cell r="E54">
            <v>34300000</v>
          </cell>
          <cell r="L54">
            <v>1620</v>
          </cell>
          <cell r="N54" t="str">
            <v>სახელმწიფო ბიუჯეტი</v>
          </cell>
          <cell r="O54">
            <v>2703030701</v>
          </cell>
        </row>
        <row r="55">
          <cell r="E55">
            <v>34300000</v>
          </cell>
          <cell r="L55">
            <v>560</v>
          </cell>
          <cell r="N55" t="str">
            <v>სახელმწიფო ბიუჯეტი</v>
          </cell>
          <cell r="O55">
            <v>2703030701</v>
          </cell>
        </row>
        <row r="56">
          <cell r="E56">
            <v>33100000</v>
          </cell>
          <cell r="L56">
            <v>23.8</v>
          </cell>
          <cell r="N56" t="str">
            <v>სახელმწიფო ბიუჯეტი</v>
          </cell>
          <cell r="O56">
            <v>2703030701</v>
          </cell>
        </row>
        <row r="57">
          <cell r="E57">
            <v>33600000</v>
          </cell>
          <cell r="L57">
            <v>2340</v>
          </cell>
          <cell r="N57" t="str">
            <v>სახელმწიფო ბიუჯეტი</v>
          </cell>
          <cell r="O57">
            <v>2703030701</v>
          </cell>
        </row>
        <row r="58">
          <cell r="E58">
            <v>31400000</v>
          </cell>
          <cell r="L58">
            <v>456</v>
          </cell>
          <cell r="N58" t="str">
            <v>სახელმწიფო ბიუჯეტი</v>
          </cell>
          <cell r="O58">
            <v>2703030701</v>
          </cell>
        </row>
        <row r="59">
          <cell r="E59">
            <v>31400000</v>
          </cell>
          <cell r="L59">
            <v>6582</v>
          </cell>
          <cell r="N59" t="str">
            <v>სახელმწიფო ბიუჯეტი</v>
          </cell>
          <cell r="O59">
            <v>2703030701</v>
          </cell>
        </row>
        <row r="60">
          <cell r="E60">
            <v>34100000</v>
          </cell>
          <cell r="L60">
            <v>874828</v>
          </cell>
          <cell r="N60" t="str">
            <v>გრანტი</v>
          </cell>
          <cell r="O60">
            <v>2703030701</v>
          </cell>
        </row>
        <row r="61">
          <cell r="E61">
            <v>34300000</v>
          </cell>
          <cell r="L61">
            <v>3520</v>
          </cell>
          <cell r="N61" t="str">
            <v>სახელმწიფო ბიუჯეტი</v>
          </cell>
          <cell r="O61">
            <v>2703030701</v>
          </cell>
        </row>
        <row r="62">
          <cell r="E62">
            <v>34300000</v>
          </cell>
          <cell r="L62">
            <v>752</v>
          </cell>
          <cell r="N62" t="str">
            <v>სახელმწიფო ბიუჯეტი</v>
          </cell>
          <cell r="O62">
            <v>2703030701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tabSelected="1" view="pageBreakPreview" zoomScaleNormal="100" zoomScaleSheetLayoutView="100" workbookViewId="0">
      <selection activeCell="E22" sqref="E22"/>
    </sheetView>
  </sheetViews>
  <sheetFormatPr defaultColWidth="20.875" defaultRowHeight="15" x14ac:dyDescent="0.25"/>
  <cols>
    <col min="1" max="1" width="4" style="2" customWidth="1"/>
    <col min="2" max="2" width="11.875" style="2" customWidth="1"/>
    <col min="3" max="3" width="28.125" style="2" customWidth="1"/>
    <col min="4" max="4" width="20" style="2" customWidth="1"/>
    <col min="5" max="5" width="151.625" style="2" customWidth="1"/>
    <col min="6" max="6" width="24.125" style="2" customWidth="1"/>
    <col min="7" max="9" width="20.875" style="2"/>
    <col min="10" max="10" width="20.875" style="100"/>
    <col min="11" max="16384" width="20.875" style="2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x14ac:dyDescent="0.25">
      <c r="A2" s="3" t="s">
        <v>1</v>
      </c>
      <c r="B2" s="3"/>
      <c r="C2" s="3"/>
      <c r="D2" s="3"/>
      <c r="E2" s="3"/>
      <c r="F2" s="3"/>
      <c r="G2" s="3"/>
      <c r="H2" s="4" t="s">
        <v>2</v>
      </c>
      <c r="I2" s="4"/>
      <c r="J2" s="4"/>
    </row>
    <row r="3" spans="1:17" x14ac:dyDescent="0.25">
      <c r="A3" s="4" t="s">
        <v>3</v>
      </c>
      <c r="B3" s="3"/>
      <c r="C3" s="3"/>
      <c r="D3" s="3"/>
      <c r="E3" s="3"/>
      <c r="F3" s="3"/>
      <c r="G3" s="3"/>
      <c r="H3" s="4" t="s">
        <v>4</v>
      </c>
      <c r="I3" s="4"/>
      <c r="J3" s="4"/>
    </row>
    <row r="4" spans="1:17" x14ac:dyDescent="0.25">
      <c r="A4" s="5" t="s">
        <v>5</v>
      </c>
      <c r="B4" s="5"/>
      <c r="C4" s="5"/>
      <c r="D4" s="5"/>
      <c r="E4" s="5"/>
      <c r="F4" s="5"/>
      <c r="G4" s="5"/>
      <c r="H4" s="5"/>
      <c r="I4" s="6">
        <f>SUM(F6:F167)</f>
        <v>43999955</v>
      </c>
      <c r="J4" s="7" t="s">
        <v>6</v>
      </c>
      <c r="K4" s="8">
        <f t="shared" ref="K4:Q4" si="0">SUM(K6:K167)</f>
        <v>157171.19</v>
      </c>
      <c r="L4" s="8">
        <f t="shared" si="0"/>
        <v>3063799.2600000007</v>
      </c>
      <c r="M4" s="8">
        <f t="shared" si="0"/>
        <v>17604.099999999999</v>
      </c>
      <c r="N4" s="8">
        <f t="shared" si="0"/>
        <v>6921014.5299999993</v>
      </c>
      <c r="O4" s="8">
        <f t="shared" si="0"/>
        <v>71831.22</v>
      </c>
      <c r="P4" s="8">
        <f t="shared" si="0"/>
        <v>4345925.5200000005</v>
      </c>
      <c r="Q4" s="8">
        <f t="shared" si="0"/>
        <v>26025609.180000003</v>
      </c>
    </row>
    <row r="5" spans="1:17" ht="45" x14ac:dyDescent="0.25">
      <c r="A5" s="9" t="s">
        <v>7</v>
      </c>
      <c r="B5" s="10" t="s">
        <v>8</v>
      </c>
      <c r="C5" s="11" t="s">
        <v>9</v>
      </c>
      <c r="D5" s="12" t="s">
        <v>10</v>
      </c>
      <c r="E5" s="13" t="s">
        <v>11</v>
      </c>
      <c r="F5" s="14" t="s">
        <v>12</v>
      </c>
      <c r="G5" s="13" t="s">
        <v>13</v>
      </c>
      <c r="H5" s="13" t="s">
        <v>14</v>
      </c>
      <c r="I5" s="13" t="s">
        <v>15</v>
      </c>
      <c r="J5" s="15" t="s">
        <v>16</v>
      </c>
      <c r="K5" s="16" t="s">
        <v>17</v>
      </c>
      <c r="L5" s="16" t="s">
        <v>18</v>
      </c>
      <c r="M5" s="16" t="s">
        <v>19</v>
      </c>
      <c r="N5" s="16" t="s">
        <v>20</v>
      </c>
      <c r="O5" s="16" t="s">
        <v>21</v>
      </c>
      <c r="P5" s="16" t="s">
        <v>22</v>
      </c>
      <c r="Q5" s="17" t="s">
        <v>23</v>
      </c>
    </row>
    <row r="6" spans="1:17" ht="15.75" x14ac:dyDescent="0.3">
      <c r="A6" s="18">
        <v>1</v>
      </c>
      <c r="B6" s="19" t="s">
        <v>24</v>
      </c>
      <c r="C6" s="20" t="s">
        <v>25</v>
      </c>
      <c r="D6" s="21">
        <v>2703030701</v>
      </c>
      <c r="E6" s="22" t="s">
        <v>26</v>
      </c>
      <c r="F6" s="23">
        <v>15000</v>
      </c>
      <c r="G6" s="24" t="s">
        <v>27</v>
      </c>
      <c r="H6" s="25">
        <v>43831</v>
      </c>
      <c r="I6" s="25">
        <v>44196</v>
      </c>
      <c r="J6" s="26" t="s">
        <v>28</v>
      </c>
      <c r="K6" s="27">
        <v>0</v>
      </c>
      <c r="L6" s="28">
        <v>4031</v>
      </c>
      <c r="M6" s="27">
        <v>0</v>
      </c>
      <c r="N6" s="27">
        <f>IF(G6="კონს. ტენდერი",SUMIFS('[1]კონსოლიდირებული ტენდერი'!L:L,'[1]კონსოლიდირებული ტენდერი'!E:E,B6,'[1]კონსოლიდირებული ტენდერი'!N:N,"სახელმწიფო ბიუჯეტი",'[1]კონსოლიდირებული ტენდერი'!O:O,"2703030701"),0)</f>
        <v>0</v>
      </c>
      <c r="O6" s="27">
        <v>0</v>
      </c>
      <c r="P6" s="27">
        <f>IF(G6="ელ. ტენდერი",SUMIFS('[1]ელ. ტენდერი'!N:N,'[1]ელ. ტენდერი'!G:G,B6,'[1]ელ. ტენდერი'!Q:Q,"სახელმწიფო ბიუჯეტი",'[1]ელ. ტენდერი'!R:R,"2703030701"),0)</f>
        <v>0</v>
      </c>
      <c r="Q6" s="29">
        <f>F6-SUM(K6:P6)</f>
        <v>10969</v>
      </c>
    </row>
    <row r="7" spans="1:17" ht="15.75" x14ac:dyDescent="0.3">
      <c r="A7" s="18">
        <v>2</v>
      </c>
      <c r="B7" s="19" t="s">
        <v>24</v>
      </c>
      <c r="C7" s="20" t="s">
        <v>25</v>
      </c>
      <c r="D7" s="21">
        <v>2703030701</v>
      </c>
      <c r="E7" s="22" t="s">
        <v>26</v>
      </c>
      <c r="F7" s="23">
        <v>4350</v>
      </c>
      <c r="G7" s="24" t="s">
        <v>27</v>
      </c>
      <c r="H7" s="25">
        <v>44025</v>
      </c>
      <c r="I7" s="25">
        <v>44196</v>
      </c>
      <c r="J7" s="26" t="s">
        <v>29</v>
      </c>
      <c r="K7" s="27">
        <v>0</v>
      </c>
      <c r="L7" s="28">
        <v>4350</v>
      </c>
      <c r="M7" s="27">
        <v>0</v>
      </c>
      <c r="N7" s="27">
        <f>IF(G7="კონს. ტენდერი",SUMIFS('[1]კონსოლიდირებული ტენდერი'!L:L,'[1]კონსოლიდირებული ტენდერი'!E:E,B7,'[1]კონსოლიდირებული ტენდერი'!N:N,"სახელმწიფო ბიუჯეტი",'[1]კონსოლიდირებული ტენდერი'!O:O,"2703030701"),0)</f>
        <v>0</v>
      </c>
      <c r="O7" s="27">
        <v>0</v>
      </c>
      <c r="P7" s="27">
        <f>IF(G7="ელ. ტენდერი",SUMIFS('[1]ელ. ტენდერი'!N:N,'[1]ელ. ტენდერი'!G:G,B7,'[1]ელ. ტენდერი'!Q:Q,"სახელმწიფო ბიუჯეტი",'[1]ელ. ტენდერი'!R:R,"2703030701"),0)</f>
        <v>0</v>
      </c>
      <c r="Q7" s="29">
        <f t="shared" ref="Q7:Q73" si="1">F7-SUM(K7:P7)</f>
        <v>0</v>
      </c>
    </row>
    <row r="8" spans="1:17" ht="15.75" x14ac:dyDescent="0.3">
      <c r="A8" s="18">
        <v>3</v>
      </c>
      <c r="B8" s="30" t="s">
        <v>30</v>
      </c>
      <c r="C8" s="20" t="s">
        <v>25</v>
      </c>
      <c r="D8" s="21">
        <v>2703030701</v>
      </c>
      <c r="E8" s="22" t="s">
        <v>31</v>
      </c>
      <c r="F8" s="23">
        <f>2200000+290000+2040000-450000</f>
        <v>4080000</v>
      </c>
      <c r="G8" s="24" t="s">
        <v>32</v>
      </c>
      <c r="H8" s="25">
        <v>43831</v>
      </c>
      <c r="I8" s="25">
        <v>44196</v>
      </c>
      <c r="J8" s="31"/>
      <c r="K8" s="27">
        <v>0</v>
      </c>
      <c r="L8" s="27">
        <f>IF(G8="გამ. შესყიდვა",SUMIFS('[1]გამარტივებული შესყიდვა'!L:L,'[1]გამარტივებული შესყიდვა'!K:K,B8,'[1]გამარტივებული შესყიდვა'!N:N,"სახელმწიფო ბიუჯეტი",'[1]გამარტივებული შესყიდვა'!O:O,"2703030701"),0)</f>
        <v>0</v>
      </c>
      <c r="M8" s="27">
        <v>0</v>
      </c>
      <c r="N8" s="27">
        <f>IF(G8="კონს. ტენდერი",SUMIFS('[1]კონსოლიდირებული ტენდერი'!L:L,'[1]კონსოლიდირებული ტენდერი'!E:E,B8,'[1]კონსოლიდირებული ტენდერი'!N:N,"სახელმწიფო ბიუჯეტი",'[1]კონსოლიდირებული ტენდერი'!O:O,"2703030701"),0)</f>
        <v>3499462.8899999997</v>
      </c>
      <c r="O8" s="27">
        <v>0</v>
      </c>
      <c r="P8" s="27">
        <f>IF(G8="ელ. ტენდერი",SUMIFS('[1]ელ. ტენდერი'!N:N,'[1]ელ. ტენდერი'!G:G,B8,'[1]ელ. ტენდერი'!Q:Q,"სახელმწიფო ბიუჯეტი",'[1]ელ. ტენდერი'!R:R,"2703030701"),0)</f>
        <v>0</v>
      </c>
      <c r="Q8" s="29">
        <f t="shared" si="1"/>
        <v>580537.11000000034</v>
      </c>
    </row>
    <row r="9" spans="1:17" ht="15.75" x14ac:dyDescent="0.3">
      <c r="A9" s="18">
        <v>4</v>
      </c>
      <c r="B9" s="19" t="s">
        <v>30</v>
      </c>
      <c r="C9" s="20" t="s">
        <v>25</v>
      </c>
      <c r="D9" s="21">
        <v>270106</v>
      </c>
      <c r="E9" s="22" t="s">
        <v>31</v>
      </c>
      <c r="F9" s="23">
        <v>110000</v>
      </c>
      <c r="G9" s="24" t="s">
        <v>32</v>
      </c>
      <c r="H9" s="25">
        <v>43831</v>
      </c>
      <c r="I9" s="25">
        <v>44196</v>
      </c>
      <c r="J9" s="32"/>
      <c r="K9" s="27">
        <f>IF(G9="გამ. შესყიდვა",SUMIFS('[1]გამარტივებული შესყიდვა'!L:L,'[1]გამარტივებული შესყიდვა'!K:K,B9,'[1]გამარტივებული შესყიდვა'!N:N,"სახელმწიფო ბიუჯეტი",'[1]გამარტივებული შესყიდვა'!O:O,"270106"),0)</f>
        <v>0</v>
      </c>
      <c r="L9" s="27">
        <v>0</v>
      </c>
      <c r="M9" s="27">
        <f>IF(G9="კონს. ტენდერი",SUMIFS('[1]კონსოლიდირებული ტენდერი'!L:L,'[1]კონსოლიდირებული ტენდერი'!E:E,B9,'[1]კონსოლიდირებული ტენდერი'!N:N,"სახელმწიფო ბიუჯეტი",'[1]კონსოლიდირებული ტენდერი'!O:O,"270106"),0)</f>
        <v>16920</v>
      </c>
      <c r="N9" s="27">
        <v>0</v>
      </c>
      <c r="O9" s="27">
        <f>IF(G9="ელ. ტენდერი",SUMIFS('[1]ელ. ტენდერი'!N:N,'[1]ელ. ტენდერი'!G:G,B9,'[1]ელ. ტენდერი'!Q:Q,"სახელმწიფო ბიუჯეტი",'[1]ელ. ტენდერი'!R:R,"270106"),0)</f>
        <v>0</v>
      </c>
      <c r="P9" s="27">
        <v>0</v>
      </c>
      <c r="Q9" s="29">
        <f t="shared" si="1"/>
        <v>93080</v>
      </c>
    </row>
    <row r="10" spans="1:17" ht="15.75" x14ac:dyDescent="0.3">
      <c r="A10" s="18">
        <v>5</v>
      </c>
      <c r="B10" s="19" t="s">
        <v>30</v>
      </c>
      <c r="C10" s="20" t="s">
        <v>25</v>
      </c>
      <c r="D10" s="21">
        <v>2703030701</v>
      </c>
      <c r="E10" s="22" t="s">
        <v>31</v>
      </c>
      <c r="F10" s="33">
        <v>2000000</v>
      </c>
      <c r="G10" s="24" t="s">
        <v>27</v>
      </c>
      <c r="H10" s="25">
        <v>43831</v>
      </c>
      <c r="I10" s="25">
        <v>44196</v>
      </c>
      <c r="J10" s="32" t="s">
        <v>33</v>
      </c>
      <c r="K10" s="27">
        <v>0</v>
      </c>
      <c r="L10" s="27">
        <f>IF(G10="გამ. შესყიდვა",SUMIFS('[1]გამარტივებული შესყიდვა'!L:L,'[1]გამარტივებული შესყიდვა'!K:K,B10,'[1]გამარტივებული შესყიდვა'!N:N,"სახელმწიფო ბიუჯეტი",'[1]გამარტივებული შესყიდვა'!O:O,"2703030701"),0)</f>
        <v>969907</v>
      </c>
      <c r="M10" s="27">
        <v>0</v>
      </c>
      <c r="N10" s="27">
        <f>IF(G10="კონს. ტენდერი",SUMIFS('[1]კონსოლიდირებული ტენდერი'!L:L,'[1]კონსოლიდირებული ტენდერი'!E:E,B10,'[1]კონსოლიდირებული ტენდერი'!N:N,"სახელმწიფო ბიუჯეტი",'[1]კონსოლიდირებული ტენდერი'!O:O,"2703030701"),0)</f>
        <v>0</v>
      </c>
      <c r="O10" s="27">
        <v>0</v>
      </c>
      <c r="P10" s="27">
        <f>IF(G10="ელ. ტენდერი",SUMIFS('[1]ელ. ტენდერი'!N:N,'[1]ელ. ტენდერი'!G:G,B10,'[1]ელ. ტენდერი'!Q:Q,"სახელმწიფო ბიუჯეტი",'[1]ელ. ტენდერი'!R:R,"2703030701"),0)</f>
        <v>0</v>
      </c>
      <c r="Q10" s="29">
        <f t="shared" si="1"/>
        <v>1030093</v>
      </c>
    </row>
    <row r="11" spans="1:17" ht="15.75" x14ac:dyDescent="0.3">
      <c r="A11" s="18">
        <v>6</v>
      </c>
      <c r="B11" s="19" t="s">
        <v>34</v>
      </c>
      <c r="C11" s="20" t="s">
        <v>25</v>
      </c>
      <c r="D11" s="21">
        <v>2703030701</v>
      </c>
      <c r="E11" s="22" t="s">
        <v>35</v>
      </c>
      <c r="F11" s="33">
        <f>85000+6500+9000+4520</f>
        <v>105020</v>
      </c>
      <c r="G11" s="24" t="s">
        <v>32</v>
      </c>
      <c r="H11" s="25">
        <v>43831</v>
      </c>
      <c r="I11" s="25">
        <v>44196</v>
      </c>
      <c r="J11" s="32"/>
      <c r="K11" s="27">
        <v>0</v>
      </c>
      <c r="L11" s="27">
        <f>IF(G11="გამ. შესყიდვა",SUMIFS('[1]გამარტივებული შესყიდვა'!L:L,'[1]გამარტივებული შესყიდვა'!K:K,B11,'[1]გამარტივებული შესყიდვა'!N:N,"სახელმწიფო ბიუჯეტი",'[1]გამარტივებული შესყიდვა'!O:O,"2703030701"),0)</f>
        <v>0</v>
      </c>
      <c r="M11" s="27">
        <v>0</v>
      </c>
      <c r="N11" s="27">
        <f>IF(G11="კონს. ტენდერი",SUMIFS('[1]კონსოლიდირებული ტენდერი'!L:L,'[1]კონსოლიდირებული ტენდერი'!E:E,B11,'[1]კონსოლიდირებული ტენდერი'!N:N,"სახელმწიფო ბიუჯეტი",'[1]კონსოლიდირებული ტენდერი'!O:O,"2703030701"),0)</f>
        <v>105018.5</v>
      </c>
      <c r="O11" s="27">
        <v>0</v>
      </c>
      <c r="P11" s="27">
        <f>IF(G11="ელ. ტენდერი",SUMIFS('[1]ელ. ტენდერი'!N:N,'[1]ელ. ტენდერი'!G:G,B11,'[1]ელ. ტენდერი'!Q:Q,"სახელმწიფო ბიუჯეტი",'[1]ელ. ტენდერი'!R:R,"2703030701"),0)</f>
        <v>0</v>
      </c>
      <c r="Q11" s="29">
        <f t="shared" si="1"/>
        <v>1.5</v>
      </c>
    </row>
    <row r="12" spans="1:17" ht="15.75" x14ac:dyDescent="0.3">
      <c r="A12" s="18">
        <v>7</v>
      </c>
      <c r="B12" s="19" t="s">
        <v>36</v>
      </c>
      <c r="C12" s="20" t="s">
        <v>25</v>
      </c>
      <c r="D12" s="21">
        <v>270106</v>
      </c>
      <c r="E12" s="22" t="s">
        <v>37</v>
      </c>
      <c r="F12" s="23">
        <v>1000</v>
      </c>
      <c r="G12" s="24" t="s">
        <v>27</v>
      </c>
      <c r="H12" s="25">
        <v>43831</v>
      </c>
      <c r="I12" s="25">
        <v>44196</v>
      </c>
      <c r="J12" s="34" t="s">
        <v>38</v>
      </c>
      <c r="K12" s="27">
        <f>IF(G12="გამ. შესყიდვა",SUMIFS('[1]გამარტივებული შესყიდვა'!L:L,'[1]გამარტივებული შესყიდვა'!K:K,B12,'[1]გამარტივებული შესყიდვა'!N:N,"სახელმწიფო ბიუჯეტი",'[1]გამარტივებული შესყიდვა'!O:O,"270106"),0)</f>
        <v>84</v>
      </c>
      <c r="L12" s="27">
        <v>0</v>
      </c>
      <c r="M12" s="27">
        <f>IF(G12="კონს. ტენდერი",SUMIFS('[1]კონსოლიდირებული ტენდერი'!L:L,'[1]კონსოლიდირებული ტენდერი'!E:E,B12,'[1]კონსოლიდირებული ტენდერი'!N:N,"სახელმწიფო ბიუჯეტი",'[1]კონსოლიდირებული ტენდერი'!O:O,"270106"),0)</f>
        <v>0</v>
      </c>
      <c r="N12" s="27">
        <v>0</v>
      </c>
      <c r="O12" s="27">
        <f>IF(G12="ელ. ტენდერი",SUMIFS('[1]ელ. ტენდერი'!N:N,'[1]ელ. ტენდერი'!G:G,B12,'[1]ელ. ტენდერი'!Q:Q,"სახელმწიფო ბიუჯეტი",'[1]ელ. ტენდერი'!R:R,"270106"),0)</f>
        <v>0</v>
      </c>
      <c r="P12" s="27">
        <v>0</v>
      </c>
      <c r="Q12" s="29">
        <f t="shared" si="1"/>
        <v>916</v>
      </c>
    </row>
    <row r="13" spans="1:17" ht="15.75" x14ac:dyDescent="0.3">
      <c r="A13" s="18">
        <v>8</v>
      </c>
      <c r="B13" s="19" t="s">
        <v>36</v>
      </c>
      <c r="C13" s="20" t="s">
        <v>25</v>
      </c>
      <c r="D13" s="21">
        <v>2703030701</v>
      </c>
      <c r="E13" s="22" t="s">
        <v>37</v>
      </c>
      <c r="F13" s="23">
        <v>1000</v>
      </c>
      <c r="G13" s="24" t="s">
        <v>27</v>
      </c>
      <c r="H13" s="25">
        <v>43831</v>
      </c>
      <c r="I13" s="25">
        <v>44196</v>
      </c>
      <c r="J13" s="34" t="s">
        <v>38</v>
      </c>
      <c r="K13" s="27">
        <v>0</v>
      </c>
      <c r="L13" s="27">
        <f>IF(G13="გამ. შესყიდვა",SUMIFS('[1]გამარტივებული შესყიდვა'!L:L,'[1]გამარტივებული შესყიდვა'!K:K,B13,'[1]გამარტივებული შესყიდვა'!N:N,"სახელმწიფო ბიუჯეტი",'[1]გამარტივებული შესყიდვა'!O:O,"2703030701"),0)</f>
        <v>0</v>
      </c>
      <c r="M13" s="27">
        <v>0</v>
      </c>
      <c r="N13" s="27">
        <f>IF(G13="კონს. ტენდერი",SUMIFS('[1]კონსოლიდირებული ტენდერი'!L:L,'[1]კონსოლიდირებული ტენდერი'!E:E,B13,'[1]კონსოლიდირებული ტენდერი'!N:N,"სახელმწიფო ბიუჯეტი",'[1]კონსოლიდირებული ტენდერი'!O:O,"2703030701"),0)</f>
        <v>0</v>
      </c>
      <c r="O13" s="27">
        <v>0</v>
      </c>
      <c r="P13" s="27">
        <f>IF(G13="ელ. ტენდერი",SUMIFS('[1]ელ. ტენდერი'!N:N,'[1]ელ. ტენდერი'!G:G,B13,'[1]ელ. ტენდერი'!Q:Q,"სახელმწიფო ბიუჯეტი",'[1]ელ. ტენდერი'!R:R,"2703030701"),0)</f>
        <v>0</v>
      </c>
      <c r="Q13" s="29">
        <f t="shared" si="1"/>
        <v>1000</v>
      </c>
    </row>
    <row r="14" spans="1:17" ht="15.75" x14ac:dyDescent="0.3">
      <c r="A14" s="18">
        <v>9</v>
      </c>
      <c r="B14" s="19" t="s">
        <v>36</v>
      </c>
      <c r="C14" s="20" t="s">
        <v>25</v>
      </c>
      <c r="D14" s="21">
        <v>2703030701</v>
      </c>
      <c r="E14" s="22" t="s">
        <v>37</v>
      </c>
      <c r="F14" s="23">
        <f>20000+30000</f>
        <v>50000</v>
      </c>
      <c r="G14" s="24" t="s">
        <v>27</v>
      </c>
      <c r="H14" s="25">
        <v>43831</v>
      </c>
      <c r="I14" s="25">
        <v>44196</v>
      </c>
      <c r="J14" s="35" t="s">
        <v>39</v>
      </c>
      <c r="K14" s="27">
        <v>0</v>
      </c>
      <c r="L14" s="28">
        <v>0</v>
      </c>
      <c r="M14" s="27">
        <v>0</v>
      </c>
      <c r="N14" s="27">
        <f>IF(G14="კონს. ტენდერი",SUMIFS('[1]კონსოლიდირებული ტენდერი'!L:L,'[1]კონსოლიდირებული ტენდერი'!E:E,B14,'[1]კონსოლიდირებული ტენდერი'!N:N,"სახელმწიფო ბიუჯეტი",'[1]კონსოლიდირებული ტენდერი'!O:O,"2703030701"),0)</f>
        <v>0</v>
      </c>
      <c r="O14" s="27">
        <v>0</v>
      </c>
      <c r="P14" s="27">
        <f>IF(G14="ელ. ტენდერი",SUMIFS('[1]ელ. ტენდერი'!N:N,'[1]ელ. ტენდერი'!G:G,B14,'[1]ელ. ტენდერი'!Q:Q,"სახელმწიფო ბიუჯეტი",'[1]ელ. ტენდერი'!R:R,"2703030701"),0)</f>
        <v>0</v>
      </c>
      <c r="Q14" s="29">
        <f t="shared" si="1"/>
        <v>50000</v>
      </c>
    </row>
    <row r="15" spans="1:17" ht="15.75" x14ac:dyDescent="0.3">
      <c r="A15" s="18">
        <v>10</v>
      </c>
      <c r="B15" s="19" t="s">
        <v>40</v>
      </c>
      <c r="C15" s="20" t="s">
        <v>25</v>
      </c>
      <c r="D15" s="21">
        <v>270106</v>
      </c>
      <c r="E15" s="22" t="s">
        <v>41</v>
      </c>
      <c r="F15" s="23">
        <f>2500+65</f>
        <v>2565</v>
      </c>
      <c r="G15" s="24" t="s">
        <v>27</v>
      </c>
      <c r="H15" s="25">
        <v>43831</v>
      </c>
      <c r="I15" s="25">
        <v>44196</v>
      </c>
      <c r="J15" s="35" t="s">
        <v>29</v>
      </c>
      <c r="K15" s="28">
        <v>2565</v>
      </c>
      <c r="L15" s="27">
        <v>0</v>
      </c>
      <c r="M15" s="27">
        <f>IF(G15="კონს. ტენდერი",SUMIFS('[1]კონსოლიდირებული ტენდერი'!L:L,'[1]კონსოლიდირებული ტენდერი'!E:E,B15,'[1]კონსოლიდირებული ტენდერი'!N:N,"სახელმწიფო ბიუჯეტი",'[1]კონსოლიდირებული ტენდერი'!O:O,"270106"),0)</f>
        <v>0</v>
      </c>
      <c r="N15" s="27">
        <v>0</v>
      </c>
      <c r="O15" s="27">
        <f>IF(G15="ელ. ტენდერი",SUMIFS('[1]ელ. ტენდერი'!N:N,'[1]ელ. ტენდერი'!G:G,B15,'[1]ელ. ტენდერი'!Q:Q,"სახელმწიფო ბიუჯეტი",'[1]ელ. ტენდერი'!R:R,"270106"),0)</f>
        <v>0</v>
      </c>
      <c r="P15" s="27">
        <v>0</v>
      </c>
      <c r="Q15" s="29">
        <f t="shared" si="1"/>
        <v>0</v>
      </c>
    </row>
    <row r="16" spans="1:17" ht="15.75" x14ac:dyDescent="0.3">
      <c r="A16" s="18">
        <v>11</v>
      </c>
      <c r="B16" s="19" t="s">
        <v>40</v>
      </c>
      <c r="C16" s="20" t="s">
        <v>25</v>
      </c>
      <c r="D16" s="21">
        <v>270106</v>
      </c>
      <c r="E16" s="22" t="s">
        <v>41</v>
      </c>
      <c r="F16" s="23">
        <v>92</v>
      </c>
      <c r="G16" s="24" t="s">
        <v>27</v>
      </c>
      <c r="H16" s="25">
        <v>43831</v>
      </c>
      <c r="I16" s="25">
        <v>44196</v>
      </c>
      <c r="J16" s="35" t="s">
        <v>38</v>
      </c>
      <c r="K16" s="28">
        <v>91.8</v>
      </c>
      <c r="L16" s="27">
        <v>0</v>
      </c>
      <c r="M16" s="27">
        <f>IF(G16="კონს. ტენდერი",SUMIFS('[1]კონსოლიდირებული ტენდერი'!L:L,'[1]კონსოლიდირებული ტენდერი'!E:E,B16,'[1]კონსოლიდირებული ტენდერი'!N:N,"სახელმწიფო ბიუჯეტი",'[1]კონსოლიდირებული ტენდერი'!O:O,"270106"),0)</f>
        <v>0</v>
      </c>
      <c r="N16" s="27">
        <v>0</v>
      </c>
      <c r="O16" s="27">
        <f>IF(G16="ელ. ტენდერი",SUMIFS('[1]ელ. ტენდერი'!N:N,'[1]ელ. ტენდერი'!G:G,B16,'[1]ელ. ტენდერი'!Q:Q,"სახელმწიფო ბიუჯეტი",'[1]ელ. ტენდერი'!R:R,"270106"),0)</f>
        <v>0</v>
      </c>
      <c r="P16" s="27">
        <v>0</v>
      </c>
      <c r="Q16" s="29">
        <f t="shared" si="1"/>
        <v>0.20000000000000284</v>
      </c>
    </row>
    <row r="17" spans="1:17" ht="15.75" x14ac:dyDescent="0.3">
      <c r="A17" s="18">
        <v>12</v>
      </c>
      <c r="B17" s="19" t="s">
        <v>42</v>
      </c>
      <c r="C17" s="20" t="s">
        <v>25</v>
      </c>
      <c r="D17" s="21">
        <v>2703030701</v>
      </c>
      <c r="E17" s="22" t="s">
        <v>43</v>
      </c>
      <c r="F17" s="23">
        <f>1500000+500000-58000-87000</f>
        <v>1855000</v>
      </c>
      <c r="G17" s="24" t="s">
        <v>44</v>
      </c>
      <c r="H17" s="25">
        <v>43831</v>
      </c>
      <c r="I17" s="25">
        <v>44196</v>
      </c>
      <c r="J17" s="32"/>
      <c r="K17" s="27">
        <v>0</v>
      </c>
      <c r="L17" s="27">
        <f>IF(G17="გამ. შესყიდვა",SUMIFS('[1]გამარტივებული შესყიდვა'!L:L,'[1]გამარტივებული შესყიდვა'!K:K,B17,'[1]გამარტივებული შესყიდვა'!N:N,"სახელმწიფო ბიუჯეტი",'[1]გამარტივებული შესყიდვა'!O:O,"2703030701"),0)</f>
        <v>0</v>
      </c>
      <c r="M17" s="27">
        <v>0</v>
      </c>
      <c r="N17" s="27">
        <f>IF(G17="კონს. ტენდერი",SUMIFS('[1]კონსოლიდირებული ტენდერი'!L:L,'[1]კონსოლიდირებული ტენდერი'!E:E,B17,'[1]კონსოლიდირებული ტენდერი'!N:N,"სახელმწიფო ბიუჯეტი",'[1]კონსოლიდირებული ტენდერი'!O:O,"2703030701"),0)</f>
        <v>0</v>
      </c>
      <c r="O17" s="27">
        <v>0</v>
      </c>
      <c r="P17" s="27">
        <f>IF(G17="ელ. ტენდერი",SUMIFS('[1]ელ. ტენდერი'!N:N,'[1]ელ. ტენდერი'!G:G,B17,'[1]ელ. ტენდერი'!Q:Q,"სახელმწიფო ბიუჯეტი",'[1]ელ. ტენდერი'!R:R,"2703030701"),0)</f>
        <v>0</v>
      </c>
      <c r="Q17" s="29">
        <f t="shared" si="1"/>
        <v>1855000</v>
      </c>
    </row>
    <row r="18" spans="1:17" ht="15.75" x14ac:dyDescent="0.3">
      <c r="A18" s="18">
        <v>13</v>
      </c>
      <c r="B18" s="19" t="s">
        <v>45</v>
      </c>
      <c r="C18" s="20" t="s">
        <v>25</v>
      </c>
      <c r="D18" s="21">
        <v>2703030701</v>
      </c>
      <c r="E18" s="22" t="s">
        <v>46</v>
      </c>
      <c r="F18" s="23">
        <f>500+600</f>
        <v>1100</v>
      </c>
      <c r="G18" s="24" t="s">
        <v>27</v>
      </c>
      <c r="H18" s="25">
        <v>43831</v>
      </c>
      <c r="I18" s="25">
        <v>44196</v>
      </c>
      <c r="J18" s="32"/>
      <c r="K18" s="27">
        <v>0</v>
      </c>
      <c r="L18" s="27">
        <f>IF(G18="გამ. შესყიდვა",SUMIFS('[1]გამარტივებული შესყიდვა'!L:L,'[1]გამარტივებული შესყიდვა'!K:K,B18,'[1]გამარტივებული შესყიდვა'!N:N,"სახელმწიფო ბიუჯეტი",'[1]გამარტივებული შესყიდვა'!O:O,"2703030701"),0)</f>
        <v>1080</v>
      </c>
      <c r="M18" s="27">
        <v>0</v>
      </c>
      <c r="N18" s="27">
        <f>IF(G18="კონს. ტენდერი",SUMIFS('[1]კონსოლიდირებული ტენდერი'!L:L,'[1]კონსოლიდირებული ტენდერი'!E:E,B18,'[1]კონსოლიდირებული ტენდერი'!N:N,"სახელმწიფო ბიუჯეტი",'[1]კონსოლიდირებული ტენდერი'!O:O,"2703030701"),0)</f>
        <v>0</v>
      </c>
      <c r="O18" s="27">
        <v>0</v>
      </c>
      <c r="P18" s="27">
        <f>IF(G18="ელ. ტენდერი",SUMIFS('[1]ელ. ტენდერი'!N:N,'[1]ელ. ტენდერი'!G:G,B18,'[1]ელ. ტენდერი'!Q:Q,"სახელმწიფო ბიუჯეტი",'[1]ელ. ტენდერი'!R:R,"2703030701"),0)</f>
        <v>0</v>
      </c>
      <c r="Q18" s="29">
        <f t="shared" si="1"/>
        <v>20</v>
      </c>
    </row>
    <row r="19" spans="1:17" ht="15.75" x14ac:dyDescent="0.3">
      <c r="A19" s="18">
        <v>14</v>
      </c>
      <c r="B19" s="19" t="s">
        <v>47</v>
      </c>
      <c r="C19" s="20" t="s">
        <v>25</v>
      </c>
      <c r="D19" s="21">
        <v>2703030701</v>
      </c>
      <c r="E19" s="22" t="s">
        <v>48</v>
      </c>
      <c r="F19" s="23">
        <f>1000+500</f>
        <v>1500</v>
      </c>
      <c r="G19" s="24" t="s">
        <v>27</v>
      </c>
      <c r="H19" s="25">
        <v>43831</v>
      </c>
      <c r="I19" s="25">
        <v>44196</v>
      </c>
      <c r="J19" s="32"/>
      <c r="K19" s="27">
        <v>0</v>
      </c>
      <c r="L19" s="27">
        <f>IF(G19="გამ. შესყიდვა",SUMIFS('[1]გამარტივებული შესყიდვა'!L:L,'[1]გამარტივებული შესყიდვა'!K:K,B19,'[1]გამარტივებული შესყიდვა'!N:N,"სახელმწიფო ბიუჯეტი",'[1]გამარტივებული შესყიდვა'!O:O,"2703030701"),0)</f>
        <v>0</v>
      </c>
      <c r="M19" s="27">
        <v>0</v>
      </c>
      <c r="N19" s="27">
        <f>IF(G19="კონს. ტენდერი",SUMIFS('[1]კონსოლიდირებული ტენდერი'!L:L,'[1]კონსოლიდირებული ტენდერი'!E:E,B19,'[1]კონსოლიდირებული ტენდერი'!N:N,"სახელმწიფო ბიუჯეტი",'[1]კონსოლიდირებული ტენდერი'!O:O,"2703030701"),0)</f>
        <v>0</v>
      </c>
      <c r="O19" s="27">
        <v>0</v>
      </c>
      <c r="P19" s="27">
        <f>IF(G19="ელ. ტენდერი",SUMIFS('[1]ელ. ტენდერი'!N:N,'[1]ელ. ტენდერი'!G:G,B19,'[1]ელ. ტენდერი'!Q:Q,"სახელმწიფო ბიუჯეტი",'[1]ელ. ტენდერი'!R:R,"2703030701"),0)</f>
        <v>0</v>
      </c>
      <c r="Q19" s="29">
        <f t="shared" si="1"/>
        <v>1500</v>
      </c>
    </row>
    <row r="20" spans="1:17" ht="15.75" x14ac:dyDescent="0.3">
      <c r="A20" s="18">
        <v>15</v>
      </c>
      <c r="B20" s="19" t="s">
        <v>49</v>
      </c>
      <c r="C20" s="20" t="s">
        <v>25</v>
      </c>
      <c r="D20" s="21">
        <v>2703030701</v>
      </c>
      <c r="E20" s="22" t="s">
        <v>50</v>
      </c>
      <c r="F20" s="23">
        <v>500</v>
      </c>
      <c r="G20" s="24" t="s">
        <v>27</v>
      </c>
      <c r="H20" s="25">
        <v>43831</v>
      </c>
      <c r="I20" s="25">
        <v>44196</v>
      </c>
      <c r="J20" s="32"/>
      <c r="K20" s="27">
        <v>0</v>
      </c>
      <c r="L20" s="27">
        <f>IF(G20="გამ. შესყიდვა",SUMIFS('[1]გამარტივებული შესყიდვა'!L:L,'[1]გამარტივებული შესყიდვა'!K:K,B20,'[1]გამარტივებული შესყიდვა'!N:N,"სახელმწიფო ბიუჯეტი",'[1]გამარტივებული შესყიდვა'!O:O,"2703030701"),0)</f>
        <v>0</v>
      </c>
      <c r="M20" s="27">
        <v>0</v>
      </c>
      <c r="N20" s="27">
        <f>IF(G20="კონს. ტენდერი",SUMIFS('[1]კონსოლიდირებული ტენდერი'!L:L,'[1]კონსოლიდირებული ტენდერი'!E:E,B20,'[1]კონსოლიდირებული ტენდერი'!N:N,"სახელმწიფო ბიუჯეტი",'[1]კონსოლიდირებული ტენდერი'!O:O,"2703030701"),0)</f>
        <v>0</v>
      </c>
      <c r="O20" s="27">
        <v>0</v>
      </c>
      <c r="P20" s="27">
        <f>IF(G20="ელ. ტენდერი",SUMIFS('[1]ელ. ტენდერი'!N:N,'[1]ელ. ტენდერი'!G:G,B20,'[1]ელ. ტენდერი'!Q:Q,"სახელმწიფო ბიუჯეტი",'[1]ელ. ტენდერი'!R:R,"2703030701"),0)</f>
        <v>0</v>
      </c>
      <c r="Q20" s="29">
        <f t="shared" si="1"/>
        <v>500</v>
      </c>
    </row>
    <row r="21" spans="1:17" ht="15.75" x14ac:dyDescent="0.3">
      <c r="A21" s="18">
        <v>16</v>
      </c>
      <c r="B21" s="19" t="s">
        <v>51</v>
      </c>
      <c r="C21" s="20" t="s">
        <v>25</v>
      </c>
      <c r="D21" s="21">
        <v>2703030701</v>
      </c>
      <c r="E21" s="22" t="s">
        <v>52</v>
      </c>
      <c r="F21" s="23">
        <f>600+2500+1890</f>
        <v>4990</v>
      </c>
      <c r="G21" s="24" t="s">
        <v>27</v>
      </c>
      <c r="H21" s="25">
        <v>43831</v>
      </c>
      <c r="I21" s="25">
        <v>44196</v>
      </c>
      <c r="J21" s="32"/>
      <c r="K21" s="27">
        <v>0</v>
      </c>
      <c r="L21" s="27">
        <f>IF(G21="გამ. შესყიდვა",SUMIFS('[1]გამარტივებული შესყიდვა'!L:L,'[1]გამარტივებული შესყიდვა'!K:K,B21,'[1]გამარტივებული შესყიდვა'!N:N,"სახელმწიფო ბიუჯეტი",'[1]გამარტივებული შესყიდვა'!O:O,"2703030701"),0)</f>
        <v>4989</v>
      </c>
      <c r="M21" s="27">
        <v>0</v>
      </c>
      <c r="N21" s="27">
        <f>IF(G21="კონს. ტენდერი",SUMIFS('[1]კონსოლიდირებული ტენდერი'!L:L,'[1]კონსოლიდირებული ტენდერი'!E:E,B21,'[1]კონსოლიდირებული ტენდერი'!N:N,"სახელმწიფო ბიუჯეტი",'[1]კონსოლიდირებული ტენდერი'!O:O,"2703030701"),0)</f>
        <v>0</v>
      </c>
      <c r="O21" s="27">
        <v>0</v>
      </c>
      <c r="P21" s="27">
        <f>IF(G21="ელ. ტენდერი",SUMIFS('[1]ელ. ტენდერი'!N:N,'[1]ელ. ტენდერი'!G:G,B21,'[1]ელ. ტენდერი'!Q:Q,"სახელმწიფო ბიუჯეტი",'[1]ელ. ტენდერი'!R:R,"2703030701"),0)</f>
        <v>0</v>
      </c>
      <c r="Q21" s="29">
        <f t="shared" si="1"/>
        <v>1</v>
      </c>
    </row>
    <row r="22" spans="1:17" ht="15.75" x14ac:dyDescent="0.3">
      <c r="A22" s="18">
        <v>17</v>
      </c>
      <c r="B22" s="19" t="s">
        <v>53</v>
      </c>
      <c r="C22" s="20" t="s">
        <v>25</v>
      </c>
      <c r="D22" s="21">
        <v>270106</v>
      </c>
      <c r="E22" s="22" t="s">
        <v>54</v>
      </c>
      <c r="F22" s="23">
        <v>1000</v>
      </c>
      <c r="G22" s="24" t="s">
        <v>27</v>
      </c>
      <c r="H22" s="25">
        <v>43831</v>
      </c>
      <c r="I22" s="25">
        <v>44196</v>
      </c>
      <c r="J22" s="32"/>
      <c r="K22" s="27">
        <f>IF(G22="გამ. შესყიდვა",SUMIFS('[1]გამარტივებული შესყიდვა'!L:L,'[1]გამარტივებული შესყიდვა'!K:K,B22,'[1]გამარტივებული შესყიდვა'!N:N,"სახელმწიფო ბიუჯეტი",'[1]გამარტივებული შესყიდვა'!O:O,"270106"),0)</f>
        <v>72</v>
      </c>
      <c r="L22" s="27">
        <v>0</v>
      </c>
      <c r="M22" s="27">
        <f>IF(G22="კონს. ტენდერი",SUMIFS('[1]კონსოლიდირებული ტენდერი'!L:L,'[1]კონსოლიდირებული ტენდერი'!E:E,B22,'[1]კონსოლიდირებული ტენდერი'!N:N,"სახელმწიფო ბიუჯეტი",'[1]კონსოლიდირებული ტენდერი'!O:O,"270106"),0)</f>
        <v>0</v>
      </c>
      <c r="N22" s="27">
        <v>0</v>
      </c>
      <c r="O22" s="27">
        <f>IF(G22="ელ. ტენდერი",SUMIFS('[1]ელ. ტენდერი'!N:N,'[1]ელ. ტენდერი'!G:G,B22,'[1]ელ. ტენდერი'!Q:Q,"სახელმწიფო ბიუჯეტი",'[1]ელ. ტენდერი'!R:R,"270106"),0)</f>
        <v>0</v>
      </c>
      <c r="P22" s="27">
        <v>0</v>
      </c>
      <c r="Q22" s="29">
        <f t="shared" si="1"/>
        <v>928</v>
      </c>
    </row>
    <row r="23" spans="1:17" ht="15.75" x14ac:dyDescent="0.3">
      <c r="A23" s="18">
        <v>18</v>
      </c>
      <c r="B23" s="19" t="s">
        <v>55</v>
      </c>
      <c r="C23" s="20" t="s">
        <v>25</v>
      </c>
      <c r="D23" s="21">
        <v>270106</v>
      </c>
      <c r="E23" s="22" t="s">
        <v>56</v>
      </c>
      <c r="F23" s="23">
        <v>2990</v>
      </c>
      <c r="G23" s="24" t="s">
        <v>27</v>
      </c>
      <c r="H23" s="25">
        <v>43831</v>
      </c>
      <c r="I23" s="25">
        <v>44196</v>
      </c>
      <c r="J23" s="32"/>
      <c r="K23" s="27">
        <f>IF(G23="გამ. შესყიდვა",SUMIFS('[1]გამარტივებული შესყიდვა'!L:L,'[1]გამარტივებული შესყიდვა'!K:K,B23,'[1]გამარტივებული შესყიდვა'!N:N,"სახელმწიფო ბიუჯეტი",'[1]გამარტივებული შესყიდვა'!O:O,"270106"),0)</f>
        <v>464.53</v>
      </c>
      <c r="L23" s="27">
        <v>0</v>
      </c>
      <c r="M23" s="27">
        <f>IF(G23="კონს. ტენდერი",SUMIFS('[1]კონსოლიდირებული ტენდერი'!L:L,'[1]კონსოლიდირებული ტენდერი'!E:E,B23,'[1]კონსოლიდირებული ტენდერი'!N:N,"სახელმწიფო ბიუჯეტი",'[1]კონსოლიდირებული ტენდერი'!O:O,"270106"),0)</f>
        <v>0</v>
      </c>
      <c r="N23" s="27">
        <v>0</v>
      </c>
      <c r="O23" s="27">
        <f>IF(G23="ელ. ტენდერი",SUMIFS('[1]ელ. ტენდერი'!N:N,'[1]ელ. ტენდერი'!G:G,B23,'[1]ელ. ტენდერი'!Q:Q,"სახელმწიფო ბიუჯეტი",'[1]ელ. ტენდერი'!R:R,"270106"),0)</f>
        <v>0</v>
      </c>
      <c r="P23" s="27">
        <v>0</v>
      </c>
      <c r="Q23" s="29">
        <f t="shared" si="1"/>
        <v>2525.4700000000003</v>
      </c>
    </row>
    <row r="24" spans="1:17" ht="15.75" x14ac:dyDescent="0.3">
      <c r="A24" s="18">
        <v>19</v>
      </c>
      <c r="B24" s="19" t="s">
        <v>57</v>
      </c>
      <c r="C24" s="20" t="s">
        <v>25</v>
      </c>
      <c r="D24" s="21">
        <v>2703030701</v>
      </c>
      <c r="E24" s="22" t="s">
        <v>58</v>
      </c>
      <c r="F24" s="23">
        <f>2990+610</f>
        <v>3600</v>
      </c>
      <c r="G24" s="24" t="s">
        <v>27</v>
      </c>
      <c r="H24" s="25">
        <v>43831</v>
      </c>
      <c r="I24" s="25">
        <v>44196</v>
      </c>
      <c r="J24" s="32"/>
      <c r="K24" s="27">
        <v>0</v>
      </c>
      <c r="L24" s="28">
        <v>0</v>
      </c>
      <c r="M24" s="27">
        <v>0</v>
      </c>
      <c r="N24" s="27">
        <f>IF(G24="კონს. ტენდერი",SUMIFS('[1]კონსოლიდირებული ტენდერი'!L:L,'[1]კონსოლიდირებული ტენდერი'!E:E,B24,'[1]კონსოლიდირებული ტენდერი'!N:N,"სახელმწიფო ბიუჯეტი",'[1]კონსოლიდირებული ტენდერი'!O:O,"2703030701"),0)</f>
        <v>0</v>
      </c>
      <c r="O24" s="27">
        <v>0</v>
      </c>
      <c r="P24" s="27">
        <f>IF(G24="ელ. ტენდერი",SUMIFS('[1]ელ. ტენდერი'!N:N,'[1]ელ. ტენდერი'!G:G,B24,'[1]ელ. ტენდერი'!Q:Q,"სახელმწიფო ბიუჯეტი",'[1]ელ. ტენდერი'!R:R,"2703030701"),0)</f>
        <v>0</v>
      </c>
      <c r="Q24" s="29">
        <f t="shared" si="1"/>
        <v>3600</v>
      </c>
    </row>
    <row r="25" spans="1:17" ht="15.75" x14ac:dyDescent="0.3">
      <c r="A25" s="18">
        <v>20</v>
      </c>
      <c r="B25" s="19" t="s">
        <v>57</v>
      </c>
      <c r="C25" s="20" t="s">
        <v>25</v>
      </c>
      <c r="D25" s="21">
        <v>270106</v>
      </c>
      <c r="E25" s="22" t="s">
        <v>58</v>
      </c>
      <c r="F25" s="23">
        <f>2000-610</f>
        <v>1390</v>
      </c>
      <c r="G25" s="24" t="s">
        <v>27</v>
      </c>
      <c r="H25" s="25">
        <v>43831</v>
      </c>
      <c r="I25" s="25">
        <v>44196</v>
      </c>
      <c r="J25" s="32"/>
      <c r="K25" s="27">
        <f>IF(G25="გამ. შესყიდვა",SUMIFS('[1]გამარტივებული შესყიდვა'!L:L,'[1]გამარტივებული შესყიდვა'!K:K,B25,'[1]გამარტივებული შესყიდვა'!N:N,"სახელმწიფო ბიუჯეტი",'[1]გამარტივებული შესყიდვა'!O:O,"270106"),0)</f>
        <v>400</v>
      </c>
      <c r="L25" s="27">
        <v>0</v>
      </c>
      <c r="M25" s="27">
        <f>IF(G25="კონს. ტენდერი",SUMIFS('[1]კონსოლიდირებული ტენდერი'!L:L,'[1]კონსოლიდირებული ტენდერი'!E:E,B25,'[1]კონსოლიდირებული ტენდერი'!N:N,"სახელმწიფო ბიუჯეტი",'[1]კონსოლიდირებული ტენდერი'!O:O,"270106"),0)</f>
        <v>0</v>
      </c>
      <c r="N25" s="27">
        <v>0</v>
      </c>
      <c r="O25" s="27">
        <f>IF(G25="ელ. ტენდერი",SUMIFS('[1]ელ. ტენდერი'!N:N,'[1]ელ. ტენდერი'!G:G,B25,'[1]ელ. ტენდერი'!Q:Q,"სახელმწიფო ბიუჯეტი",'[1]ელ. ტენდერი'!R:R,"270106"),0)</f>
        <v>0</v>
      </c>
      <c r="P25" s="27">
        <v>0</v>
      </c>
      <c r="Q25" s="29">
        <f t="shared" si="1"/>
        <v>990</v>
      </c>
    </row>
    <row r="26" spans="1:17" ht="15.75" x14ac:dyDescent="0.3">
      <c r="A26" s="18">
        <v>21</v>
      </c>
      <c r="B26" s="19" t="s">
        <v>57</v>
      </c>
      <c r="C26" s="20" t="s">
        <v>25</v>
      </c>
      <c r="D26" s="21">
        <v>2703030701</v>
      </c>
      <c r="E26" s="22" t="s">
        <v>58</v>
      </c>
      <c r="F26" s="23">
        <v>350</v>
      </c>
      <c r="G26" s="24" t="s">
        <v>27</v>
      </c>
      <c r="H26" s="25">
        <v>44059</v>
      </c>
      <c r="I26" s="25">
        <v>44196</v>
      </c>
      <c r="J26" s="32" t="s">
        <v>59</v>
      </c>
      <c r="K26" s="27">
        <v>0</v>
      </c>
      <c r="L26" s="28">
        <f>IF(G26="გამ. შესყიდვა",SUMIFS('[1]გამარტივებული შესყიდვა'!L:L,'[1]გამარტივებული შესყიდვა'!K:K,B26,'[1]გამარტივებული შესყიდვა'!N:N,"სახელმწიფო ბიუჯეტი",'[1]გამარტივებული შესყიდვა'!O:O,"2703030701"),0)</f>
        <v>349</v>
      </c>
      <c r="M26" s="27">
        <v>0</v>
      </c>
      <c r="N26" s="27">
        <f>IF(G26="კონს. ტენდერი",SUMIFS('[1]კონსოლიდირებული ტენდერი'!L:L,'[1]კონსოლიდირებული ტენდერი'!E:E,B26,'[1]კონსოლიდირებული ტენდერი'!N:N,"სახელმწიფო ბიუჯეტი",'[1]კონსოლიდირებული ტენდერი'!O:O,"2703030701"),0)</f>
        <v>0</v>
      </c>
      <c r="O26" s="27">
        <v>0</v>
      </c>
      <c r="P26" s="27">
        <f>IF(G26="ელ. ტენდერი",SUMIFS('[1]ელ. ტენდერი'!N:N,'[1]ელ. ტენდერი'!G:G,B26,'[1]ელ. ტენდერი'!Q:Q,"სახელმწიფო ბიუჯეტი",'[1]ელ. ტენდერი'!R:R,"2703030701"),0)</f>
        <v>0</v>
      </c>
      <c r="Q26" s="29">
        <f t="shared" si="1"/>
        <v>1</v>
      </c>
    </row>
    <row r="27" spans="1:17" ht="15.75" x14ac:dyDescent="0.3">
      <c r="A27" s="18">
        <v>22</v>
      </c>
      <c r="B27" s="19" t="s">
        <v>60</v>
      </c>
      <c r="C27" s="20" t="s">
        <v>25</v>
      </c>
      <c r="D27" s="21">
        <v>2703030701</v>
      </c>
      <c r="E27" s="22" t="s">
        <v>61</v>
      </c>
      <c r="F27" s="23">
        <f>2000+700+2290</f>
        <v>4990</v>
      </c>
      <c r="G27" s="24" t="s">
        <v>27</v>
      </c>
      <c r="H27" s="25">
        <v>43831</v>
      </c>
      <c r="I27" s="25">
        <v>44196</v>
      </c>
      <c r="J27" s="32"/>
      <c r="K27" s="27">
        <v>0</v>
      </c>
      <c r="L27" s="27">
        <f>IF(G27="გამ. შესყიდვა",SUMIFS('[1]გამარტივებული შესყიდვა'!L:L,'[1]გამარტივებული შესყიდვა'!K:K,B27,'[1]გამარტივებული შესყიდვა'!N:N,"სახელმწიფო ბიუჯეტი",'[1]გამარტივებული შესყიდვა'!O:O,"2703030701"),0)</f>
        <v>0</v>
      </c>
      <c r="M27" s="27">
        <v>0</v>
      </c>
      <c r="N27" s="27">
        <f>IF(G27="კონს. ტენდერი",SUMIFS('[1]კონსოლიდირებული ტენდერი'!L:L,'[1]კონსოლიდირებული ტენდერი'!E:E,B27,'[1]კონსოლიდირებული ტენდერი'!N:N,"სახელმწიფო ბიუჯეტი",'[1]კონსოლიდირებული ტენდერი'!O:O,"2703030701"),0)</f>
        <v>0</v>
      </c>
      <c r="O27" s="27">
        <v>0</v>
      </c>
      <c r="P27" s="27">
        <f>IF(G27="ელ. ტენდერი",SUMIFS('[1]ელ. ტენდერი'!N:N,'[1]ელ. ტენდერი'!G:G,B27,'[1]ელ. ტენდერი'!Q:Q,"სახელმწიფო ბიუჯეტი",'[1]ელ. ტენდერი'!R:R,"2703030701"),0)</f>
        <v>0</v>
      </c>
      <c r="Q27" s="29">
        <f t="shared" si="1"/>
        <v>4990</v>
      </c>
    </row>
    <row r="28" spans="1:17" ht="15.75" x14ac:dyDescent="0.3">
      <c r="A28" s="18">
        <v>23</v>
      </c>
      <c r="B28" s="19" t="s">
        <v>62</v>
      </c>
      <c r="C28" s="20" t="s">
        <v>25</v>
      </c>
      <c r="D28" s="21">
        <v>2703030701</v>
      </c>
      <c r="E28" s="22" t="s">
        <v>63</v>
      </c>
      <c r="F28" s="23">
        <f>55000+3530+160000-6500+6500</f>
        <v>218530</v>
      </c>
      <c r="G28" s="24" t="s">
        <v>44</v>
      </c>
      <c r="H28" s="25">
        <v>43831</v>
      </c>
      <c r="I28" s="25">
        <v>44196</v>
      </c>
      <c r="J28" s="32"/>
      <c r="K28" s="27">
        <v>0</v>
      </c>
      <c r="L28" s="27">
        <f>IF(G28="გამ. შესყიდვა",SUMIFS('[1]გამარტივებული შესყიდვა'!L:L,'[1]გამარტივებული შესყიდვა'!K:K,B28,'[1]გამარტივებული შესყიდვა'!N:N,"სახელმწიფო ბიუჯეტი",'[1]გამარტივებული შესყიდვა'!O:O,"2703030701"),0)</f>
        <v>0</v>
      </c>
      <c r="M28" s="27">
        <v>0</v>
      </c>
      <c r="N28" s="27">
        <f>IF(G28="კონს. ტენდერი",SUMIFS('[1]კონსოლიდირებული ტენდერი'!L:L,'[1]კონსოლიდირებული ტენდერი'!E:E,B28,'[1]კონსოლიდირებული ტენდერი'!N:N,"სახელმწიფო ბიუჯეტი",'[1]კონსოლიდირებული ტენდერი'!O:O,"2703030701"),0)</f>
        <v>0</v>
      </c>
      <c r="O28" s="27">
        <v>0</v>
      </c>
      <c r="P28" s="27">
        <f>IF(G28="ელ. ტენდერი",SUMIFS('[1]ელ. ტენდერი'!N:N,'[1]ელ. ტენდერი'!G:G,B28,'[1]ელ. ტენდერი'!Q:Q,"სახელმწიფო ბიუჯეტი",'[1]ელ. ტენდერი'!R:R,"2703030701"),0)</f>
        <v>202800</v>
      </c>
      <c r="Q28" s="29">
        <f t="shared" si="1"/>
        <v>15730</v>
      </c>
    </row>
    <row r="29" spans="1:17" ht="15.75" x14ac:dyDescent="0.3">
      <c r="A29" s="18">
        <v>24</v>
      </c>
      <c r="B29" s="19" t="s">
        <v>62</v>
      </c>
      <c r="C29" s="20" t="s">
        <v>25</v>
      </c>
      <c r="D29" s="21">
        <v>2703030701</v>
      </c>
      <c r="E29" s="22" t="s">
        <v>63</v>
      </c>
      <c r="F29" s="23">
        <f>6500-6500</f>
        <v>0</v>
      </c>
      <c r="G29" s="24" t="s">
        <v>27</v>
      </c>
      <c r="H29" s="25">
        <v>43840</v>
      </c>
      <c r="I29" s="25">
        <v>44196</v>
      </c>
      <c r="J29" s="32"/>
      <c r="K29" s="27">
        <v>0</v>
      </c>
      <c r="L29" s="27">
        <f>IF(G29="გამ. შესყიდვა",SUMIFS('[1]გამარტივებული შესყიდვა'!L:L,'[1]გამარტივებული შესყიდვა'!K:K,B29,'[1]გამარტივებული შესყიდვა'!N:N,"სახელმწიფო ბიუჯეტი",'[1]გამარტივებული შესყიდვა'!O:O,"2703030701"),0)</f>
        <v>0</v>
      </c>
      <c r="M29" s="27">
        <v>0</v>
      </c>
      <c r="N29" s="27">
        <f>IF(G29="კონს. ტენდერი",SUMIFS('[1]კონსოლიდირებული ტენდერი'!L:L,'[1]კონსოლიდირებული ტენდერი'!E:E,B29,'[1]კონსოლიდირებული ტენდერი'!N:N,"სახელმწიფო ბიუჯეტი",'[1]კონსოლიდირებული ტენდერი'!O:O,"2703030701"),0)</f>
        <v>0</v>
      </c>
      <c r="O29" s="27">
        <v>0</v>
      </c>
      <c r="P29" s="27">
        <f>IF(G29="ელ. ტენდერი",SUMIFS('[1]ელ. ტენდერი'!N:N,'[1]ელ. ტენდერი'!G:G,B29,'[1]ელ. ტენდერი'!Q:Q,"სახელმწიფო ბიუჯეტი",'[1]ელ. ტენდერი'!R:R,"2703030701"),0)</f>
        <v>0</v>
      </c>
      <c r="Q29" s="29">
        <f t="shared" si="1"/>
        <v>0</v>
      </c>
    </row>
    <row r="30" spans="1:17" ht="15.75" x14ac:dyDescent="0.3">
      <c r="A30" s="18">
        <v>25</v>
      </c>
      <c r="B30" s="19" t="s">
        <v>64</v>
      </c>
      <c r="C30" s="20" t="s">
        <v>25</v>
      </c>
      <c r="D30" s="21">
        <v>2703030701</v>
      </c>
      <c r="E30" s="22" t="s">
        <v>65</v>
      </c>
      <c r="F30" s="23">
        <f>10000+10000-20000</f>
        <v>0</v>
      </c>
      <c r="G30" s="24" t="s">
        <v>44</v>
      </c>
      <c r="H30" s="25">
        <v>43831</v>
      </c>
      <c r="I30" s="25">
        <v>44196</v>
      </c>
      <c r="J30" s="32"/>
      <c r="K30" s="27">
        <v>0</v>
      </c>
      <c r="L30" s="27">
        <f>IF(G30="გამ. შესყიდვა",SUMIFS('[1]გამარტივებული შესყიდვა'!L:L,'[1]გამარტივებული შესყიდვა'!K:K,B30,'[1]გამარტივებული შესყიდვა'!N:N,"სახელმწიფო ბიუჯეტი",'[1]გამარტივებული შესყიდვა'!O:O,"2703030701"),0)</f>
        <v>0</v>
      </c>
      <c r="M30" s="27">
        <v>0</v>
      </c>
      <c r="N30" s="27">
        <f>IF(G30="კონს. ტენდერი",SUMIFS('[1]კონსოლიდირებული ტენდერი'!L:L,'[1]კონსოლიდირებული ტენდერი'!E:E,B30,'[1]კონსოლიდირებული ტენდერი'!N:N,"სახელმწიფო ბიუჯეტი",'[1]კონსოლიდირებული ტენდერი'!O:O,"2703030701"),0)</f>
        <v>0</v>
      </c>
      <c r="O30" s="27">
        <v>0</v>
      </c>
      <c r="P30" s="27">
        <f>IF(G30="ელ. ტენდერი",SUMIFS('[1]ელ. ტენდერი'!N:N,'[1]ელ. ტენდერი'!G:G,B30,'[1]ელ. ტენდერი'!Q:Q,"სახელმწიფო ბიუჯეტი",'[1]ელ. ტენდერი'!R:R,"2703030701"),0)</f>
        <v>0</v>
      </c>
      <c r="Q30" s="29">
        <f t="shared" si="1"/>
        <v>0</v>
      </c>
    </row>
    <row r="31" spans="1:17" ht="15.75" x14ac:dyDescent="0.3">
      <c r="A31" s="18">
        <v>26</v>
      </c>
      <c r="B31" s="19" t="s">
        <v>66</v>
      </c>
      <c r="C31" s="20" t="s">
        <v>25</v>
      </c>
      <c r="D31" s="21">
        <v>270106</v>
      </c>
      <c r="E31" s="22" t="s">
        <v>67</v>
      </c>
      <c r="F31" s="23">
        <f>500+300</f>
        <v>800</v>
      </c>
      <c r="G31" s="24" t="s">
        <v>27</v>
      </c>
      <c r="H31" s="25">
        <v>43831</v>
      </c>
      <c r="I31" s="25">
        <v>44196</v>
      </c>
      <c r="J31" s="32"/>
      <c r="K31" s="27">
        <f>IF(G31="გამ. შესყიდვა",SUMIFS('[1]გამარტივებული შესყიდვა'!L:L,'[1]გამარტივებული შესყიდვა'!K:K,B31,'[1]გამარტივებული შესყიდვა'!N:N,"სახელმწიფო ბიუჯეტი",'[1]გამარტივებული შესყიდვა'!O:O,"270106"),0)</f>
        <v>26</v>
      </c>
      <c r="L31" s="27">
        <v>0</v>
      </c>
      <c r="M31" s="27">
        <f>IF(G31="კონს. ტენდერი",SUMIFS('[1]კონსოლიდირებული ტენდერი'!L:L,'[1]კონსოლიდირებული ტენდერი'!E:E,B31,'[1]კონსოლიდირებული ტენდერი'!N:N,"სახელმწიფო ბიუჯეტი",'[1]კონსოლიდირებული ტენდერი'!O:O,"270106"),0)</f>
        <v>0</v>
      </c>
      <c r="N31" s="27">
        <v>0</v>
      </c>
      <c r="O31" s="27">
        <f>IF(G31="ელ. ტენდერი",SUMIFS('[1]ელ. ტენდერი'!N:N,'[1]ელ. ტენდერი'!G:G,B31,'[1]ელ. ტენდერი'!Q:Q,"სახელმწიფო ბიუჯეტი",'[1]ელ. ტენდერი'!R:R,"270106"),0)</f>
        <v>0</v>
      </c>
      <c r="P31" s="27">
        <v>0</v>
      </c>
      <c r="Q31" s="29">
        <f t="shared" si="1"/>
        <v>774</v>
      </c>
    </row>
    <row r="32" spans="1:17" ht="15.75" x14ac:dyDescent="0.3">
      <c r="A32" s="18">
        <v>27</v>
      </c>
      <c r="B32" s="19" t="s">
        <v>68</v>
      </c>
      <c r="C32" s="20" t="s">
        <v>25</v>
      </c>
      <c r="D32" s="21">
        <v>2703030701</v>
      </c>
      <c r="E32" s="22" t="s">
        <v>69</v>
      </c>
      <c r="F32" s="23">
        <f>22000+1000+5000+10000+64000-36680</f>
        <v>65320</v>
      </c>
      <c r="G32" s="24" t="s">
        <v>44</v>
      </c>
      <c r="H32" s="25">
        <v>43831</v>
      </c>
      <c r="I32" s="25">
        <v>44196</v>
      </c>
      <c r="J32" s="32"/>
      <c r="K32" s="27">
        <v>0</v>
      </c>
      <c r="L32" s="27">
        <f>IF(G32="გამ. შესყიდვა",SUMIFS('[1]გამარტივებული შესყიდვა'!L:L,'[1]გამარტივებული შესყიდვა'!K:K,B32,'[1]გამარტივებული შესყიდვა'!N:N,"სახელმწიფო ბიუჯეტი",'[1]გამარტივებული შესყიდვა'!O:O,"2703030701"),0)</f>
        <v>0</v>
      </c>
      <c r="M32" s="27">
        <v>0</v>
      </c>
      <c r="N32" s="27">
        <f>IF(G32="კონს. ტენდერი",SUMIFS('[1]კონსოლიდირებული ტენდერი'!L:L,'[1]კონსოლიდირებული ტენდერი'!E:E,B32,'[1]კონსოლიდირებული ტენდერი'!N:N,"სახელმწიფო ბიუჯეტი",'[1]კონსოლიდირებული ტენდერი'!O:O,"2703030701"),0)</f>
        <v>0</v>
      </c>
      <c r="O32" s="27">
        <v>0</v>
      </c>
      <c r="P32" s="27">
        <f>IF(G32="ელ. ტენდერი",SUMIFS('[1]ელ. ტენდერი'!N:N,'[1]ელ. ტენდერი'!G:G,B32,'[1]ელ. ტენდერი'!Q:Q,"სახელმწიფო ბიუჯეტი",'[1]ელ. ტენდერი'!R:R,"2703030701"),0)</f>
        <v>64751</v>
      </c>
      <c r="Q32" s="29">
        <f t="shared" si="1"/>
        <v>569</v>
      </c>
    </row>
    <row r="33" spans="1:17" ht="15.75" x14ac:dyDescent="0.3">
      <c r="A33" s="18">
        <v>28</v>
      </c>
      <c r="B33" s="19" t="s">
        <v>68</v>
      </c>
      <c r="C33" s="20" t="s">
        <v>25</v>
      </c>
      <c r="D33" s="21">
        <v>2703030701</v>
      </c>
      <c r="E33" s="22" t="s">
        <v>69</v>
      </c>
      <c r="F33" s="23">
        <f>30000+1300+10200+1045</f>
        <v>42545</v>
      </c>
      <c r="G33" s="24" t="s">
        <v>32</v>
      </c>
      <c r="H33" s="25">
        <v>43831</v>
      </c>
      <c r="I33" s="25">
        <v>44196</v>
      </c>
      <c r="J33" s="32"/>
      <c r="K33" s="27">
        <v>0</v>
      </c>
      <c r="L33" s="27">
        <f>IF(G33="გამ. შესყიდვა",SUMIFS('[1]გამარტივებული შესყიდვა'!L:L,'[1]გამარტივებული შესყიდვა'!K:K,B33,'[1]გამარტივებული შესყიდვა'!N:N,"სახელმწიფო ბიუჯეტი",'[1]გამარტივებული შესყიდვა'!O:O,"2703030701"),0)</f>
        <v>0</v>
      </c>
      <c r="M33" s="27">
        <v>0</v>
      </c>
      <c r="N33" s="27">
        <f>IF(G33="კონს. ტენდერი",SUMIFS('[1]კონსოლიდირებული ტენდერი'!L:L,'[1]კონსოლიდირებული ტენდერი'!E:E,B33,'[1]კონსოლიდირებული ტენდერი'!N:N,"სახელმწიფო ბიუჯეტი",'[1]კონსოლიდირებული ტენდერი'!O:O,"2703030701"),0)</f>
        <v>41074</v>
      </c>
      <c r="O33" s="27">
        <v>0</v>
      </c>
      <c r="P33" s="27">
        <f>IF(G33="ელ. ტენდერი",SUMIFS('[1]ელ. ტენდერი'!N:N,'[1]ელ. ტენდერი'!G:G,B33,'[1]ელ. ტენდერი'!Q:Q,"სახელმწიფო ბიუჯეტი",'[1]ელ. ტენდერი'!R:R,"2703030701"),0)</f>
        <v>0</v>
      </c>
      <c r="Q33" s="29">
        <f t="shared" si="1"/>
        <v>1471</v>
      </c>
    </row>
    <row r="34" spans="1:17" ht="15.75" x14ac:dyDescent="0.3">
      <c r="A34" s="18">
        <v>29</v>
      </c>
      <c r="B34" s="36" t="s">
        <v>70</v>
      </c>
      <c r="C34" s="20" t="s">
        <v>25</v>
      </c>
      <c r="D34" s="21">
        <v>2703030701</v>
      </c>
      <c r="E34" s="22" t="s">
        <v>71</v>
      </c>
      <c r="F34" s="23">
        <v>14280</v>
      </c>
      <c r="G34" s="24" t="s">
        <v>44</v>
      </c>
      <c r="H34" s="25">
        <v>43831</v>
      </c>
      <c r="I34" s="25">
        <v>44196</v>
      </c>
      <c r="J34" s="32"/>
      <c r="K34" s="27">
        <v>0</v>
      </c>
      <c r="L34" s="27">
        <f>IF(G34="გამ. შესყიდვა",SUMIFS('[1]გამარტივებული შესყიდვა'!L:L,'[1]გამარტივებული შესყიდვა'!K:K,B34,'[1]გამარტივებული შესყიდვა'!N:N,"სახელმწიფო ბიუჯეტი",'[1]გამარტივებული შესყიდვა'!O:O,"2703030701"),0)</f>
        <v>0</v>
      </c>
      <c r="M34" s="27">
        <v>0</v>
      </c>
      <c r="N34" s="27">
        <f>IF(G34="კონს. ტენდერი",SUMIFS('[1]კონსოლიდირებული ტენდერი'!L:L,'[1]კონსოლიდირებული ტენდერი'!E:E,B34,'[1]კონსოლიდირებული ტენდერი'!N:N,"სახელმწიფო ბიუჯეტი",'[1]კონსოლიდირებული ტენდერი'!O:O,"2703030701"),0)</f>
        <v>0</v>
      </c>
      <c r="O34" s="27">
        <v>0</v>
      </c>
      <c r="P34" s="27">
        <f>IF(G34="ელ. ტენდერი",SUMIFS('[1]ელ. ტენდერი'!N:N,'[1]ელ. ტენდერი'!G:G,B34,'[1]ელ. ტენდერი'!Q:Q,"სახელმწიფო ბიუჯეტი",'[1]ელ. ტენდერი'!R:R,"2703030701"),0)</f>
        <v>11960</v>
      </c>
      <c r="Q34" s="29">
        <f t="shared" si="1"/>
        <v>2320</v>
      </c>
    </row>
    <row r="35" spans="1:17" ht="15.75" x14ac:dyDescent="0.3">
      <c r="A35" s="18">
        <v>30</v>
      </c>
      <c r="B35" s="19" t="s">
        <v>70</v>
      </c>
      <c r="C35" s="20" t="s">
        <v>25</v>
      </c>
      <c r="D35" s="21">
        <v>270106</v>
      </c>
      <c r="E35" s="22" t="s">
        <v>71</v>
      </c>
      <c r="F35" s="23">
        <f>2000+2000+990</f>
        <v>4990</v>
      </c>
      <c r="G35" s="24" t="s">
        <v>27</v>
      </c>
      <c r="H35" s="25">
        <v>43831</v>
      </c>
      <c r="I35" s="25">
        <v>44196</v>
      </c>
      <c r="J35" s="32"/>
      <c r="K35" s="27">
        <f>IF(G35="გამ. შესყიდვა",SUMIFS('[1]გამარტივებული შესყიდვა'!L:L,'[1]გამარტივებული შესყიდვა'!K:K,B35,'[1]გამარტივებული შესყიდვა'!N:N,"სახელმწიფო ბიუჯეტი",'[1]გამარტივებული შესყიდვა'!O:O,"270106"),0)</f>
        <v>4710.6899999999996</v>
      </c>
      <c r="L35" s="27">
        <v>0</v>
      </c>
      <c r="M35" s="27">
        <f>IF(G35="კონს. ტენდერი",SUMIFS('[1]კონსოლიდირებული ტენდერი'!L:L,'[1]კონსოლიდირებული ტენდერი'!E:E,B35,'[1]კონსოლიდირებული ტენდერი'!N:N,"სახელმწიფო ბიუჯეტი",'[1]კონსოლიდირებული ტენდერი'!O:O,"270106"),0)</f>
        <v>0</v>
      </c>
      <c r="N35" s="27">
        <v>0</v>
      </c>
      <c r="O35" s="27">
        <f>IF(G35="ელ. ტენდერი",SUMIFS('[1]ელ. ტენდერი'!N:N,'[1]ელ. ტენდერი'!G:G,B35,'[1]ელ. ტენდერი'!Q:Q,"სახელმწიფო ბიუჯეტი",'[1]ელ. ტენდერი'!R:R,"270106"),0)</f>
        <v>0</v>
      </c>
      <c r="P35" s="27">
        <v>0</v>
      </c>
      <c r="Q35" s="29">
        <f t="shared" si="1"/>
        <v>279.3100000000004</v>
      </c>
    </row>
    <row r="36" spans="1:17" ht="15.75" x14ac:dyDescent="0.3">
      <c r="A36" s="18">
        <v>31</v>
      </c>
      <c r="B36" s="19" t="s">
        <v>70</v>
      </c>
      <c r="C36" s="20" t="s">
        <v>25</v>
      </c>
      <c r="D36" s="21">
        <v>2703030701</v>
      </c>
      <c r="E36" s="22" t="s">
        <v>71</v>
      </c>
      <c r="F36" s="23">
        <f>2990-2000-990</f>
        <v>0</v>
      </c>
      <c r="G36" s="24" t="s">
        <v>27</v>
      </c>
      <c r="H36" s="25">
        <v>43831</v>
      </c>
      <c r="I36" s="25">
        <v>44196</v>
      </c>
      <c r="J36" s="32"/>
      <c r="K36" s="27">
        <v>0</v>
      </c>
      <c r="L36" s="27">
        <f>IF(G36="გამ. შესყიდვა",SUMIFS('[1]გამარტივებული შესყიდვა'!L:L,'[1]გამარტივებული შესყიდვა'!K:K,B36,'[1]გამარტივებული შესყიდვა'!N:N,"სახელმწიფო ბიუჯეტი",'[1]გამარტივებული შესყიდვა'!O:O,"2703030701"),0)</f>
        <v>0</v>
      </c>
      <c r="M36" s="27">
        <v>0</v>
      </c>
      <c r="N36" s="27">
        <f>IF(G36="კონს. ტენდერი",SUMIFS('[1]კონსოლიდირებული ტენდერი'!L:L,'[1]კონსოლიდირებული ტენდერი'!E:E,B36,'[1]კონსოლიდირებული ტენდერი'!N:N,"სახელმწიფო ბიუჯეტი",'[1]კონსოლიდირებული ტენდერი'!O:O,"2703030701"),0)</f>
        <v>0</v>
      </c>
      <c r="O36" s="27">
        <v>0</v>
      </c>
      <c r="P36" s="27">
        <f>IF(G36="ელ. ტენდერი",SUMIFS('[1]ელ. ტენდერი'!N:N,'[1]ელ. ტენდერი'!G:G,B36,'[1]ელ. ტენდერი'!Q:Q,"სახელმწიფო ბიუჯეტი",'[1]ელ. ტენდერი'!R:R,"2703030701"),0)</f>
        <v>0</v>
      </c>
      <c r="Q36" s="29">
        <f t="shared" si="1"/>
        <v>0</v>
      </c>
    </row>
    <row r="37" spans="1:17" ht="15.75" x14ac:dyDescent="0.3">
      <c r="A37" s="18">
        <v>32</v>
      </c>
      <c r="B37" s="19" t="s">
        <v>70</v>
      </c>
      <c r="C37" s="37" t="s">
        <v>72</v>
      </c>
      <c r="D37" s="21">
        <v>270106</v>
      </c>
      <c r="E37" s="22" t="s">
        <v>71</v>
      </c>
      <c r="F37" s="23">
        <v>10000</v>
      </c>
      <c r="G37" s="24" t="s">
        <v>32</v>
      </c>
      <c r="H37" s="25">
        <v>43831</v>
      </c>
      <c r="I37" s="25">
        <v>44196</v>
      </c>
      <c r="J37" s="32"/>
      <c r="K37" s="27">
        <f>IF(G37="გამ. შესყიდვა",SUMIFS('[1]გამარტივებული შესყიდვა'!L:L,'[1]გამარტივებული შესყიდვა'!K:K,B37,'[1]გამარტივებული შესყიდვა'!N:N,"სახელმწიფო ბიუჯეტი",'[1]გამარტივებული შესყიდვა'!O:O,"270106"),0)</f>
        <v>0</v>
      </c>
      <c r="L37" s="27">
        <v>0</v>
      </c>
      <c r="M37" s="27">
        <f>IF(G37="კონს. ტენდერი",SUMIFS('[1]კონსოლიდირებული ტენდერი'!L:L,'[1]კონსოლიდირებული ტენდერი'!E:E,B37,'[1]კონსოლიდირებული ტენდერი'!N:N,"სახელმწიფო ბიუჯეტი",'[1]კონსოლიდირებული ტენდერი'!O:O,"270106"),0)</f>
        <v>0</v>
      </c>
      <c r="N37" s="27">
        <v>0</v>
      </c>
      <c r="O37" s="27">
        <f>IF(G37="ელ. ტენდერი",SUMIFS('[1]ელ. ტენდერი'!N:N,'[1]ელ. ტენდერი'!G:G,B37,'[1]ელ. ტენდერი'!Q:Q,"სახელმწიფო ბიუჯეტი",'[1]ელ. ტენდერი'!R:R,"270106"),0)</f>
        <v>0</v>
      </c>
      <c r="P37" s="27">
        <v>0</v>
      </c>
      <c r="Q37" s="29">
        <f t="shared" si="1"/>
        <v>10000</v>
      </c>
    </row>
    <row r="38" spans="1:17" ht="15.75" x14ac:dyDescent="0.3">
      <c r="A38" s="18">
        <v>33</v>
      </c>
      <c r="B38" s="19" t="s">
        <v>70</v>
      </c>
      <c r="C38" s="37" t="s">
        <v>72</v>
      </c>
      <c r="D38" s="21">
        <v>2703030701</v>
      </c>
      <c r="E38" s="22" t="s">
        <v>71</v>
      </c>
      <c r="F38" s="23">
        <f>69000-60000</f>
        <v>9000</v>
      </c>
      <c r="G38" s="24" t="s">
        <v>32</v>
      </c>
      <c r="H38" s="25">
        <v>43831</v>
      </c>
      <c r="I38" s="25">
        <v>44196</v>
      </c>
      <c r="J38" s="32"/>
      <c r="K38" s="27">
        <v>0</v>
      </c>
      <c r="L38" s="27">
        <f>IF(G38="გამ. შესყიდვა",SUMIFS('[1]გამარტივებული შესყიდვა'!L:L,'[1]გამარტივებული შესყიდვა'!K:K,B38,'[1]გამარტივებული შესყიდვა'!N:N,"სახელმწიფო ბიუჯეტი",'[1]გამარტივებული შესყიდვა'!O:O,"2703030701"),0)</f>
        <v>0</v>
      </c>
      <c r="M38" s="27">
        <v>0</v>
      </c>
      <c r="N38" s="28">
        <v>0</v>
      </c>
      <c r="O38" s="27">
        <v>0</v>
      </c>
      <c r="P38" s="27">
        <f>IF(G38="ელ. ტენდერი",SUMIFS('[1]ელ. ტენდერი'!N:N,'[1]ელ. ტენდერი'!G:G,B38,'[1]ელ. ტენდერი'!Q:Q,"სახელმწიფო ბიუჯეტი",'[1]ელ. ტენდერი'!R:R,"2703030701"),0)</f>
        <v>0</v>
      </c>
      <c r="Q38" s="29">
        <f t="shared" si="1"/>
        <v>9000</v>
      </c>
    </row>
    <row r="39" spans="1:17" ht="15.75" x14ac:dyDescent="0.3">
      <c r="A39" s="18">
        <v>34</v>
      </c>
      <c r="B39" s="19" t="s">
        <v>70</v>
      </c>
      <c r="C39" s="20" t="s">
        <v>25</v>
      </c>
      <c r="D39" s="21">
        <v>2703030701</v>
      </c>
      <c r="E39" s="22" t="s">
        <v>71</v>
      </c>
      <c r="F39" s="23">
        <f>146000-25700-100000</f>
        <v>20300</v>
      </c>
      <c r="G39" s="24" t="s">
        <v>32</v>
      </c>
      <c r="H39" s="25">
        <v>43831</v>
      </c>
      <c r="I39" s="25">
        <v>44196</v>
      </c>
      <c r="J39" s="32"/>
      <c r="K39" s="27">
        <v>0</v>
      </c>
      <c r="L39" s="27">
        <f>IF(G39="გამ. შესყიდვა",SUMIFS('[1]გამარტივებული შესყიდვა'!L:L,'[1]გამარტივებული შესყიდვა'!K:K,B39,'[1]გამარტივებული შესყიდვა'!N:N,"სახელმწიფო ბიუჯეტი",'[1]გამარტივებული შესყიდვა'!O:O,"2703030701"),0)</f>
        <v>0</v>
      </c>
      <c r="M39" s="27">
        <v>0</v>
      </c>
      <c r="N39" s="28">
        <f>IF(G39="კონს. ტენდერი",SUMIFS('[1]კონსოლიდირებული ტენდერი'!L:L,'[1]კონსოლიდირებული ტენდერი'!E:E,B39,'[1]კონსოლიდირებული ტენდერი'!N:N,"სახელმწიფო ბიუჯეტი",'[1]კონსოლიდირებული ტენდერი'!O:O,"2703030701"),0)</f>
        <v>3224.1</v>
      </c>
      <c r="O39" s="27">
        <v>0</v>
      </c>
      <c r="P39" s="27">
        <f>IF(G39="ელ. ტენდერი",SUMIFS('[1]ელ. ტენდერი'!N:N,'[1]ელ. ტენდერი'!G:G,B39,'[1]ელ. ტენდერი'!Q:Q,"სახელმწიფო ბიუჯეტი",'[1]ელ. ტენდერი'!R:R,"2703030701"),0)</f>
        <v>0</v>
      </c>
      <c r="Q39" s="29">
        <f t="shared" si="1"/>
        <v>17075.900000000001</v>
      </c>
    </row>
    <row r="40" spans="1:17" ht="15.75" x14ac:dyDescent="0.3">
      <c r="A40" s="18">
        <v>35</v>
      </c>
      <c r="B40" s="19" t="s">
        <v>73</v>
      </c>
      <c r="C40" s="37" t="s">
        <v>72</v>
      </c>
      <c r="D40" s="21">
        <v>2703030701</v>
      </c>
      <c r="E40" s="22" t="s">
        <v>74</v>
      </c>
      <c r="F40" s="23">
        <f>4990-500-3000</f>
        <v>1490</v>
      </c>
      <c r="G40" s="24" t="s">
        <v>27</v>
      </c>
      <c r="H40" s="25">
        <v>43831</v>
      </c>
      <c r="I40" s="25">
        <v>44196</v>
      </c>
      <c r="J40" s="32"/>
      <c r="K40" s="27">
        <v>0</v>
      </c>
      <c r="L40" s="27">
        <f>IF(G40="გამ. შესყიდვა",SUMIFS('[1]გამარტივებული შესყიდვა'!L:L,'[1]გამარტივებული შესყიდვა'!K:K,B40,'[1]გამარტივებული შესყიდვა'!N:N,"სახელმწიფო ბიუჯეტი",'[1]გამარტივებული შესყიდვა'!O:O,"2703030701"),0)</f>
        <v>0</v>
      </c>
      <c r="M40" s="27">
        <v>0</v>
      </c>
      <c r="N40" s="27">
        <f>IF(G40="კონს. ტენდერი",SUMIFS('[1]კონსოლიდირებული ტენდერი'!L:L,'[1]კონსოლიდირებული ტენდერი'!E:E,B40,'[1]კონსოლიდირებული ტენდერი'!N:N,"სახელმწიფო ბიუჯეტი",'[1]კონსოლიდირებული ტენდერი'!O:O,"2703030701"),0)</f>
        <v>0</v>
      </c>
      <c r="O40" s="27">
        <v>0</v>
      </c>
      <c r="P40" s="27">
        <f>IF(G40="ელ. ტენდერი",SUMIFS('[1]ელ. ტენდერი'!N:N,'[1]ელ. ტენდერი'!G:G,B40,'[1]ელ. ტენდერი'!Q:Q,"სახელმწიფო ბიუჯეტი",'[1]ელ. ტენდერი'!R:R,"2703030701"),0)</f>
        <v>0</v>
      </c>
      <c r="Q40" s="29">
        <f t="shared" si="1"/>
        <v>1490</v>
      </c>
    </row>
    <row r="41" spans="1:17" ht="15.75" x14ac:dyDescent="0.3">
      <c r="A41" s="18">
        <v>36</v>
      </c>
      <c r="B41" s="19" t="s">
        <v>73</v>
      </c>
      <c r="C41" s="20" t="s">
        <v>25</v>
      </c>
      <c r="D41" s="21">
        <v>270106</v>
      </c>
      <c r="E41" s="22" t="s">
        <v>74</v>
      </c>
      <c r="F41" s="23">
        <f>500</f>
        <v>500</v>
      </c>
      <c r="G41" s="24" t="s">
        <v>27</v>
      </c>
      <c r="H41" s="25">
        <v>43831</v>
      </c>
      <c r="I41" s="25">
        <v>44196</v>
      </c>
      <c r="J41" s="32"/>
      <c r="K41" s="27">
        <f>IF(G41="გამ. შესყიდვა",SUMIFS('[1]გამარტივებული შესყიდვა'!L:L,'[1]გამარტივებული შესყიდვა'!K:K,B41,'[1]გამარტივებული შესყიდვა'!N:N,"სახელმწიფო ბიუჯეტი",'[1]გამარტივებული შესყიდვა'!O:O,"270106"),0)</f>
        <v>150</v>
      </c>
      <c r="L41" s="27">
        <v>0</v>
      </c>
      <c r="M41" s="27">
        <f>IF(G41="კონს. ტენდერი",SUMIFS('[1]კონსოლიდირებული ტენდერი'!L:L,'[1]კონსოლიდირებული ტენდერი'!E:E,B41,'[1]კონსოლიდირებული ტენდერი'!N:N,"სახელმწიფო ბიუჯეტი",'[1]კონსოლიდირებული ტენდერი'!O:O,"270106"),0)</f>
        <v>0</v>
      </c>
      <c r="N41" s="27">
        <v>0</v>
      </c>
      <c r="O41" s="27">
        <f>IF(G41="ელ. ტენდერი",SUMIFS('[1]ელ. ტენდერი'!N:N,'[1]ელ. ტენდერი'!G:G,B41,'[1]ელ. ტენდერი'!Q:Q,"სახელმწიფო ბიუჯეტი",'[1]ელ. ტენდერი'!R:R,"270106"),0)</f>
        <v>0</v>
      </c>
      <c r="P41" s="27">
        <v>0</v>
      </c>
      <c r="Q41" s="29">
        <f t="shared" si="1"/>
        <v>350</v>
      </c>
    </row>
    <row r="42" spans="1:17" ht="15.75" x14ac:dyDescent="0.3">
      <c r="A42" s="18">
        <v>37</v>
      </c>
      <c r="B42" s="19" t="s">
        <v>75</v>
      </c>
      <c r="C42" s="20" t="s">
        <v>25</v>
      </c>
      <c r="D42" s="21">
        <v>2703030701</v>
      </c>
      <c r="E42" s="22" t="s">
        <v>76</v>
      </c>
      <c r="F42" s="23">
        <f>1000+800+900-500+2200</f>
        <v>4400</v>
      </c>
      <c r="G42" s="24" t="s">
        <v>27</v>
      </c>
      <c r="H42" s="25">
        <v>43831</v>
      </c>
      <c r="I42" s="25">
        <v>44196</v>
      </c>
      <c r="J42" s="32"/>
      <c r="K42" s="27">
        <v>0</v>
      </c>
      <c r="L42" s="27">
        <f>IF(G42="გამ. შესყიდვა",SUMIFS('[1]გამარტივებული შესყიდვა'!L:L,'[1]გამარტივებული შესყიდვა'!K:K,B42,'[1]გამარტივებული შესყიდვა'!N:N,"სახელმწიფო ბიუჯეტი",'[1]გამარტივებული შესყიდვა'!O:O,"2703030701"),0)</f>
        <v>864.7</v>
      </c>
      <c r="M42" s="27">
        <v>0</v>
      </c>
      <c r="N42" s="27">
        <f>IF(G42="კონს. ტენდერი",SUMIFS('[1]კონსოლიდირებული ტენდერი'!L:L,'[1]კონსოლიდირებული ტენდერი'!E:E,B42,'[1]კონსოლიდირებული ტენდერი'!N:N,"სახელმწიფო ბიუჯეტი",'[1]კონსოლიდირებული ტენდერი'!O:O,"2703030701"),0)</f>
        <v>0</v>
      </c>
      <c r="O42" s="27">
        <v>0</v>
      </c>
      <c r="P42" s="27">
        <f>IF(G42="ელ. ტენდერი",SUMIFS('[1]ელ. ტენდერი'!N:N,'[1]ელ. ტენდერი'!G:G,B42,'[1]ელ. ტენდერი'!Q:Q,"სახელმწიფო ბიუჯეტი",'[1]ელ. ტენდერი'!R:R,"2703030701"),0)</f>
        <v>0</v>
      </c>
      <c r="Q42" s="29">
        <f t="shared" si="1"/>
        <v>3535.3</v>
      </c>
    </row>
    <row r="43" spans="1:17" ht="15.75" x14ac:dyDescent="0.3">
      <c r="A43" s="18">
        <v>38</v>
      </c>
      <c r="B43" s="19" t="s">
        <v>75</v>
      </c>
      <c r="C43" s="20" t="s">
        <v>25</v>
      </c>
      <c r="D43" s="21">
        <v>270106</v>
      </c>
      <c r="E43" s="22" t="s">
        <v>76</v>
      </c>
      <c r="F43" s="23">
        <v>500</v>
      </c>
      <c r="G43" s="24" t="s">
        <v>27</v>
      </c>
      <c r="H43" s="25">
        <v>43900</v>
      </c>
      <c r="I43" s="25">
        <v>44196</v>
      </c>
      <c r="J43" s="32"/>
      <c r="K43" s="27">
        <f>IF(G43="გამ. შესყიდვა",SUMIFS('[1]გამარტივებული შესყიდვა'!L:L,'[1]გამარტივებული შესყიდვა'!K:K,B43,'[1]გამარტივებული შესყიდვა'!N:N,"სახელმწიფო ბიუჯეტი",'[1]გამარტივებული შესყიდვა'!O:O,"270106"),0)</f>
        <v>92</v>
      </c>
      <c r="L43" s="27">
        <v>0</v>
      </c>
      <c r="M43" s="27">
        <f>IF(G43="კონს. ტენდერი",SUMIFS('[1]კონსოლიდირებული ტენდერი'!L:L,'[1]კონსოლიდირებული ტენდერი'!E:E,B43,'[1]კონსოლიდირებული ტენდერი'!N:N,"სახელმწიფო ბიუჯეტი",'[1]კონსოლიდირებული ტენდერი'!O:O,"270106"),0)</f>
        <v>0</v>
      </c>
      <c r="N43" s="27">
        <v>0</v>
      </c>
      <c r="O43" s="27">
        <f>IF(G43="ელ. ტენდერი",SUMIFS('[1]ელ. ტენდერი'!N:N,'[1]ელ. ტენდერი'!G:G,B43,'[1]ელ. ტენდერი'!Q:Q,"სახელმწიფო ბიუჯეტი",'[1]ელ. ტენდერი'!R:R,"270106"),0)</f>
        <v>0</v>
      </c>
      <c r="P43" s="27">
        <v>0</v>
      </c>
      <c r="Q43" s="29">
        <f t="shared" si="1"/>
        <v>408</v>
      </c>
    </row>
    <row r="44" spans="1:17" ht="15.75" x14ac:dyDescent="0.3">
      <c r="A44" s="18">
        <v>39</v>
      </c>
      <c r="B44" s="19" t="s">
        <v>77</v>
      </c>
      <c r="C44" s="20" t="s">
        <v>25</v>
      </c>
      <c r="D44" s="21">
        <v>2703030701</v>
      </c>
      <c r="E44" s="22" t="s">
        <v>78</v>
      </c>
      <c r="F44" s="23">
        <f>2000+300+100</f>
        <v>2400</v>
      </c>
      <c r="G44" s="24" t="s">
        <v>27</v>
      </c>
      <c r="H44" s="25">
        <v>43831</v>
      </c>
      <c r="I44" s="25">
        <v>44196</v>
      </c>
      <c r="J44" s="32"/>
      <c r="K44" s="27">
        <v>0</v>
      </c>
      <c r="L44" s="27">
        <f>IF(G44="გამ. შესყიდვა",SUMIFS('[1]გამარტივებული შესყიდვა'!L:L,'[1]გამარტივებული შესყიდვა'!K:K,B44,'[1]გამარტივებული შესყიდვა'!N:N,"სახელმწიფო ბიუჯეტი",'[1]გამარტივებული შესყიდვა'!O:O,"2703030701"),0)</f>
        <v>0</v>
      </c>
      <c r="M44" s="27">
        <v>0</v>
      </c>
      <c r="N44" s="27">
        <f>IF(G44="კონს. ტენდერი",SUMIFS('[1]კონსოლიდირებული ტენდერი'!L:L,'[1]კონსოლიდირებული ტენდერი'!E:E,B44,'[1]კონსოლიდირებული ტენდერი'!N:N,"სახელმწიფო ბიუჯეტი",'[1]კონსოლიდირებული ტენდერი'!O:O,"2703030701"),0)</f>
        <v>0</v>
      </c>
      <c r="O44" s="27">
        <v>0</v>
      </c>
      <c r="P44" s="27">
        <f>IF(G44="ელ. ტენდერი",SUMIFS('[1]ელ. ტენდერი'!N:N,'[1]ელ. ტენდერი'!G:G,B44,'[1]ელ. ტენდერი'!Q:Q,"სახელმწიფო ბიუჯეტი",'[1]ელ. ტენდერი'!R:R,"2703030701"),0)</f>
        <v>0</v>
      </c>
      <c r="Q44" s="29">
        <f t="shared" si="1"/>
        <v>2400</v>
      </c>
    </row>
    <row r="45" spans="1:17" ht="15.75" x14ac:dyDescent="0.3">
      <c r="A45" s="18">
        <v>40</v>
      </c>
      <c r="B45" s="19" t="s">
        <v>79</v>
      </c>
      <c r="C45" s="20" t="s">
        <v>25</v>
      </c>
      <c r="D45" s="21">
        <v>2703030701</v>
      </c>
      <c r="E45" s="22" t="s">
        <v>80</v>
      </c>
      <c r="F45" s="23">
        <f>4990-3000+2500-300</f>
        <v>4190</v>
      </c>
      <c r="G45" s="24" t="s">
        <v>27</v>
      </c>
      <c r="H45" s="25">
        <v>43831</v>
      </c>
      <c r="I45" s="25">
        <v>44196</v>
      </c>
      <c r="J45" s="32"/>
      <c r="K45" s="27">
        <v>0</v>
      </c>
      <c r="L45" s="27">
        <f>IF(G45="გამ. შესყიდვა",SUMIFS('[1]გამარტივებული შესყიდვა'!L:L,'[1]გამარტივებული შესყიდვა'!K:K,B45,'[1]გამარტივებული შესყიდვა'!N:N,"სახელმწიფო ბიუჯეტი",'[1]გამარტივებული შესყიდვა'!O:O,"2703030701"),0)</f>
        <v>4000</v>
      </c>
      <c r="M45" s="27">
        <v>0</v>
      </c>
      <c r="N45" s="27">
        <f>IF(G45="კონს. ტენდერი",SUMIFS('[1]კონსოლიდირებული ტენდერი'!L:L,'[1]კონსოლიდირებული ტენდერი'!E:E,B45,'[1]კონსოლიდირებული ტენდერი'!N:N,"სახელმწიფო ბიუჯეტი",'[1]კონსოლიდირებული ტენდერი'!O:O,"2703030701"),0)</f>
        <v>0</v>
      </c>
      <c r="O45" s="27">
        <v>0</v>
      </c>
      <c r="P45" s="27">
        <f>IF(G45="ელ. ტენდერი",SUMIFS('[1]ელ. ტენდერი'!N:N,'[1]ელ. ტენდერი'!G:G,B45,'[1]ელ. ტენდერი'!Q:Q,"სახელმწიფო ბიუჯეტი",'[1]ელ. ტენდერი'!R:R,"2703030701"),0)</f>
        <v>0</v>
      </c>
      <c r="Q45" s="29">
        <f t="shared" si="1"/>
        <v>190</v>
      </c>
    </row>
    <row r="46" spans="1:17" ht="15.75" x14ac:dyDescent="0.3">
      <c r="A46" s="18">
        <v>41</v>
      </c>
      <c r="B46" s="19" t="s">
        <v>79</v>
      </c>
      <c r="C46" s="20" t="s">
        <v>25</v>
      </c>
      <c r="D46" s="21">
        <v>270106</v>
      </c>
      <c r="E46" s="22" t="s">
        <v>80</v>
      </c>
      <c r="F46" s="23">
        <f>3000-2500+300</f>
        <v>800</v>
      </c>
      <c r="G46" s="24" t="s">
        <v>27</v>
      </c>
      <c r="H46" s="25">
        <v>43867</v>
      </c>
      <c r="I46" s="25">
        <v>44196</v>
      </c>
      <c r="J46" s="32"/>
      <c r="K46" s="27">
        <f>IF(G46="გამ. შესყიდვა",SUMIFS('[1]გამარტივებული შესყიდვა'!L:L,'[1]გამარტივებული შესყიდვა'!K:K,B46,'[1]გამარტივებული შესყიდვა'!N:N,"სახელმწიფო ბიუჯეტი",'[1]გამარტივებული შესყიდვა'!O:O,"270106"),0)</f>
        <v>790</v>
      </c>
      <c r="L46" s="27">
        <v>0</v>
      </c>
      <c r="M46" s="27">
        <f>IF(G46="კონს. ტენდერი",SUMIFS('[1]კონსოლიდირებული ტენდერი'!L:L,'[1]კონსოლიდირებული ტენდერი'!E:E,B46,'[1]კონსოლიდირებული ტენდერი'!N:N,"სახელმწიფო ბიუჯეტი",'[1]კონსოლიდირებული ტენდერი'!O:O,"270106"),0)</f>
        <v>0</v>
      </c>
      <c r="N46" s="27">
        <v>0</v>
      </c>
      <c r="O46" s="27">
        <f>IF(G46="ელ. ტენდერი",SUMIFS('[1]ელ. ტენდერი'!N:N,'[1]ელ. ტენდერი'!G:G,B46,'[1]ელ. ტენდერი'!Q:Q,"სახელმწიფო ბიუჯეტი",'[1]ელ. ტენდერი'!R:R,"270106"),0)</f>
        <v>0</v>
      </c>
      <c r="P46" s="27">
        <v>0</v>
      </c>
      <c r="Q46" s="29">
        <f t="shared" si="1"/>
        <v>10</v>
      </c>
    </row>
    <row r="47" spans="1:17" ht="15.75" x14ac:dyDescent="0.3">
      <c r="A47" s="18">
        <v>42</v>
      </c>
      <c r="B47" s="19" t="s">
        <v>79</v>
      </c>
      <c r="C47" s="20" t="s">
        <v>25</v>
      </c>
      <c r="D47" s="21">
        <v>2703030701</v>
      </c>
      <c r="E47" s="22" t="s">
        <v>80</v>
      </c>
      <c r="F47" s="23">
        <f>16000+3000+10000</f>
        <v>29000</v>
      </c>
      <c r="G47" s="24" t="s">
        <v>32</v>
      </c>
      <c r="H47" s="25">
        <v>43831</v>
      </c>
      <c r="I47" s="25">
        <v>44196</v>
      </c>
      <c r="J47" s="32"/>
      <c r="K47" s="27">
        <v>0</v>
      </c>
      <c r="L47" s="27">
        <f>IF(G47="გამ. შესყიდვა",SUMIFS('[1]გამარტივებული შესყიდვა'!L:L,'[1]გამარტივებული შესყიდვა'!K:K,B47,'[1]გამარტივებული შესყიდვა'!N:N,"სახელმწიფო ბიუჯეტი",'[1]გამარტივებული შესყიდვა'!O:O,"2703030701"),0)</f>
        <v>0</v>
      </c>
      <c r="M47" s="27">
        <v>0</v>
      </c>
      <c r="N47" s="27">
        <f>IF(G47="კონს. ტენდერი",SUMIFS('[1]კონსოლიდირებული ტენდერი'!L:L,'[1]კონსოლიდირებული ტენდერი'!E:E,B47,'[1]კონსოლიდირებული ტენდერი'!N:N,"სახელმწიფო ბიუჯეტი",'[1]კონსოლიდირებული ტენდერი'!O:O,"2703030701"),0)</f>
        <v>28367</v>
      </c>
      <c r="O47" s="27">
        <v>0</v>
      </c>
      <c r="P47" s="27">
        <f>IF(G47="ელ. ტენდერი",SUMIFS('[1]ელ. ტენდერი'!N:N,'[1]ელ. ტენდერი'!G:G,B47,'[1]ელ. ტენდერი'!Q:Q,"სახელმწიფო ბიუჯეტი",'[1]ელ. ტენდერი'!R:R,"2703030701"),0)</f>
        <v>0</v>
      </c>
      <c r="Q47" s="29">
        <f t="shared" si="1"/>
        <v>633</v>
      </c>
    </row>
    <row r="48" spans="1:17" ht="15.75" x14ac:dyDescent="0.3">
      <c r="A48" s="18">
        <v>43</v>
      </c>
      <c r="B48" s="19" t="s">
        <v>81</v>
      </c>
      <c r="C48" s="20" t="s">
        <v>25</v>
      </c>
      <c r="D48" s="21">
        <v>2703030701</v>
      </c>
      <c r="E48" s="22" t="s">
        <v>82</v>
      </c>
      <c r="F48" s="23">
        <f>4990+4000</f>
        <v>8990</v>
      </c>
      <c r="G48" s="24" t="s">
        <v>44</v>
      </c>
      <c r="H48" s="25">
        <v>43831</v>
      </c>
      <c r="I48" s="25">
        <v>44196</v>
      </c>
      <c r="J48" s="32"/>
      <c r="K48" s="27">
        <v>0</v>
      </c>
      <c r="L48" s="27">
        <f>IF(G48="გამ. შესყიდვა",SUMIFS('[1]გამარტივებული შესყიდვა'!L:L,'[1]გამარტივებული შესყიდვა'!K:K,B48,'[1]გამარტივებული შესყიდვა'!N:N,"სახელმწიფო ბიუჯეტი",'[1]გამარტივებული შესყიდვა'!O:O,"2703030701"),0)</f>
        <v>0</v>
      </c>
      <c r="M48" s="27">
        <v>0</v>
      </c>
      <c r="N48" s="27">
        <f>IF(G48="კონს. ტენდერი",SUMIFS('[1]კონსოლიდირებული ტენდერი'!L:L,'[1]კონსოლიდირებული ტენდერი'!E:E,B48,'[1]კონსოლიდირებული ტენდერი'!N:N,"სახელმწიფო ბიუჯეტი",'[1]კონსოლიდირებული ტენდერი'!O:O,"2703030701"),0)</f>
        <v>0</v>
      </c>
      <c r="O48" s="27">
        <v>0</v>
      </c>
      <c r="P48" s="27">
        <f>IF(G48="ელ. ტენდერი",SUMIFS('[1]ელ. ტენდერი'!N:N,'[1]ელ. ტენდერი'!G:G,B48,'[1]ელ. ტენდერი'!Q:Q,"სახელმწიფო ბიუჯეტი",'[1]ელ. ტენდერი'!R:R,"2703030701"),0)</f>
        <v>3099</v>
      </c>
      <c r="Q48" s="29">
        <f t="shared" si="1"/>
        <v>5891</v>
      </c>
    </row>
    <row r="49" spans="1:17" ht="15.75" x14ac:dyDescent="0.3">
      <c r="A49" s="18">
        <v>44</v>
      </c>
      <c r="B49" s="19" t="s">
        <v>83</v>
      </c>
      <c r="C49" s="20" t="s">
        <v>25</v>
      </c>
      <c r="D49" s="21">
        <v>2703030701</v>
      </c>
      <c r="E49" s="22" t="s">
        <v>84</v>
      </c>
      <c r="F49" s="23">
        <f>1650+800-450-260-1200</f>
        <v>540</v>
      </c>
      <c r="G49" s="24" t="s">
        <v>27</v>
      </c>
      <c r="H49" s="25">
        <v>43831</v>
      </c>
      <c r="I49" s="25">
        <v>44196</v>
      </c>
      <c r="J49" s="32"/>
      <c r="K49" s="27">
        <v>0</v>
      </c>
      <c r="L49" s="27">
        <f>IF(G49="გამ. შესყიდვა",SUMIFS('[1]გამარტივებული შესყიდვა'!L:L,'[1]გამარტივებული შესყიდვა'!K:K,B49,'[1]გამარტივებული შესყიდვა'!N:N,"სახელმწიფო ბიუჯეტი",'[1]გამარტივებული შესყიდვა'!O:O,"2703030701"),0)</f>
        <v>0</v>
      </c>
      <c r="M49" s="27">
        <v>0</v>
      </c>
      <c r="N49" s="27">
        <f>IF(G49="კონს. ტენდერი",SUMIFS('[1]კონსოლიდირებული ტენდერი'!L:L,'[1]კონსოლიდირებული ტენდერი'!E:E,B49,'[1]კონსოლიდირებული ტენდერი'!N:N,"სახელმწიფო ბიუჯეტი",'[1]კონსოლიდირებული ტენდერი'!O:O,"2703030701"),0)</f>
        <v>0</v>
      </c>
      <c r="O49" s="27">
        <v>0</v>
      </c>
      <c r="P49" s="27">
        <f>IF(G49="ელ. ტენდერი",SUMIFS('[1]ელ. ტენდერი'!N:N,'[1]ელ. ტენდერი'!G:G,B49,'[1]ელ. ტენდერი'!Q:Q,"სახელმწიფო ბიუჯეტი",'[1]ელ. ტენდერი'!R:R,"2703030701"),0)</f>
        <v>0</v>
      </c>
      <c r="Q49" s="29">
        <f t="shared" si="1"/>
        <v>540</v>
      </c>
    </row>
    <row r="50" spans="1:17" ht="15.75" x14ac:dyDescent="0.3">
      <c r="A50" s="18">
        <v>45</v>
      </c>
      <c r="B50" s="19" t="s">
        <v>83</v>
      </c>
      <c r="C50" s="20" t="s">
        <v>25</v>
      </c>
      <c r="D50" s="21">
        <v>270106</v>
      </c>
      <c r="E50" s="22" t="s">
        <v>84</v>
      </c>
      <c r="F50" s="23">
        <f>450+2800</f>
        <v>3250</v>
      </c>
      <c r="G50" s="24" t="s">
        <v>27</v>
      </c>
      <c r="H50" s="25">
        <v>43867</v>
      </c>
      <c r="I50" s="25">
        <v>44196</v>
      </c>
      <c r="J50" s="32"/>
      <c r="K50" s="27">
        <f>IF(G50="გამ. შესყიდვა",SUMIFS('[1]გამარტივებული შესყიდვა'!L:L,'[1]გამარტივებული შესყიდვა'!K:K,B50,'[1]გამარტივებული შესყიდვა'!N:N,"სახელმწიფო ბიუჯეტი",'[1]გამარტივებული შესყიდვა'!O:O,"270106"),0)</f>
        <v>3084</v>
      </c>
      <c r="L50" s="27">
        <v>0</v>
      </c>
      <c r="M50" s="27">
        <f>IF(G50="კონს. ტენდერი",SUMIFS('[1]კონსოლიდირებული ტენდერი'!L:L,'[1]კონსოლიდირებული ტენდერი'!E:E,B50,'[1]კონსოლიდირებული ტენდერი'!N:N,"სახელმწიფო ბიუჯეტი",'[1]კონსოლიდირებული ტენდერი'!O:O,"270106"),0)</f>
        <v>0</v>
      </c>
      <c r="N50" s="27">
        <v>0</v>
      </c>
      <c r="O50" s="27">
        <f>IF(G50="ელ. ტენდერი",SUMIFS('[1]ელ. ტენდერი'!N:N,'[1]ელ. ტენდერი'!G:G,B50,'[1]ელ. ტენდერი'!Q:Q,"სახელმწიფო ბიუჯეტი",'[1]ელ. ტენდერი'!R:R,"270106"),0)</f>
        <v>0</v>
      </c>
      <c r="P50" s="27">
        <v>0</v>
      </c>
      <c r="Q50" s="29">
        <f t="shared" si="1"/>
        <v>166</v>
      </c>
    </row>
    <row r="51" spans="1:17" ht="15.75" x14ac:dyDescent="0.3">
      <c r="A51" s="18">
        <v>46</v>
      </c>
      <c r="B51" s="19" t="s">
        <v>85</v>
      </c>
      <c r="C51" s="20" t="s">
        <v>25</v>
      </c>
      <c r="D51" s="21">
        <v>2703030701</v>
      </c>
      <c r="E51" s="22" t="s">
        <v>86</v>
      </c>
      <c r="F51" s="23">
        <v>1200</v>
      </c>
      <c r="G51" s="24" t="s">
        <v>27</v>
      </c>
      <c r="H51" s="25">
        <v>43831</v>
      </c>
      <c r="I51" s="25">
        <v>44196</v>
      </c>
      <c r="J51" s="32"/>
      <c r="K51" s="27">
        <v>0</v>
      </c>
      <c r="L51" s="27">
        <f>IF(G51="გამ. შესყიდვა",SUMIFS('[1]გამარტივებული შესყიდვა'!L:L,'[1]გამარტივებული შესყიდვა'!K:K,B51,'[1]გამარტივებული შესყიდვა'!N:N,"სახელმწიფო ბიუჯეტი",'[1]გამარტივებული შესყიდვა'!O:O,"2703030701"),0)</f>
        <v>875</v>
      </c>
      <c r="M51" s="27">
        <v>0</v>
      </c>
      <c r="N51" s="27">
        <f>IF(G51="კონს. ტენდერი",SUMIFS('[1]კონსოლიდირებული ტენდერი'!L:L,'[1]კონსოლიდირებული ტენდერი'!E:E,B51,'[1]კონსოლიდირებული ტენდერი'!N:N,"სახელმწიფო ბიუჯეტი",'[1]კონსოლიდირებული ტენდერი'!O:O,"2703030701"),0)</f>
        <v>0</v>
      </c>
      <c r="O51" s="27">
        <v>0</v>
      </c>
      <c r="P51" s="27">
        <f>IF(G51="ელ. ტენდერი",SUMIFS('[1]ელ. ტენდერი'!N:N,'[1]ელ. ტენდერი'!G:G,B51,'[1]ელ. ტენდერი'!Q:Q,"სახელმწიფო ბიუჯეტი",'[1]ელ. ტენდერი'!R:R,"2703030701"),0)</f>
        <v>0</v>
      </c>
      <c r="Q51" s="29">
        <f t="shared" si="1"/>
        <v>325</v>
      </c>
    </row>
    <row r="52" spans="1:17" ht="15.75" x14ac:dyDescent="0.3">
      <c r="A52" s="18">
        <v>47</v>
      </c>
      <c r="B52" s="19" t="s">
        <v>87</v>
      </c>
      <c r="C52" s="20" t="s">
        <v>25</v>
      </c>
      <c r="D52" s="21">
        <v>2703030701</v>
      </c>
      <c r="E52" s="22" t="s">
        <v>88</v>
      </c>
      <c r="F52" s="23">
        <f>2000+2990+4000+12610</f>
        <v>21600</v>
      </c>
      <c r="G52" s="24" t="s">
        <v>44</v>
      </c>
      <c r="H52" s="25">
        <v>43831</v>
      </c>
      <c r="I52" s="25">
        <v>44196</v>
      </c>
      <c r="J52" s="32"/>
      <c r="K52" s="27">
        <v>0</v>
      </c>
      <c r="L52" s="27">
        <f>IF(G52="გამ. შესყიდვა",SUMIFS('[1]გამარტივებული შესყიდვა'!L:L,'[1]გამარტივებული შესყიდვა'!K:K,B52,'[1]გამარტივებული შესყიდვა'!N:N,"სახელმწიფო ბიუჯეტი",'[1]გამარტივებული შესყიდვა'!O:O,"2703030701"),0)</f>
        <v>0</v>
      </c>
      <c r="M52" s="27">
        <v>0</v>
      </c>
      <c r="N52" s="27">
        <f>IF(G52="კონს. ტენდერი",SUMIFS('[1]კონსოლიდირებული ტენდერი'!L:L,'[1]კონსოლიდირებული ტენდერი'!E:E,B52,'[1]კონსოლიდირებული ტენდერი'!N:N,"სახელმწიფო ბიუჯეტი",'[1]კონსოლიდირებული ტენდერი'!O:O,"2703030701"),0)</f>
        <v>0</v>
      </c>
      <c r="O52" s="27">
        <v>0</v>
      </c>
      <c r="P52" s="27">
        <f>IF(G52="ელ. ტენდერი",SUMIFS('[1]ელ. ტენდერი'!N:N,'[1]ელ. ტენდერი'!G:G,B52,'[1]ელ. ტენდერი'!Q:Q,"სახელმწიფო ბიუჯეტი",'[1]ელ. ტენდერი'!R:R,"2703030701"),0)</f>
        <v>17535</v>
      </c>
      <c r="Q52" s="29">
        <f t="shared" si="1"/>
        <v>4065</v>
      </c>
    </row>
    <row r="53" spans="1:17" ht="15.75" x14ac:dyDescent="0.3">
      <c r="A53" s="18">
        <v>48</v>
      </c>
      <c r="B53" s="19" t="s">
        <v>89</v>
      </c>
      <c r="C53" s="20" t="s">
        <v>25</v>
      </c>
      <c r="D53" s="21">
        <v>2703030701</v>
      </c>
      <c r="E53" s="22" t="s">
        <v>90</v>
      </c>
      <c r="F53" s="23">
        <f>4990+25000</f>
        <v>29990</v>
      </c>
      <c r="G53" s="24" t="s">
        <v>44</v>
      </c>
      <c r="H53" s="25">
        <v>43831</v>
      </c>
      <c r="I53" s="25">
        <v>44196</v>
      </c>
      <c r="J53" s="32"/>
      <c r="K53" s="27">
        <v>0</v>
      </c>
      <c r="L53" s="27">
        <f>IF(G53="გამ. შესყიდვა",SUMIFS('[1]გამარტივებული შესყიდვა'!L:L,'[1]გამარტივებული შესყიდვა'!K:K,B53,'[1]გამარტივებული შესყიდვა'!N:N,"სახელმწიფო ბიუჯეტი",'[1]გამარტივებული შესყიდვა'!O:O,"2703030701"),0)</f>
        <v>0</v>
      </c>
      <c r="M53" s="27">
        <v>0</v>
      </c>
      <c r="N53" s="27">
        <f>IF(G53="კონს. ტენდერი",SUMIFS('[1]კონსოლიდირებული ტენდერი'!L:L,'[1]კონსოლიდირებული ტენდერი'!E:E,B53,'[1]კონსოლიდირებული ტენდერი'!N:N,"სახელმწიფო ბიუჯეტი",'[1]კონსოლიდირებული ტენდერი'!O:O,"2703030701"),0)</f>
        <v>0</v>
      </c>
      <c r="O53" s="27">
        <v>0</v>
      </c>
      <c r="P53" s="27">
        <f>IF(G53="ელ. ტენდერი",SUMIFS('[1]ელ. ტენდერი'!N:N,'[1]ელ. ტენდერი'!G:G,B53,'[1]ელ. ტენდერი'!Q:Q,"სახელმწიფო ბიუჯეტი",'[1]ელ. ტენდერი'!R:R,"2703030701"),0)</f>
        <v>0</v>
      </c>
      <c r="Q53" s="29">
        <f t="shared" si="1"/>
        <v>29990</v>
      </c>
    </row>
    <row r="54" spans="1:17" ht="15.75" x14ac:dyDescent="0.3">
      <c r="A54" s="18">
        <v>49</v>
      </c>
      <c r="B54" s="19" t="s">
        <v>91</v>
      </c>
      <c r="C54" s="20" t="s">
        <v>25</v>
      </c>
      <c r="D54" s="21">
        <v>270106</v>
      </c>
      <c r="E54" s="22" t="s">
        <v>92</v>
      </c>
      <c r="F54" s="23">
        <f>3000-1000</f>
        <v>2000</v>
      </c>
      <c r="G54" s="24" t="s">
        <v>27</v>
      </c>
      <c r="H54" s="25">
        <v>43831</v>
      </c>
      <c r="I54" s="25">
        <v>44196</v>
      </c>
      <c r="J54" s="32"/>
      <c r="K54" s="27">
        <f>IF(G54="გამ. შესყიდვა",SUMIFS('[1]გამარტივებული შესყიდვა'!L:L,'[1]გამარტივებული შესყიდვა'!K:K,B54,'[1]გამარტივებული შესყიდვა'!N:N,"სახელმწიფო ბიუჯეტი",'[1]გამარტივებული შესყიდვა'!O:O,"270106"),0)</f>
        <v>0</v>
      </c>
      <c r="L54" s="27">
        <v>0</v>
      </c>
      <c r="M54" s="27">
        <f>IF(G54="კონს. ტენდერი",SUMIFS('[1]კონსოლიდირებული ტენდერი'!L:L,'[1]კონსოლიდირებული ტენდერი'!E:E,B54,'[1]კონსოლიდირებული ტენდერი'!N:N,"სახელმწიფო ბიუჯეტი",'[1]კონსოლიდირებული ტენდერი'!O:O,"270106"),0)</f>
        <v>0</v>
      </c>
      <c r="N54" s="27">
        <v>0</v>
      </c>
      <c r="O54" s="27">
        <f>IF(G54="ელ. ტენდერი",SUMIFS('[1]ელ. ტენდერი'!N:N,'[1]ელ. ტენდერი'!G:G,B54,'[1]ელ. ტენდერი'!Q:Q,"სახელმწიფო ბიუჯეტი",'[1]ელ. ტენდერი'!R:R,"270106"),0)</f>
        <v>0</v>
      </c>
      <c r="P54" s="27">
        <v>0</v>
      </c>
      <c r="Q54" s="29">
        <f t="shared" si="1"/>
        <v>2000</v>
      </c>
    </row>
    <row r="55" spans="1:17" ht="15.75" x14ac:dyDescent="0.3">
      <c r="A55" s="18">
        <v>50</v>
      </c>
      <c r="B55" s="19" t="s">
        <v>91</v>
      </c>
      <c r="C55" s="20" t="s">
        <v>25</v>
      </c>
      <c r="D55" s="21">
        <v>2703030701</v>
      </c>
      <c r="E55" s="22" t="s">
        <v>92</v>
      </c>
      <c r="F55" s="23">
        <v>500</v>
      </c>
      <c r="G55" s="24" t="s">
        <v>27</v>
      </c>
      <c r="H55" s="25">
        <v>43831</v>
      </c>
      <c r="I55" s="25">
        <v>44196</v>
      </c>
      <c r="J55" s="32"/>
      <c r="K55" s="27">
        <v>0</v>
      </c>
      <c r="L55" s="27">
        <f>IF(G55="გამ. შესყიდვა",SUMIFS('[1]გამარტივებული შესყიდვა'!L:L,'[1]გამარტივებული შესყიდვა'!K:K,B55,'[1]გამარტივებული შესყიდვა'!N:N,"სახელმწიფო ბიუჯეტი",'[1]გამარტივებული შესყიდვა'!O:O,"2703030701"),0)</f>
        <v>90</v>
      </c>
      <c r="M55" s="27">
        <v>0</v>
      </c>
      <c r="N55" s="27">
        <f>IF(G55="კონს. ტენდერი",SUMIFS('[1]კონსოლიდირებული ტენდერი'!L:L,'[1]კონსოლიდირებული ტენდერი'!E:E,B55,'[1]კონსოლიდირებული ტენდერი'!N:N,"სახელმწიფო ბიუჯეტი",'[1]კონსოლიდირებული ტენდერი'!O:O,"2703030701"),0)</f>
        <v>0</v>
      </c>
      <c r="O55" s="27">
        <v>0</v>
      </c>
      <c r="P55" s="27">
        <f>IF(G55="ელ. ტენდერი",SUMIFS('[1]ელ. ტენდერი'!N:N,'[1]ელ. ტენდერი'!G:G,B55,'[1]ელ. ტენდერი'!Q:Q,"სახელმწიფო ბიუჯეტი",'[1]ელ. ტენდერი'!R:R,"2703030701"),0)</f>
        <v>0</v>
      </c>
      <c r="Q55" s="29">
        <f t="shared" si="1"/>
        <v>410</v>
      </c>
    </row>
    <row r="56" spans="1:17" ht="15.75" x14ac:dyDescent="0.3">
      <c r="A56" s="18">
        <v>51</v>
      </c>
      <c r="B56" s="38" t="s">
        <v>93</v>
      </c>
      <c r="C56" s="20" t="s">
        <v>25</v>
      </c>
      <c r="D56" s="21">
        <v>270106</v>
      </c>
      <c r="E56" s="22" t="s">
        <v>94</v>
      </c>
      <c r="F56" s="23">
        <f>900+1700+140+669</f>
        <v>3409</v>
      </c>
      <c r="G56" s="24" t="s">
        <v>27</v>
      </c>
      <c r="H56" s="25">
        <v>43831</v>
      </c>
      <c r="I56" s="25">
        <v>44196</v>
      </c>
      <c r="J56" s="32"/>
      <c r="K56" s="27">
        <f>IF(G56="გამ. შესყიდვა",SUMIFS('[1]გამარტივებული შესყიდვა'!L:L,'[1]გამარტივებული შესყიდვა'!K:K,B56,'[1]გამარტივებული შესყიდვა'!N:N,"სახელმწიფო ბიუჯეტი",'[1]გამარტივებული შესყიდვა'!O:O,"270106"),0)</f>
        <v>3409</v>
      </c>
      <c r="L56" s="27">
        <v>0</v>
      </c>
      <c r="M56" s="27">
        <f>IF(G56="კონს. ტენდერი",SUMIFS('[1]კონსოლიდირებული ტენდერი'!L:L,'[1]კონსოლიდირებული ტენდერი'!E:E,B56,'[1]კონსოლიდირებული ტენდერი'!N:N,"სახელმწიფო ბიუჯეტი",'[1]კონსოლიდირებული ტენდერი'!O:O,"270106"),0)</f>
        <v>0</v>
      </c>
      <c r="N56" s="27">
        <v>0</v>
      </c>
      <c r="O56" s="27">
        <f>IF(G56="ელ. ტენდერი",SUMIFS('[1]ელ. ტენდერი'!N:N,'[1]ელ. ტენდერი'!G:G,B56,'[1]ელ. ტენდერი'!Q:Q,"სახელმწიფო ბიუჯეტი",'[1]ელ. ტენდერი'!R:R,"270106"),0)</f>
        <v>0</v>
      </c>
      <c r="P56" s="27">
        <v>0</v>
      </c>
      <c r="Q56" s="29">
        <f t="shared" si="1"/>
        <v>0</v>
      </c>
    </row>
    <row r="57" spans="1:17" ht="15.75" x14ac:dyDescent="0.3">
      <c r="A57" s="18">
        <v>52</v>
      </c>
      <c r="B57" s="19" t="s">
        <v>93</v>
      </c>
      <c r="C57" s="20" t="s">
        <v>25</v>
      </c>
      <c r="D57" s="21">
        <v>2703030701</v>
      </c>
      <c r="E57" s="22" t="s">
        <v>94</v>
      </c>
      <c r="F57" s="23">
        <f>2000-1700-140</f>
        <v>160</v>
      </c>
      <c r="G57" s="24" t="s">
        <v>27</v>
      </c>
      <c r="H57" s="25">
        <v>43831</v>
      </c>
      <c r="I57" s="25">
        <v>44196</v>
      </c>
      <c r="J57" s="39"/>
      <c r="K57" s="27">
        <v>0</v>
      </c>
      <c r="L57" s="27">
        <f>IF(G57="გამ. შესყიდვა",SUMIFS('[1]გამარტივებული შესყიდვა'!L:L,'[1]გამარტივებული შესყიდვა'!K:K,B57,'[1]გამარტივებული შესყიდვა'!N:N,"სახელმწიფო ბიუჯეტი",'[1]გამარტივებული შესყიდვა'!O:O,"2703030701"),0)</f>
        <v>0</v>
      </c>
      <c r="M57" s="27">
        <v>0</v>
      </c>
      <c r="N57" s="27">
        <f>IF(G57="კონს. ტენდერი",SUMIFS('[1]კონსოლიდირებული ტენდერი'!L:L,'[1]კონსოლიდირებული ტენდერი'!E:E,B57,'[1]კონსოლიდირებული ტენდერი'!N:N,"სახელმწიფო ბიუჯეტი",'[1]კონსოლიდირებული ტენდერი'!O:O,"2703030701"),0)</f>
        <v>0</v>
      </c>
      <c r="O57" s="27">
        <v>0</v>
      </c>
      <c r="P57" s="27">
        <f>IF(G57="ელ. ტენდერი",SUMIFS('[1]ელ. ტენდერი'!N:N,'[1]ელ. ტენდერი'!G:G,B57,'[1]ელ. ტენდერი'!Q:Q,"სახელმწიფო ბიუჯეტი",'[1]ელ. ტენდერი'!R:R,"2703030701"),0)</f>
        <v>0</v>
      </c>
      <c r="Q57" s="29">
        <f t="shared" si="1"/>
        <v>160</v>
      </c>
    </row>
    <row r="58" spans="1:17" ht="15.75" x14ac:dyDescent="0.3">
      <c r="A58" s="18">
        <v>53</v>
      </c>
      <c r="B58" s="38" t="s">
        <v>95</v>
      </c>
      <c r="C58" s="20" t="s">
        <v>25</v>
      </c>
      <c r="D58" s="21">
        <v>2703030701</v>
      </c>
      <c r="E58" s="22" t="s">
        <v>96</v>
      </c>
      <c r="F58" s="40">
        <f>250000+18000+300000+10000-22000-130000-100000+14000</f>
        <v>340000</v>
      </c>
      <c r="G58" s="24" t="s">
        <v>44</v>
      </c>
      <c r="H58" s="25">
        <v>43831</v>
      </c>
      <c r="I58" s="25">
        <v>44196</v>
      </c>
      <c r="J58" s="39"/>
      <c r="K58" s="27">
        <v>0</v>
      </c>
      <c r="L58" s="27">
        <f>IF(G58="გამ. შესყიდვა",SUMIFS('[1]გამარტივებული შესყიდვა'!L:L,'[1]გამარტივებული შესყიდვა'!K:K,B58,'[1]გამარტივებული შესყიდვა'!N:N,"სახელმწიფო ბიუჯეტი",'[1]გამარტივებული შესყიდვა'!O:O,"2703030701"),0)</f>
        <v>0</v>
      </c>
      <c r="M58" s="27">
        <v>0</v>
      </c>
      <c r="N58" s="27">
        <f>IF(G58="კონს. ტენდერი",SUMIFS('[1]კონსოლიდირებული ტენდერი'!L:L,'[1]კონსოლიდირებული ტენდერი'!E:E,B58,'[1]კონსოლიდირებული ტენდერი'!N:N,"სახელმწიფო ბიუჯეტი",'[1]კონსოლიდირებული ტენდერი'!O:O,"2703030701"),0)</f>
        <v>0</v>
      </c>
      <c r="O58" s="27">
        <v>0</v>
      </c>
      <c r="P58" s="27">
        <f>IF(G58="ელ. ტენდერი",SUMIFS('[1]ელ. ტენდერი'!N:N,'[1]ელ. ტენდერი'!G:G,B58,'[1]ელ. ტენდერი'!Q:Q,"სახელმწიფო ბიუჯეტი",'[1]ელ. ტენდერი'!R:R,"2703030701"),0)</f>
        <v>339224</v>
      </c>
      <c r="Q58" s="29">
        <f t="shared" si="1"/>
        <v>776</v>
      </c>
    </row>
    <row r="59" spans="1:17" ht="15.75" x14ac:dyDescent="0.3">
      <c r="A59" s="18">
        <v>54</v>
      </c>
      <c r="B59" s="19" t="s">
        <v>95</v>
      </c>
      <c r="C59" s="20" t="s">
        <v>25</v>
      </c>
      <c r="D59" s="21">
        <v>2703030701</v>
      </c>
      <c r="E59" s="22" t="s">
        <v>96</v>
      </c>
      <c r="F59" s="40">
        <f>30000+10000</f>
        <v>40000</v>
      </c>
      <c r="G59" s="24" t="s">
        <v>27</v>
      </c>
      <c r="H59" s="25">
        <v>43831</v>
      </c>
      <c r="I59" s="25">
        <v>44196</v>
      </c>
      <c r="J59" s="41" t="s">
        <v>39</v>
      </c>
      <c r="K59" s="27">
        <v>0</v>
      </c>
      <c r="L59" s="28">
        <v>0</v>
      </c>
      <c r="M59" s="27">
        <v>0</v>
      </c>
      <c r="N59" s="27">
        <f>IF(G59="კონს. ტენდერი",SUMIFS('[1]კონსოლიდირებული ტენდერი'!L:L,'[1]კონსოლიდირებული ტენდერი'!E:E,B59,'[1]კონსოლიდირებული ტენდერი'!N:N,"სახელმწიფო ბიუჯეტი",'[1]კონსოლიდირებული ტენდერი'!O:O,"2703030701"),0)</f>
        <v>0</v>
      </c>
      <c r="O59" s="27">
        <v>0</v>
      </c>
      <c r="P59" s="27">
        <f>IF(G59="ელ. ტენდერი",SUMIFS('[1]ელ. ტენდერი'!N:N,'[1]ელ. ტენდერი'!G:G,B59,'[1]ელ. ტენდერი'!Q:Q,"სახელმწიფო ბიუჯეტი",'[1]ელ. ტენდერი'!R:R,"2703030701"),0)</f>
        <v>0</v>
      </c>
      <c r="Q59" s="29">
        <f t="shared" si="1"/>
        <v>40000</v>
      </c>
    </row>
    <row r="60" spans="1:17" ht="15.75" x14ac:dyDescent="0.3">
      <c r="A60" s="18">
        <v>55</v>
      </c>
      <c r="B60" s="42" t="s">
        <v>95</v>
      </c>
      <c r="C60" s="20" t="s">
        <v>25</v>
      </c>
      <c r="D60" s="21">
        <v>2703030701</v>
      </c>
      <c r="E60" s="22" t="s">
        <v>96</v>
      </c>
      <c r="F60" s="40">
        <f>300000+20000+360000-57610-12770-41105-3609</f>
        <v>564906</v>
      </c>
      <c r="G60" s="24" t="s">
        <v>32</v>
      </c>
      <c r="H60" s="25">
        <v>43831</v>
      </c>
      <c r="I60" s="25">
        <v>44196</v>
      </c>
      <c r="J60" s="41"/>
      <c r="K60" s="27">
        <v>0</v>
      </c>
      <c r="L60" s="27">
        <f>IF(G60="გამ. შესყიდვა",SUMIFS('[1]გამარტივებული შესყიდვა'!L:L,'[1]გამარტივებული შესყიდვა'!K:K,B60,'[1]გამარტივებული შესყიდვა'!N:N,"სახელმწიფო ბიუჯეტი",'[1]გამარტივებული შესყიდვა'!O:O,"2703030701"),0)</f>
        <v>0</v>
      </c>
      <c r="M60" s="27">
        <v>0</v>
      </c>
      <c r="N60" s="27">
        <f>IF(G60="კონს. ტენდერი",SUMIFS('[1]კონსოლიდირებული ტენდერი'!L:L,'[1]კონსოლიდირებული ტენდერი'!E:E,B60,'[1]კონსოლიდირებული ტენდერი'!N:N,"სახელმწიფო ბიუჯეტი",'[1]კონსოლიდირებული ტენდერი'!O:O,"2703030701"),0)</f>
        <v>556916.91</v>
      </c>
      <c r="O60" s="27">
        <v>0</v>
      </c>
      <c r="P60" s="27">
        <f>IF(G60="ელ. ტენდერი",SUMIFS('[1]ელ. ტენდერი'!N:N,'[1]ელ. ტენდერი'!G:G,B60,'[1]ელ. ტენდერი'!Q:Q,"სახელმწიფო ბიუჯეტი",'[1]ელ. ტენდერი'!R:R,"2703030701"),0)</f>
        <v>0</v>
      </c>
      <c r="Q60" s="29">
        <f t="shared" si="1"/>
        <v>7989.0899999999674</v>
      </c>
    </row>
    <row r="61" spans="1:17" ht="15.75" x14ac:dyDescent="0.3">
      <c r="A61" s="18">
        <v>56</v>
      </c>
      <c r="B61" s="43" t="s">
        <v>95</v>
      </c>
      <c r="C61" s="20" t="s">
        <v>25</v>
      </c>
      <c r="D61" s="21">
        <v>2703030701</v>
      </c>
      <c r="E61" s="22" t="s">
        <v>96</v>
      </c>
      <c r="F61" s="40">
        <f>3500+23000+2500+14500+43000+112770+1100+3609</f>
        <v>203979</v>
      </c>
      <c r="G61" s="24" t="s">
        <v>27</v>
      </c>
      <c r="H61" s="25">
        <v>43907</v>
      </c>
      <c r="I61" s="25">
        <v>44196</v>
      </c>
      <c r="J61" s="41" t="s">
        <v>59</v>
      </c>
      <c r="K61" s="27">
        <v>0</v>
      </c>
      <c r="L61" s="27">
        <f>IF(G61="გამ. შესყიდვა",SUMIFS('[1]გამარტივებული შესყიდვა'!L:L,'[1]გამარტივებული შესყიდვა'!K:K,B61,'[1]გამარტივებული შესყიდვა'!N:N,"სახელმწიფო ბიუჯეტი",'[1]გამარტივებული შესყიდვა'!O:O,"2703030701"),0)</f>
        <v>329978.15000000002</v>
      </c>
      <c r="M61" s="27">
        <v>0</v>
      </c>
      <c r="N61" s="27">
        <f>IF(G61="კონს. ტენდერი",SUMIFS('[1]კონსოლიდირებული ტენდერი'!L:L,'[1]კონსოლიდირებული ტენდერი'!E:E,B61,'[1]კონსოლიდირებული ტენდერი'!N:N,"სახელმწიფო ბიუჯეტი",'[1]კონსოლიდირებული ტენდერი'!O:O,"2703030701"),0)</f>
        <v>0</v>
      </c>
      <c r="O61" s="27">
        <v>0</v>
      </c>
      <c r="P61" s="27">
        <f>IF(G61="ელ. ტენდერი",SUMIFS('[1]ელ. ტენდერი'!N:N,'[1]ელ. ტენდერი'!G:G,B61,'[1]ელ. ტენდერი'!Q:Q,"სახელმწიფო ბიუჯეტი",'[1]ელ. ტენდერი'!R:R,"2703030701"),0)</f>
        <v>0</v>
      </c>
      <c r="Q61" s="29">
        <f t="shared" si="1"/>
        <v>-125999.15000000002</v>
      </c>
    </row>
    <row r="62" spans="1:17" ht="15.75" x14ac:dyDescent="0.3">
      <c r="A62" s="18">
        <v>57</v>
      </c>
      <c r="B62" s="38" t="s">
        <v>97</v>
      </c>
      <c r="C62" s="20" t="s">
        <v>25</v>
      </c>
      <c r="D62" s="21">
        <v>2703030701</v>
      </c>
      <c r="E62" s="22" t="s">
        <v>98</v>
      </c>
      <c r="F62" s="40">
        <f>600000+60000+400000-87000-160000+6900</f>
        <v>819900</v>
      </c>
      <c r="G62" s="24" t="s">
        <v>32</v>
      </c>
      <c r="H62" s="25">
        <v>43831</v>
      </c>
      <c r="I62" s="25">
        <v>44196</v>
      </c>
      <c r="J62" s="41"/>
      <c r="K62" s="27">
        <v>0</v>
      </c>
      <c r="L62" s="27">
        <f>IF(G62="გამ. შესყიდვა",SUMIFS('[1]გამარტივებული შესყიდვა'!L:L,'[1]გამარტივებული შესყიდვა'!K:K,B62,'[1]გამარტივებული შესყიდვა'!N:N,"სახელმწიფო ბიუჯეტი",'[1]გამარტივებული შესყიდვა'!O:O,"2703030701"),0)</f>
        <v>0</v>
      </c>
      <c r="M62" s="27">
        <v>0</v>
      </c>
      <c r="N62" s="27">
        <f>IF(G62="კონს. ტენდერი",SUMIFS('[1]კონსოლიდირებული ტენდერი'!L:L,'[1]კონსოლიდირებული ტენდერი'!E:E,B62,'[1]კონსოლიდირებული ტენდერი'!N:N,"სახელმწიფო ბიუჯეტი",'[1]კონსოლიდირებული ტენდერი'!O:O,"2703030701"),0)</f>
        <v>819845.83</v>
      </c>
      <c r="O62" s="27">
        <v>0</v>
      </c>
      <c r="P62" s="27">
        <f>IF(G62="ელ. ტენდერი",SUMIFS('[1]ელ. ტენდერი'!N:N,'[1]ელ. ტენდერი'!G:G,B62,'[1]ელ. ტენდერი'!Q:Q,"სახელმწიფო ბიუჯეტი",'[1]ელ. ტენდერი'!R:R,"2703030701"),0)</f>
        <v>0</v>
      </c>
      <c r="Q62" s="29">
        <f t="shared" si="1"/>
        <v>54.17000000004191</v>
      </c>
    </row>
    <row r="63" spans="1:17" ht="15.75" x14ac:dyDescent="0.3">
      <c r="A63" s="18">
        <v>58</v>
      </c>
      <c r="B63" s="19" t="s">
        <v>97</v>
      </c>
      <c r="C63" s="20" t="s">
        <v>25</v>
      </c>
      <c r="D63" s="21">
        <v>2703030701</v>
      </c>
      <c r="E63" s="22" t="s">
        <v>98</v>
      </c>
      <c r="F63" s="40">
        <f>80000+50000-70000+20000+60000-72810</f>
        <v>67190</v>
      </c>
      <c r="G63" s="24" t="s">
        <v>44</v>
      </c>
      <c r="H63" s="25">
        <v>43831</v>
      </c>
      <c r="I63" s="25">
        <v>44196</v>
      </c>
      <c r="J63" s="39"/>
      <c r="K63" s="27">
        <v>0</v>
      </c>
      <c r="L63" s="27">
        <f>IF(G63="გამ. შესყიდვა",SUMIFS('[1]გამარტივებული შესყიდვა'!L:L,'[1]გამარტივებული შესყიდვა'!K:K,B63,'[1]გამარტივებული შესყიდვა'!N:N,"სახელმწიფო ბიუჯეტი",'[1]გამარტივებული შესყიდვა'!O:O,"2703030701"),0)</f>
        <v>0</v>
      </c>
      <c r="M63" s="27">
        <v>0</v>
      </c>
      <c r="N63" s="27">
        <f>IF(G63="კონს. ტენდერი",SUMIFS('[1]კონსოლიდირებული ტენდერი'!L:L,'[1]კონსოლიდირებული ტენდერი'!E:E,B63,'[1]კონსოლიდირებული ტენდერი'!N:N,"სახელმწიფო ბიუჯეტი",'[1]კონსოლიდირებული ტენდერი'!O:O,"2703030701"),0)</f>
        <v>0</v>
      </c>
      <c r="O63" s="27">
        <v>0</v>
      </c>
      <c r="P63" s="27">
        <f>IF(G63="ელ. ტენდერი",SUMIFS('[1]ელ. ტენდერი'!N:N,'[1]ელ. ტენდერი'!G:G,B63,'[1]ელ. ტენდერი'!Q:Q,"სახელმწიფო ბიუჯეტი",'[1]ელ. ტენდერი'!R:R,"2703030701"),0)</f>
        <v>39977.97</v>
      </c>
      <c r="Q63" s="29">
        <f t="shared" si="1"/>
        <v>27212.03</v>
      </c>
    </row>
    <row r="64" spans="1:17" ht="15.75" x14ac:dyDescent="0.3">
      <c r="A64" s="18">
        <v>59</v>
      </c>
      <c r="B64" s="19" t="s">
        <v>97</v>
      </c>
      <c r="C64" s="20" t="s">
        <v>25</v>
      </c>
      <c r="D64" s="21">
        <v>2703030701</v>
      </c>
      <c r="E64" s="22" t="s">
        <v>98</v>
      </c>
      <c r="F64" s="40">
        <f>30000+10000</f>
        <v>40000</v>
      </c>
      <c r="G64" s="24" t="s">
        <v>27</v>
      </c>
      <c r="H64" s="25">
        <v>43831</v>
      </c>
      <c r="I64" s="25">
        <v>44196</v>
      </c>
      <c r="J64" s="41" t="s">
        <v>39</v>
      </c>
      <c r="K64" s="27">
        <v>0</v>
      </c>
      <c r="L64" s="28">
        <v>0</v>
      </c>
      <c r="M64" s="27">
        <v>0</v>
      </c>
      <c r="N64" s="27">
        <f>IF(G64="კონს. ტენდერი",SUMIFS('[1]კონსოლიდირებული ტენდერი'!L:L,'[1]კონსოლიდირებული ტენდერი'!E:E,B64,'[1]კონსოლიდირებული ტენდერი'!N:N,"სახელმწიფო ბიუჯეტი",'[1]კონსოლიდირებული ტენდერი'!O:O,"2703030701"),0)</f>
        <v>0</v>
      </c>
      <c r="O64" s="27">
        <v>0</v>
      </c>
      <c r="P64" s="27">
        <f>IF(G64="ელ. ტენდერი",SUMIFS('[1]ელ. ტენდერი'!N:N,'[1]ელ. ტენდერი'!G:G,B64,'[1]ელ. ტენდერი'!Q:Q,"სახელმწიფო ბიუჯეტი",'[1]ელ. ტენდერი'!R:R,"2703030701"),0)</f>
        <v>0</v>
      </c>
      <c r="Q64" s="29">
        <f t="shared" si="1"/>
        <v>40000</v>
      </c>
    </row>
    <row r="65" spans="1:17" ht="15.75" x14ac:dyDescent="0.3">
      <c r="A65" s="18">
        <v>60</v>
      </c>
      <c r="B65" s="19" t="s">
        <v>97</v>
      </c>
      <c r="C65" s="20" t="s">
        <v>25</v>
      </c>
      <c r="D65" s="21">
        <v>2703030701</v>
      </c>
      <c r="E65" s="22" t="s">
        <v>98</v>
      </c>
      <c r="F65" s="40">
        <f>6920+100000-31200-2500+55000</f>
        <v>128220</v>
      </c>
      <c r="G65" s="24" t="s">
        <v>27</v>
      </c>
      <c r="H65" s="25">
        <v>43862</v>
      </c>
      <c r="I65" s="25">
        <v>44196</v>
      </c>
      <c r="J65" s="41" t="s">
        <v>59</v>
      </c>
      <c r="K65" s="27">
        <v>0</v>
      </c>
      <c r="L65" s="27">
        <f>IF(G65="გამ. შესყიდვა",SUMIFS('[1]გამარტივებული შესყიდვა'!L:L,'[1]გამარტივებული შესყიდვა'!K:K,B65,'[1]გამარტივებული შესყიდვა'!N:N,"სახელმწიფო ბიუჯეტი",'[1]გამარტივებული შესყიდვა'!O:O,"2703030701"),0)</f>
        <v>114779.00000000003</v>
      </c>
      <c r="M65" s="27">
        <v>0</v>
      </c>
      <c r="N65" s="27">
        <f>IF(G65="კონს. ტენდერი",SUMIFS('[1]კონსოლიდირებული ტენდერი'!L:L,'[1]კონსოლიდირებული ტენდერი'!E:E,B65,'[1]კონსოლიდირებული ტენდერი'!N:N,"სახელმწიფო ბიუჯეტი",'[1]კონსოლიდირებული ტენდერი'!O:O,"2703030701"),0)</f>
        <v>0</v>
      </c>
      <c r="O65" s="27">
        <v>0</v>
      </c>
      <c r="P65" s="27">
        <f>IF(G65="ელ. ტენდერი",SUMIFS('[1]ელ. ტენდერი'!N:N,'[1]ელ. ტენდერი'!G:G,B65,'[1]ელ. ტენდერი'!Q:Q,"სახელმწიფო ბიუჯეტი",'[1]ელ. ტენდერი'!R:R,"2703030701"),0)</f>
        <v>0</v>
      </c>
      <c r="Q65" s="29">
        <f t="shared" si="1"/>
        <v>13440.999999999971</v>
      </c>
    </row>
    <row r="66" spans="1:17" ht="15.75" x14ac:dyDescent="0.3">
      <c r="A66" s="18">
        <v>61</v>
      </c>
      <c r="B66" s="19" t="s">
        <v>99</v>
      </c>
      <c r="C66" s="20" t="s">
        <v>25</v>
      </c>
      <c r="D66" s="21">
        <v>2703030701</v>
      </c>
      <c r="E66" s="22" t="s">
        <v>100</v>
      </c>
      <c r="F66" s="40">
        <f>1000+800+8000-8800</f>
        <v>1000</v>
      </c>
      <c r="G66" s="24" t="s">
        <v>27</v>
      </c>
      <c r="H66" s="25">
        <v>43831</v>
      </c>
      <c r="I66" s="25">
        <v>44196</v>
      </c>
      <c r="J66" s="39"/>
      <c r="K66" s="27">
        <v>0</v>
      </c>
      <c r="L66" s="27">
        <f>IF(G66="გამ. შესყიდვა",SUMIFS('[1]გამარტივებული შესყიდვა'!L:L,'[1]გამარტივებული შესყიდვა'!K:K,B66,'[1]გამარტივებული შესყიდვა'!N:N,"სახელმწიფო ბიუჯეტი",'[1]გამარტივებული შესყიდვა'!O:O,"2703030701"),0)</f>
        <v>0</v>
      </c>
      <c r="M66" s="27">
        <v>0</v>
      </c>
      <c r="N66" s="27">
        <f>IF(G66="კონს. ტენდერი",SUMIFS('[1]კონსოლიდირებული ტენდერი'!L:L,'[1]კონსოლიდირებული ტენდერი'!E:E,B66,'[1]კონსოლიდირებული ტენდერი'!N:N,"სახელმწიფო ბიუჯეტი",'[1]კონსოლიდირებული ტენდერი'!O:O,"2703030701"),0)</f>
        <v>0</v>
      </c>
      <c r="O66" s="27">
        <v>0</v>
      </c>
      <c r="P66" s="27">
        <f>IF(G66="ელ. ტენდერი",SUMIFS('[1]ელ. ტენდერი'!N:N,'[1]ელ. ტენდერი'!G:G,B66,'[1]ელ. ტენდერი'!Q:Q,"სახელმწიფო ბიუჯეტი",'[1]ელ. ტენდერი'!R:R,"2703030701"),0)</f>
        <v>0</v>
      </c>
      <c r="Q66" s="29">
        <f t="shared" si="1"/>
        <v>1000</v>
      </c>
    </row>
    <row r="67" spans="1:17" ht="15.75" x14ac:dyDescent="0.3">
      <c r="A67" s="18">
        <v>62</v>
      </c>
      <c r="B67" s="19" t="s">
        <v>99</v>
      </c>
      <c r="C67" s="20" t="s">
        <v>25</v>
      </c>
      <c r="D67" s="21">
        <v>270106</v>
      </c>
      <c r="E67" s="22" t="s">
        <v>100</v>
      </c>
      <c r="F67" s="40">
        <v>3990</v>
      </c>
      <c r="G67" s="24" t="s">
        <v>27</v>
      </c>
      <c r="H67" s="25">
        <v>43831</v>
      </c>
      <c r="I67" s="25">
        <v>44196</v>
      </c>
      <c r="J67" s="39"/>
      <c r="K67" s="27">
        <f>IF(G67="გამ. შესყიდვა",SUMIFS('[1]გამარტივებული შესყიდვა'!L:L,'[1]გამარტივებული შესყიდვა'!K:K,B67,'[1]გამარტივებული შესყიდვა'!N:N,"სახელმწიფო ბიუჯეტი",'[1]გამარტივებული შესყიდვა'!O:O,"270106"),0)</f>
        <v>3840</v>
      </c>
      <c r="L67" s="27">
        <v>0</v>
      </c>
      <c r="M67" s="27">
        <f>IF(G67="კონს. ტენდერი",SUMIFS('[1]კონსოლიდირებული ტენდერი'!L:L,'[1]კონსოლიდირებული ტენდერი'!E:E,B67,'[1]კონსოლიდირებული ტენდერი'!N:N,"სახელმწიფო ბიუჯეტი",'[1]კონსოლიდირებული ტენდერი'!O:O,"270106"),0)</f>
        <v>0</v>
      </c>
      <c r="N67" s="27">
        <v>0</v>
      </c>
      <c r="O67" s="27">
        <f>IF(G67="ელ. ტენდერი",SUMIFS('[1]ელ. ტენდერი'!N:N,'[1]ელ. ტენდერი'!G:G,B67,'[1]ელ. ტენდერი'!Q:Q,"სახელმწიფო ბიუჯეტი",'[1]ელ. ტენდერი'!R:R,"270106"),0)</f>
        <v>0</v>
      </c>
      <c r="P67" s="27">
        <v>0</v>
      </c>
      <c r="Q67" s="29">
        <f t="shared" si="1"/>
        <v>150</v>
      </c>
    </row>
    <row r="68" spans="1:17" ht="15.75" x14ac:dyDescent="0.3">
      <c r="A68" s="18">
        <v>63</v>
      </c>
      <c r="B68" s="19" t="s">
        <v>101</v>
      </c>
      <c r="C68" s="20" t="s">
        <v>72</v>
      </c>
      <c r="D68" s="21">
        <v>270402</v>
      </c>
      <c r="E68" s="22" t="s">
        <v>102</v>
      </c>
      <c r="F68" s="40">
        <v>3397000</v>
      </c>
      <c r="G68" s="24" t="s">
        <v>32</v>
      </c>
      <c r="H68" s="25">
        <v>43831</v>
      </c>
      <c r="I68" s="25">
        <v>44196</v>
      </c>
      <c r="J68" s="41"/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</row>
    <row r="69" spans="1:17" ht="15.75" x14ac:dyDescent="0.3">
      <c r="A69" s="18">
        <v>64</v>
      </c>
      <c r="B69" s="19" t="s">
        <v>103</v>
      </c>
      <c r="C69" s="20" t="s">
        <v>25</v>
      </c>
      <c r="D69" s="21">
        <v>2703030701</v>
      </c>
      <c r="E69" s="22" t="s">
        <v>104</v>
      </c>
      <c r="F69" s="40">
        <f>370000+35000+150000-80000-757</f>
        <v>474243</v>
      </c>
      <c r="G69" s="24" t="s">
        <v>32</v>
      </c>
      <c r="H69" s="25">
        <v>43831</v>
      </c>
      <c r="I69" s="25">
        <v>44196</v>
      </c>
      <c r="J69" s="39"/>
      <c r="K69" s="27">
        <v>0</v>
      </c>
      <c r="L69" s="27">
        <f>IF(G69="გამ. შესყიდვა",SUMIFS('[1]გამარტივებული შესყიდვა'!L:L,'[1]გამარტივებული შესყიდვა'!K:K,B69,'[1]გამარტივებული შესყიდვა'!N:N,"სახელმწიფო ბიუჯეტი",'[1]გამარტივებული შესყიდვა'!O:O,"2703030701"),0)</f>
        <v>0</v>
      </c>
      <c r="M69" s="27">
        <v>0</v>
      </c>
      <c r="N69" s="27">
        <f>IF(G69="კონს. ტენდერი",SUMIFS('[1]კონსოლიდირებული ტენდერი'!L:L,'[1]კონსოლიდირებული ტენდერი'!E:E,B69,'[1]კონსოლიდირებული ტენდერი'!N:N,"სახელმწიფო ბიუჯეტი",'[1]კონსოლიდირებული ტენდერი'!O:O,"2703030701"),0)</f>
        <v>301327</v>
      </c>
      <c r="O69" s="27">
        <v>0</v>
      </c>
      <c r="P69" s="27">
        <f>IF(G69="ელ. ტენდერი",SUMIFS('[1]ელ. ტენდერი'!N:N,'[1]ელ. ტენდერი'!G:G,B69,'[1]ელ. ტენდერი'!Q:Q,"სახელმწიფო ბიუჯეტი",'[1]ელ. ტენდერი'!R:R,"2703030701"),0)</f>
        <v>0</v>
      </c>
      <c r="Q69" s="29">
        <f t="shared" si="1"/>
        <v>172916</v>
      </c>
    </row>
    <row r="70" spans="1:17" ht="15.75" x14ac:dyDescent="0.3">
      <c r="A70" s="18">
        <v>65</v>
      </c>
      <c r="B70" s="19" t="s">
        <v>103</v>
      </c>
      <c r="C70" s="20" t="s">
        <v>25</v>
      </c>
      <c r="D70" s="21">
        <v>2703030701</v>
      </c>
      <c r="E70" s="22" t="s">
        <v>104</v>
      </c>
      <c r="F70" s="40">
        <f>80000+600</f>
        <v>80600</v>
      </c>
      <c r="G70" s="24" t="s">
        <v>27</v>
      </c>
      <c r="H70" s="25">
        <v>43944</v>
      </c>
      <c r="I70" s="25">
        <v>44196</v>
      </c>
      <c r="J70" s="41" t="s">
        <v>59</v>
      </c>
      <c r="K70" s="27">
        <v>0</v>
      </c>
      <c r="L70" s="27">
        <f>IF(G70="გამ. შესყიდვა",SUMIFS('[1]გამარტივებული შესყიდვა'!L:L,'[1]გამარტივებული შესყიდვა'!K:K,B70,'[1]გამარტივებული შესყიდვა'!N:N,"სახელმწიფო ბიუჯეტი",'[1]გამარტივებული შესყიდვა'!O:O,"2703030701"),0)</f>
        <v>80568</v>
      </c>
      <c r="M70" s="27">
        <v>0</v>
      </c>
      <c r="N70" s="27">
        <f>IF(G70="კონს. ტენდერი",SUMIFS('[1]კონსოლიდირებული ტენდერი'!L:L,'[1]კონსოლიდირებული ტენდერი'!E:E,B70,'[1]კონსოლიდირებული ტენდერი'!N:N,"სახელმწიფო ბიუჯეტი",'[1]კონსოლიდირებული ტენდერი'!O:O,"2703030701"),0)</f>
        <v>0</v>
      </c>
      <c r="O70" s="27">
        <v>0</v>
      </c>
      <c r="P70" s="27">
        <f>IF(G70="ელ. ტენდერი",SUMIFS('[1]ელ. ტენდერი'!N:N,'[1]ელ. ტენდერი'!G:G,B70,'[1]ელ. ტენდერი'!Q:Q,"სახელმწიფო ბიუჯეტი",'[1]ელ. ტენდერი'!R:R,"2703030701"),0)</f>
        <v>0</v>
      </c>
      <c r="Q70" s="29">
        <f t="shared" si="1"/>
        <v>32</v>
      </c>
    </row>
    <row r="71" spans="1:17" ht="15.75" x14ac:dyDescent="0.3">
      <c r="A71" s="18">
        <v>66</v>
      </c>
      <c r="B71" s="19" t="s">
        <v>105</v>
      </c>
      <c r="C71" s="20" t="s">
        <v>72</v>
      </c>
      <c r="D71" s="21">
        <v>2703030701</v>
      </c>
      <c r="E71" s="22" t="s">
        <v>106</v>
      </c>
      <c r="F71" s="40">
        <v>2660</v>
      </c>
      <c r="G71" s="24" t="s">
        <v>27</v>
      </c>
      <c r="H71" s="25">
        <v>44053</v>
      </c>
      <c r="I71" s="25">
        <v>44196</v>
      </c>
      <c r="J71" s="41"/>
      <c r="K71" s="27">
        <v>0</v>
      </c>
      <c r="L71" s="27">
        <f>IF(G71="გამ. შესყიდვა",SUMIFS('[1]გამარტივებული შესყიდვა'!L:L,'[1]გამარტივებული შესყიდვა'!K:K,B71,'[1]გამარტივებული შესყიდვა'!N:N,"სახელმწიფო ბიუჯეტი",'[1]გამარტივებული შესყიდვა'!O:O,"2703030701"),0)</f>
        <v>2660</v>
      </c>
      <c r="M71" s="27">
        <v>0</v>
      </c>
      <c r="N71" s="27">
        <f>IF(G71="კონს. ტენდერი",SUMIFS('[1]კონსოლიდირებული ტენდერი'!L:L,'[1]კონსოლიდირებული ტენდერი'!E:E,B71,'[1]კონსოლიდირებული ტენდერი'!N:N,"სახელმწიფო ბიუჯეტი",'[1]კონსოლიდირებული ტენდერი'!O:O,"2703030701"),0)</f>
        <v>0</v>
      </c>
      <c r="O71" s="27">
        <v>0</v>
      </c>
      <c r="P71" s="27">
        <f>IF(G71="ელ. ტენდერი",SUMIFS('[1]ელ. ტენდერი'!N:N,'[1]ელ. ტენდერი'!G:G,B71,'[1]ელ. ტენდერი'!Q:Q,"სახელმწიფო ბიუჯეტი",'[1]ელ. ტენდერი'!R:R,"2703030701"),0)</f>
        <v>0</v>
      </c>
      <c r="Q71" s="29">
        <f t="shared" si="1"/>
        <v>0</v>
      </c>
    </row>
    <row r="72" spans="1:17" ht="15.75" x14ac:dyDescent="0.3">
      <c r="A72" s="18">
        <v>67</v>
      </c>
      <c r="B72" s="19" t="s">
        <v>107</v>
      </c>
      <c r="C72" s="20" t="s">
        <v>72</v>
      </c>
      <c r="D72" s="21">
        <v>2703030701</v>
      </c>
      <c r="E72" s="22" t="s">
        <v>108</v>
      </c>
      <c r="F72" s="40">
        <f>40000+2000-16000</f>
        <v>26000</v>
      </c>
      <c r="G72" s="24" t="s">
        <v>44</v>
      </c>
      <c r="H72" s="25">
        <v>43831</v>
      </c>
      <c r="I72" s="25">
        <v>44196</v>
      </c>
      <c r="J72" s="44"/>
      <c r="K72" s="27">
        <v>0</v>
      </c>
      <c r="L72" s="27">
        <f>IF(G72="გამ. შესყიდვა",SUMIFS('[1]გამარტივებული შესყიდვა'!L:L,'[1]გამარტივებული შესყიდვა'!K:K,B72,'[1]გამარტივებული შესყიდვა'!N:N,"სახელმწიფო ბიუჯეტი",'[1]გამარტივებული შესყიდვა'!O:O,"2703030701"),0)</f>
        <v>0</v>
      </c>
      <c r="M72" s="27">
        <v>0</v>
      </c>
      <c r="N72" s="27">
        <f>IF(G72="კონს. ტენდერი",SUMIFS('[1]კონსოლიდირებული ტენდერი'!L:L,'[1]კონსოლიდირებული ტენდერი'!E:E,B72,'[1]კონსოლიდირებული ტენდერი'!N:N,"სახელმწიფო ბიუჯეტი",'[1]კონსოლიდირებული ტენდერი'!O:O,"2703030701"),0)</f>
        <v>0</v>
      </c>
      <c r="O72" s="27">
        <v>0</v>
      </c>
      <c r="P72" s="27">
        <f>IF(G72="ელ. ტენდერი",SUMIFS('[1]ელ. ტენდერი'!N:N,'[1]ელ. ტენდერი'!G:G,B72,'[1]ელ. ტენდერი'!Q:Q,"სახელმწიფო ბიუჯეტი",'[1]ელ. ტენდერი'!R:R,"2703030701"),0)</f>
        <v>18480</v>
      </c>
      <c r="Q72" s="29">
        <f t="shared" si="1"/>
        <v>7520</v>
      </c>
    </row>
    <row r="73" spans="1:17" ht="15.75" x14ac:dyDescent="0.3">
      <c r="A73" s="18">
        <v>68</v>
      </c>
      <c r="B73" s="19" t="s">
        <v>109</v>
      </c>
      <c r="C73" s="20" t="s">
        <v>25</v>
      </c>
      <c r="D73" s="21">
        <v>2703030701</v>
      </c>
      <c r="E73" s="22" t="s">
        <v>110</v>
      </c>
      <c r="F73" s="40">
        <f>2000+2990</f>
        <v>4990</v>
      </c>
      <c r="G73" s="24" t="s">
        <v>27</v>
      </c>
      <c r="H73" s="25">
        <v>43831</v>
      </c>
      <c r="I73" s="25">
        <v>44196</v>
      </c>
      <c r="J73" s="45"/>
      <c r="K73" s="27">
        <v>0</v>
      </c>
      <c r="L73" s="27">
        <f>IF(G73="გამ. შესყიდვა",SUMIFS('[1]გამარტივებული შესყიდვა'!L:L,'[1]გამარტივებული შესყიდვა'!K:K,B73,'[1]გამარტივებული შესყიდვა'!N:N,"სახელმწიფო ბიუჯეტი",'[1]გამარტივებული შესყიდვა'!O:O,"2703030701"),0)</f>
        <v>4500</v>
      </c>
      <c r="M73" s="27">
        <v>0</v>
      </c>
      <c r="N73" s="27">
        <f>IF(G73="კონს. ტენდერი",SUMIFS('[1]კონსოლიდირებული ტენდერი'!L:L,'[1]კონსოლიდირებული ტენდერი'!E:E,B73,'[1]კონსოლიდირებული ტენდერი'!N:N,"სახელმწიფო ბიუჯეტი",'[1]კონსოლიდირებული ტენდერი'!O:O,"2703030701"),0)</f>
        <v>0</v>
      </c>
      <c r="O73" s="27">
        <v>0</v>
      </c>
      <c r="P73" s="27">
        <f>IF(G73="ელ. ტენდერი",SUMIFS('[1]ელ. ტენდერი'!N:N,'[1]ელ. ტენდერი'!G:G,B73,'[1]ელ. ტენდერი'!Q:Q,"სახელმწიფო ბიუჯეტი",'[1]ელ. ტენდერი'!R:R,"2703030701"),0)</f>
        <v>0</v>
      </c>
      <c r="Q73" s="29">
        <f t="shared" si="1"/>
        <v>490</v>
      </c>
    </row>
    <row r="74" spans="1:17" ht="15.75" x14ac:dyDescent="0.3">
      <c r="A74" s="18">
        <v>69</v>
      </c>
      <c r="B74" s="19" t="s">
        <v>111</v>
      </c>
      <c r="C74" s="37" t="s">
        <v>25</v>
      </c>
      <c r="D74" s="21">
        <v>2703030701</v>
      </c>
      <c r="E74" s="22" t="s">
        <v>112</v>
      </c>
      <c r="F74" s="40">
        <v>2000</v>
      </c>
      <c r="G74" s="24" t="s">
        <v>27</v>
      </c>
      <c r="H74" s="25">
        <v>43831</v>
      </c>
      <c r="I74" s="25">
        <v>44196</v>
      </c>
      <c r="J74" s="44"/>
      <c r="K74" s="27">
        <v>0</v>
      </c>
      <c r="L74" s="27">
        <f>IF(G74="გამ. შესყიდვა",SUMIFS('[1]გამარტივებული შესყიდვა'!L:L,'[1]გამარტივებული შესყიდვა'!K:K,B74,'[1]გამარტივებული შესყიდვა'!N:N,"სახელმწიფო ბიუჯეტი",'[1]გამარტივებული შესყიდვა'!O:O,"2703030701"),0)</f>
        <v>0</v>
      </c>
      <c r="M74" s="27">
        <v>0</v>
      </c>
      <c r="N74" s="27">
        <f>IF(G74="კონს. ტენდერი",SUMIFS('[1]კონსოლიდირებული ტენდერი'!L:L,'[1]კონსოლიდირებული ტენდერი'!E:E,B74,'[1]კონსოლიდირებული ტენდერი'!N:N,"სახელმწიფო ბიუჯეტი",'[1]კონსოლიდირებული ტენდერი'!O:O,"2703030701"),0)</f>
        <v>0</v>
      </c>
      <c r="O74" s="27">
        <v>0</v>
      </c>
      <c r="P74" s="27">
        <f>IF(G74="ელ. ტენდერი",SUMIFS('[1]ელ. ტენდერი'!N:N,'[1]ელ. ტენდერი'!G:G,B74,'[1]ელ. ტენდერი'!Q:Q,"სახელმწიფო ბიუჯეტი",'[1]ელ. ტენდერი'!R:R,"2703030701"),0)</f>
        <v>0</v>
      </c>
      <c r="Q74" s="29">
        <f t="shared" ref="Q74:Q157" si="2">F74-SUM(K74:P74)</f>
        <v>2000</v>
      </c>
    </row>
    <row r="75" spans="1:17" ht="15.75" x14ac:dyDescent="0.3">
      <c r="A75" s="18">
        <v>70</v>
      </c>
      <c r="B75" s="19" t="s">
        <v>113</v>
      </c>
      <c r="C75" s="20" t="s">
        <v>25</v>
      </c>
      <c r="D75" s="21">
        <v>2703030701</v>
      </c>
      <c r="E75" s="22" t="s">
        <v>114</v>
      </c>
      <c r="F75" s="23">
        <f>9500+10000+87500-45000</f>
        <v>62000</v>
      </c>
      <c r="G75" s="46" t="s">
        <v>44</v>
      </c>
      <c r="H75" s="25">
        <v>43831</v>
      </c>
      <c r="I75" s="25">
        <v>44196</v>
      </c>
      <c r="J75" s="32"/>
      <c r="K75" s="27">
        <v>0</v>
      </c>
      <c r="L75" s="27">
        <f>IF(G75="გამ. შესყიდვა",SUMIFS('[1]გამარტივებული შესყიდვა'!L:L,'[1]გამარტივებული შესყიდვა'!K:K,B75,'[1]გამარტივებული შესყიდვა'!N:N,"სახელმწიფო ბიუჯეტი",'[1]გამარტივებული შესყიდვა'!O:O,"2703030701"),0)</f>
        <v>0</v>
      </c>
      <c r="M75" s="27">
        <v>0</v>
      </c>
      <c r="N75" s="27">
        <f>IF(G75="კონს. ტენდერი",SUMIFS('[1]კონსოლიდირებული ტენდერი'!L:L,'[1]კონსოლიდირებული ტენდერი'!E:E,B75,'[1]კონსოლიდირებული ტენდერი'!N:N,"სახელმწიფო ბიუჯეტი",'[1]კონსოლიდირებული ტენდერი'!O:O,"2703030701"),0)</f>
        <v>0</v>
      </c>
      <c r="O75" s="27">
        <v>0</v>
      </c>
      <c r="P75" s="27">
        <f>IF(G75="ელ. ტენდერი",SUMIFS('[1]ელ. ტენდერი'!N:N,'[1]ელ. ტენდერი'!G:G,B75,'[1]ელ. ტენდერი'!Q:Q,"სახელმწიფო ბიუჯეტი",'[1]ელ. ტენდერი'!R:R,"2703030701"),0)</f>
        <v>0</v>
      </c>
      <c r="Q75" s="29">
        <f t="shared" si="2"/>
        <v>62000</v>
      </c>
    </row>
    <row r="76" spans="1:17" ht="15.75" x14ac:dyDescent="0.3">
      <c r="A76" s="18">
        <v>71</v>
      </c>
      <c r="B76" s="19" t="s">
        <v>113</v>
      </c>
      <c r="C76" s="20" t="s">
        <v>72</v>
      </c>
      <c r="D76" s="21">
        <v>2703030701</v>
      </c>
      <c r="E76" s="22" t="s">
        <v>114</v>
      </c>
      <c r="F76" s="23">
        <v>46000</v>
      </c>
      <c r="G76" s="46" t="s">
        <v>44</v>
      </c>
      <c r="H76" s="25">
        <v>43831</v>
      </c>
      <c r="I76" s="25">
        <v>44196</v>
      </c>
      <c r="J76" s="32"/>
      <c r="K76" s="27">
        <v>0</v>
      </c>
      <c r="L76" s="27">
        <f>IF(G76="გამ. შესყიდვა",SUMIFS('[1]გამარტივებული შესყიდვა'!L:L,'[1]გამარტივებული შესყიდვა'!K:K,B76,'[1]გამარტივებული შესყიდვა'!N:N,"სახელმწიფო ბიუჯეტი",'[1]გამარტივებული შესყიდვა'!O:O,"2703030701"),0)</f>
        <v>0</v>
      </c>
      <c r="M76" s="27">
        <v>0</v>
      </c>
      <c r="N76" s="27">
        <f>IF(G76="კონს. ტენდერი",SUMIFS('[1]კონსოლიდირებული ტენდერი'!L:L,'[1]კონსოლიდირებული ტენდერი'!E:E,B76,'[1]კონსოლიდირებული ტენდერი'!N:N,"სახელმწიფო ბიუჯეტი",'[1]კონსოლიდირებული ტენდერი'!O:O,"2703030701"),0)</f>
        <v>0</v>
      </c>
      <c r="O76" s="27">
        <v>0</v>
      </c>
      <c r="P76" s="27">
        <f>IF(G76="ელ. ტენდერი",SUMIFS('[1]ელ. ტენდერი'!N:N,'[1]ელ. ტენდერი'!G:G,B76,'[1]ელ. ტენდერი'!Q:Q,"სახელმწიფო ბიუჯეტი",'[1]ელ. ტენდერი'!R:R,"2703030701"),0)</f>
        <v>0</v>
      </c>
      <c r="Q76" s="29">
        <f t="shared" si="2"/>
        <v>46000</v>
      </c>
    </row>
    <row r="77" spans="1:17" ht="15.75" x14ac:dyDescent="0.3">
      <c r="A77" s="18">
        <v>72</v>
      </c>
      <c r="B77" s="19" t="s">
        <v>115</v>
      </c>
      <c r="C77" s="20" t="s">
        <v>25</v>
      </c>
      <c r="D77" s="21">
        <v>2703030701</v>
      </c>
      <c r="E77" s="22" t="s">
        <v>116</v>
      </c>
      <c r="F77" s="23">
        <f>17000+1000+17000</f>
        <v>35000</v>
      </c>
      <c r="G77" s="46" t="s">
        <v>44</v>
      </c>
      <c r="H77" s="25">
        <v>43831</v>
      </c>
      <c r="I77" s="25">
        <v>44196</v>
      </c>
      <c r="J77" s="47"/>
      <c r="K77" s="27">
        <v>0</v>
      </c>
      <c r="L77" s="27">
        <f>IF(G77="გამ. შესყიდვა",SUMIFS('[1]გამარტივებული შესყიდვა'!L:L,'[1]გამარტივებული შესყიდვა'!K:K,B77,'[1]გამარტივებული შესყიდვა'!N:N,"სახელმწიფო ბიუჯეტი",'[1]გამარტივებული შესყიდვა'!O:O,"2703030701"),0)</f>
        <v>0</v>
      </c>
      <c r="M77" s="27">
        <v>0</v>
      </c>
      <c r="N77" s="27">
        <f>IF(G77="კონს. ტენდერი",SUMIFS('[1]კონსოლიდირებული ტენდერი'!L:L,'[1]კონსოლიდირებული ტენდერი'!E:E,B77,'[1]კონსოლიდირებული ტენდერი'!N:N,"სახელმწიფო ბიუჯეტი",'[1]კონსოლიდირებული ტენდერი'!O:O,"2703030701"),0)</f>
        <v>0</v>
      </c>
      <c r="O77" s="27">
        <v>0</v>
      </c>
      <c r="P77" s="27">
        <f>IF(G77="ელ. ტენდერი",SUMIFS('[1]ელ. ტენდერი'!N:N,'[1]ელ. ტენდერი'!G:G,B77,'[1]ელ. ტენდერი'!Q:Q,"სახელმწიფო ბიუჯეტი",'[1]ელ. ტენდერი'!R:R,"2703030701"),0)</f>
        <v>23551</v>
      </c>
      <c r="Q77" s="29">
        <f t="shared" si="2"/>
        <v>11449</v>
      </c>
    </row>
    <row r="78" spans="1:17" ht="15.75" x14ac:dyDescent="0.3">
      <c r="A78" s="18">
        <v>73</v>
      </c>
      <c r="B78" s="19" t="s">
        <v>117</v>
      </c>
      <c r="C78" s="20" t="s">
        <v>25</v>
      </c>
      <c r="D78" s="21">
        <v>2703030701</v>
      </c>
      <c r="E78" s="22" t="s">
        <v>118</v>
      </c>
      <c r="F78" s="23">
        <v>4990</v>
      </c>
      <c r="G78" s="24" t="s">
        <v>27</v>
      </c>
      <c r="H78" s="25">
        <v>44012</v>
      </c>
      <c r="I78" s="25">
        <v>44043</v>
      </c>
      <c r="J78" s="47"/>
      <c r="K78" s="27">
        <v>0</v>
      </c>
      <c r="L78" s="27">
        <f>IF(G78="გამ. შესყიდვა",SUMIFS('[1]გამარტივებული შესყიდვა'!L:L,'[1]გამარტივებული შესყიდვა'!K:K,B78,'[1]გამარტივებული შესყიდვა'!N:N,"სახელმწიფო ბიუჯეტი",'[1]გამარტივებული შესყიდვა'!O:O,"2703030701"),0)</f>
        <v>4960</v>
      </c>
      <c r="M78" s="27">
        <v>0</v>
      </c>
      <c r="N78" s="27">
        <f>IF(G78="კონს. ტენდერი",SUMIFS('[1]კონსოლიდირებული ტენდერი'!L:L,'[1]კონსოლიდირებული ტენდერი'!E:E,B78,'[1]კონსოლიდირებული ტენდერი'!N:N,"სახელმწიფო ბიუჯეტი",'[1]კონსოლიდირებული ტენდერი'!O:O,"2703030701"),0)</f>
        <v>0</v>
      </c>
      <c r="O78" s="27">
        <v>0</v>
      </c>
      <c r="P78" s="27">
        <f>IF(G78="ელ. ტენდერი",SUMIFS('[1]ელ. ტენდერი'!N:N,'[1]ელ. ტენდერი'!G:G,B78,'[1]ელ. ტენდერი'!Q:Q,"სახელმწიფო ბიუჯეტი",'[1]ელ. ტენდერი'!R:R,"2703030701"),0)</f>
        <v>0</v>
      </c>
      <c r="Q78" s="29">
        <f t="shared" si="2"/>
        <v>30</v>
      </c>
    </row>
    <row r="79" spans="1:17" ht="15.75" x14ac:dyDescent="0.3">
      <c r="A79" s="18">
        <v>74</v>
      </c>
      <c r="B79" s="19" t="s">
        <v>119</v>
      </c>
      <c r="C79" s="20" t="s">
        <v>25</v>
      </c>
      <c r="D79" s="21">
        <v>2703030701</v>
      </c>
      <c r="E79" s="22" t="s">
        <v>120</v>
      </c>
      <c r="F79" s="23">
        <f>10000+700-4700</f>
        <v>6000</v>
      </c>
      <c r="G79" s="46" t="s">
        <v>44</v>
      </c>
      <c r="H79" s="25">
        <v>43831</v>
      </c>
      <c r="I79" s="25">
        <v>44196</v>
      </c>
      <c r="J79" s="47"/>
      <c r="K79" s="27">
        <v>0</v>
      </c>
      <c r="L79" s="27">
        <f>IF(G79="გამ. შესყიდვა",SUMIFS('[1]გამარტივებული შესყიდვა'!L:L,'[1]გამარტივებული შესყიდვა'!K:K,B79,'[1]გამარტივებული შესყიდვა'!N:N,"სახელმწიფო ბიუჯეტი",'[1]გამარტივებული შესყიდვა'!O:O,"2703030701"),0)</f>
        <v>0</v>
      </c>
      <c r="M79" s="27">
        <v>0</v>
      </c>
      <c r="N79" s="27">
        <f>IF(G79="კონს. ტენდერი",SUMIFS('[1]კონსოლიდირებული ტენდერი'!L:L,'[1]კონსოლიდირებული ტენდერი'!E:E,B79,'[1]კონსოლიდირებული ტენდერი'!N:N,"სახელმწიფო ბიუჯეტი",'[1]კონსოლიდირებული ტენდერი'!O:O,"2703030701"),0)</f>
        <v>0</v>
      </c>
      <c r="O79" s="27">
        <v>0</v>
      </c>
      <c r="P79" s="27">
        <f>IF(G79="ელ. ტენდერი",SUMIFS('[1]ელ. ტენდერი'!N:N,'[1]ელ. ტენდერი'!G:G,B79,'[1]ელ. ტენდერი'!Q:Q,"სახელმწიფო ბიუჯეტი",'[1]ელ. ტენდერი'!R:R,"2703030701"),0)</f>
        <v>0</v>
      </c>
      <c r="Q79" s="29">
        <f t="shared" si="2"/>
        <v>6000</v>
      </c>
    </row>
    <row r="80" spans="1:17" ht="15.75" x14ac:dyDescent="0.3">
      <c r="A80" s="18">
        <v>75</v>
      </c>
      <c r="B80" s="19" t="s">
        <v>119</v>
      </c>
      <c r="C80" s="20" t="s">
        <v>25</v>
      </c>
      <c r="D80" s="21">
        <v>270106</v>
      </c>
      <c r="E80" s="22" t="s">
        <v>120</v>
      </c>
      <c r="F80" s="23">
        <v>4700</v>
      </c>
      <c r="G80" s="46" t="s">
        <v>44</v>
      </c>
      <c r="H80" s="25">
        <v>43867</v>
      </c>
      <c r="I80" s="25">
        <v>44196</v>
      </c>
      <c r="J80" s="47"/>
      <c r="K80" s="27">
        <f>IF(G80="გამ. შესყიდვა",SUMIFS('[1]გამარტივებული შესყიდვა'!L:L,'[1]გამარტივებული შესყიდვა'!K:K,B80,'[1]გამარტივებული შესყიდვა'!N:N,"სახელმწიფო ბიუჯეტი",'[1]გამარტივებული შესყიდვა'!O:O,"270106"),0)</f>
        <v>0</v>
      </c>
      <c r="L80" s="27">
        <v>0</v>
      </c>
      <c r="M80" s="27">
        <f>IF(G80="კონს. ტენდერი",SUMIFS('[1]კონსოლიდირებული ტენდერი'!L:L,'[1]კონსოლიდირებული ტენდერი'!E:E,B80,'[1]კონსოლიდირებული ტენდერი'!N:N,"სახელმწიფო ბიუჯეტი",'[1]კონსოლიდირებული ტენდერი'!O:O,"270106"),0)</f>
        <v>0</v>
      </c>
      <c r="N80" s="27">
        <v>0</v>
      </c>
      <c r="O80" s="27">
        <f>IF(G80="ელ. ტენდერი",SUMIFS('[1]ელ. ტენდერი'!N:N,'[1]ელ. ტენდერი'!G:G,B80,'[1]ელ. ტენდერი'!Q:Q,"სახელმწიფო ბიუჯეტი",'[1]ელ. ტენდერი'!R:R,"270106"),0)</f>
        <v>4398</v>
      </c>
      <c r="P80" s="27">
        <v>0</v>
      </c>
      <c r="Q80" s="29">
        <f t="shared" si="2"/>
        <v>302</v>
      </c>
    </row>
    <row r="81" spans="1:17" ht="15.75" x14ac:dyDescent="0.3">
      <c r="A81" s="18">
        <v>76</v>
      </c>
      <c r="B81" s="19" t="s">
        <v>121</v>
      </c>
      <c r="C81" s="20" t="s">
        <v>25</v>
      </c>
      <c r="D81" s="21">
        <v>2703030701</v>
      </c>
      <c r="E81" s="22" t="s">
        <v>122</v>
      </c>
      <c r="F81" s="23">
        <f>5000+3750</f>
        <v>8750</v>
      </c>
      <c r="G81" s="46" t="s">
        <v>44</v>
      </c>
      <c r="H81" s="25">
        <v>43831</v>
      </c>
      <c r="I81" s="25">
        <v>44196</v>
      </c>
      <c r="J81" s="47"/>
      <c r="K81" s="27">
        <v>0</v>
      </c>
      <c r="L81" s="27">
        <f>IF(G81="გამ. შესყიდვა",SUMIFS('[1]გამარტივებული შესყიდვა'!L:L,'[1]გამარტივებული შესყიდვა'!K:K,B81,'[1]გამარტივებული შესყიდვა'!N:N,"სახელმწიფო ბიუჯეტი",'[1]გამარტივებული შესყიდვა'!O:O,"2703030701"),0)</f>
        <v>0</v>
      </c>
      <c r="M81" s="27">
        <v>0</v>
      </c>
      <c r="N81" s="27">
        <f>IF(G81="კონს. ტენდერი",SUMIFS('[1]კონსოლიდირებული ტენდერი'!L:L,'[1]კონსოლიდირებული ტენდერი'!E:E,B81,'[1]კონსოლიდირებული ტენდერი'!N:N,"სახელმწიფო ბიუჯეტი",'[1]კონსოლიდირებული ტენდერი'!O:O,"2703030701"),0)</f>
        <v>0</v>
      </c>
      <c r="O81" s="27">
        <v>0</v>
      </c>
      <c r="P81" s="27">
        <f>IF(G81="ელ. ტენდერი",SUMIFS('[1]ელ. ტენდერი'!N:N,'[1]ელ. ტენდერი'!G:G,B81,'[1]ელ. ტენდერი'!Q:Q,"სახელმწიფო ბიუჯეტი",'[1]ელ. ტენდერი'!R:R,"2703030701"),0)</f>
        <v>0</v>
      </c>
      <c r="Q81" s="29">
        <f t="shared" si="2"/>
        <v>8750</v>
      </c>
    </row>
    <row r="82" spans="1:17" ht="15.75" x14ac:dyDescent="0.3">
      <c r="A82" s="18">
        <v>77</v>
      </c>
      <c r="B82" s="19" t="s">
        <v>121</v>
      </c>
      <c r="C82" s="20" t="s">
        <v>72</v>
      </c>
      <c r="D82" s="21">
        <v>2703030701</v>
      </c>
      <c r="E82" s="22" t="s">
        <v>122</v>
      </c>
      <c r="F82" s="23">
        <v>10200</v>
      </c>
      <c r="G82" s="46" t="s">
        <v>44</v>
      </c>
      <c r="H82" s="25">
        <v>43831</v>
      </c>
      <c r="I82" s="25">
        <v>44196</v>
      </c>
      <c r="J82" s="47"/>
      <c r="K82" s="27">
        <v>0</v>
      </c>
      <c r="L82" s="27">
        <f>IF(G82="გამ. შესყიდვა",SUMIFS('[1]გამარტივებული შესყიდვა'!L:L,'[1]გამარტივებული შესყიდვა'!K:K,B82,'[1]გამარტივებული შესყიდვა'!N:N,"სახელმწიფო ბიუჯეტი",'[1]გამარტივებული შესყიდვა'!O:O,"2703030701"),0)</f>
        <v>0</v>
      </c>
      <c r="M82" s="27">
        <v>0</v>
      </c>
      <c r="N82" s="27">
        <f>IF(G82="კონს. ტენდერი",SUMIFS('[1]კონსოლიდირებული ტენდერი'!L:L,'[1]კონსოლიდირებული ტენდერი'!E:E,B82,'[1]კონსოლიდირებული ტენდერი'!N:N,"სახელმწიფო ბიუჯეტი",'[1]კონსოლიდირებული ტენდერი'!O:O,"2703030701"),0)</f>
        <v>0</v>
      </c>
      <c r="O82" s="27">
        <v>0</v>
      </c>
      <c r="P82" s="27">
        <f>IF(G82="ელ. ტენდერი",SUMIFS('[1]ელ. ტენდერი'!N:N,'[1]ელ. ტენდერი'!G:G,B82,'[1]ელ. ტენდერი'!Q:Q,"სახელმწიფო ბიუჯეტი",'[1]ელ. ტენდერი'!R:R,"2703030701"),0)</f>
        <v>0</v>
      </c>
      <c r="Q82" s="29">
        <f t="shared" si="2"/>
        <v>10200</v>
      </c>
    </row>
    <row r="83" spans="1:17" ht="15.75" x14ac:dyDescent="0.3">
      <c r="A83" s="18">
        <v>78</v>
      </c>
      <c r="B83" s="19" t="s">
        <v>123</v>
      </c>
      <c r="C83" s="20" t="s">
        <v>25</v>
      </c>
      <c r="D83" s="21">
        <v>2703030701</v>
      </c>
      <c r="E83" s="22" t="s">
        <v>124</v>
      </c>
      <c r="F83" s="23">
        <f>15000+1000+3600+55000</f>
        <v>74600</v>
      </c>
      <c r="G83" s="24" t="s">
        <v>44</v>
      </c>
      <c r="H83" s="25">
        <v>43831</v>
      </c>
      <c r="I83" s="25">
        <v>44196</v>
      </c>
      <c r="J83" s="39" t="s">
        <v>125</v>
      </c>
      <c r="K83" s="27">
        <v>0</v>
      </c>
      <c r="L83" s="27">
        <f>IF(G83="გამ. შესყიდვა",SUMIFS('[1]გამარტივებული შესყიდვა'!L:L,'[1]გამარტივებული შესყიდვა'!K:K,B83,'[1]გამარტივებული შესყიდვა'!N:N,"სახელმწიფო ბიუჯეტი",'[1]გამარტივებული შესყიდვა'!O:O,"2703030701"),0)</f>
        <v>0</v>
      </c>
      <c r="M83" s="27">
        <v>0</v>
      </c>
      <c r="N83" s="27">
        <f>IF(G83="კონს. ტენდერი",SUMIFS('[1]კონსოლიდირებული ტენდერი'!L:L,'[1]კონსოლიდირებული ტენდერი'!E:E,B83,'[1]კონსოლიდირებული ტენდერი'!N:N,"სახელმწიფო ბიუჯეტი",'[1]კონსოლიდირებული ტენდერი'!O:O,"2703030701"),0)</f>
        <v>0</v>
      </c>
      <c r="O83" s="27">
        <v>0</v>
      </c>
      <c r="P83" s="27">
        <f>IF(G83="ელ. ტენდერი",SUMIFS('[1]ელ. ტენდერი'!N:N,'[1]ელ. ტენდერი'!G:G,B83,'[1]ელ. ტენდერი'!Q:Q,"სახელმწიფო ბიუჯეტი",'[1]ელ. ტენდერი'!R:R,"2703030701"),0)</f>
        <v>48256.4</v>
      </c>
      <c r="Q83" s="29">
        <f t="shared" si="2"/>
        <v>26343.599999999999</v>
      </c>
    </row>
    <row r="84" spans="1:17" ht="15.75" x14ac:dyDescent="0.3">
      <c r="A84" s="18">
        <v>79</v>
      </c>
      <c r="B84" s="19" t="s">
        <v>126</v>
      </c>
      <c r="C84" s="20" t="s">
        <v>25</v>
      </c>
      <c r="D84" s="21">
        <v>2703030701</v>
      </c>
      <c r="E84" s="22" t="s">
        <v>127</v>
      </c>
      <c r="F84" s="23">
        <v>4900</v>
      </c>
      <c r="G84" s="46" t="s">
        <v>27</v>
      </c>
      <c r="H84" s="25">
        <v>43831</v>
      </c>
      <c r="I84" s="25">
        <v>44196</v>
      </c>
      <c r="J84" s="39"/>
      <c r="K84" s="27">
        <v>0</v>
      </c>
      <c r="L84" s="27">
        <f>IF(G84="გამ. შესყიდვა",SUMIFS('[1]გამარტივებული შესყიდვა'!L:L,'[1]გამარტივებული შესყიდვა'!K:K,B84,'[1]გამარტივებული შესყიდვა'!N:N,"სახელმწიფო ბიუჯეტი",'[1]გამარტივებული შესყიდვა'!O:O,"2703030701"),0)</f>
        <v>0</v>
      </c>
      <c r="M84" s="27">
        <v>0</v>
      </c>
      <c r="N84" s="27">
        <f>IF(G84="კონს. ტენდერი",SUMIFS('[1]კონსოლიდირებული ტენდერი'!L:L,'[1]კონსოლიდირებული ტენდერი'!E:E,B84,'[1]კონსოლიდირებული ტენდერი'!N:N,"სახელმწიფო ბიუჯეტი",'[1]კონსოლიდირებული ტენდერი'!O:O,"2703030701"),0)</f>
        <v>0</v>
      </c>
      <c r="O84" s="27">
        <v>0</v>
      </c>
      <c r="P84" s="27">
        <f>IF(G84="ელ. ტენდერი",SUMIFS('[1]ელ. ტენდერი'!N:N,'[1]ელ. ტენდერი'!G:G,B84,'[1]ელ. ტენდერი'!Q:Q,"სახელმწიფო ბიუჯეტი",'[1]ელ. ტენდერი'!R:R,"2703030701"),0)</f>
        <v>0</v>
      </c>
      <c r="Q84" s="29">
        <f t="shared" si="2"/>
        <v>4900</v>
      </c>
    </row>
    <row r="85" spans="1:17" ht="15.75" x14ac:dyDescent="0.3">
      <c r="A85" s="18">
        <v>80</v>
      </c>
      <c r="B85" s="19" t="s">
        <v>128</v>
      </c>
      <c r="C85" s="20" t="s">
        <v>25</v>
      </c>
      <c r="D85" s="21">
        <v>2703030701</v>
      </c>
      <c r="E85" s="22" t="s">
        <v>129</v>
      </c>
      <c r="F85" s="23">
        <f>2500+300+1400+4000-6800+6800</f>
        <v>8200</v>
      </c>
      <c r="G85" s="46" t="s">
        <v>44</v>
      </c>
      <c r="H85" s="25">
        <v>43831</v>
      </c>
      <c r="I85" s="25">
        <v>44196</v>
      </c>
      <c r="J85" s="39"/>
      <c r="K85" s="27">
        <v>0</v>
      </c>
      <c r="L85" s="27">
        <f>IF(G85="გამ. შესყიდვა",SUMIFS('[1]გამარტივებული შესყიდვა'!L:L,'[1]გამარტივებული შესყიდვა'!K:K,B85,'[1]გამარტივებული შესყიდვა'!N:N,"სახელმწიფო ბიუჯეტი",'[1]გამარტივებული შესყიდვა'!O:O,"2703030701"),0)</f>
        <v>0</v>
      </c>
      <c r="M85" s="27">
        <v>0</v>
      </c>
      <c r="N85" s="27">
        <f>IF(G85="კონს. ტენდერი",SUMIFS('[1]კონსოლიდირებული ტენდერი'!L:L,'[1]კონსოლიდირებული ტენდერი'!E:E,B85,'[1]კონსოლიდირებული ტენდერი'!N:N,"სახელმწიფო ბიუჯეტი",'[1]კონსოლიდირებული ტენდერი'!O:O,"2703030701"),0)</f>
        <v>0</v>
      </c>
      <c r="O85" s="27">
        <v>0</v>
      </c>
      <c r="P85" s="27">
        <f>IF(G85="ელ. ტენდერი",SUMIFS('[1]ელ. ტენდერი'!N:N,'[1]ელ. ტენდერი'!G:G,B85,'[1]ელ. ტენდერი'!Q:Q,"სახელმწიფო ბიუჯეტი",'[1]ელ. ტენდერი'!R:R,"2703030701"),0)</f>
        <v>5999.95</v>
      </c>
      <c r="Q85" s="29">
        <f t="shared" si="2"/>
        <v>2200.0500000000002</v>
      </c>
    </row>
    <row r="86" spans="1:17" ht="15.75" x14ac:dyDescent="0.3">
      <c r="A86" s="18">
        <v>81</v>
      </c>
      <c r="B86" s="19" t="s">
        <v>128</v>
      </c>
      <c r="C86" s="20" t="s">
        <v>25</v>
      </c>
      <c r="D86" s="21">
        <v>270106</v>
      </c>
      <c r="E86" s="22" t="s">
        <v>129</v>
      </c>
      <c r="F86" s="23">
        <f>3500-3500</f>
        <v>0</v>
      </c>
      <c r="G86" s="46" t="s">
        <v>27</v>
      </c>
      <c r="H86" s="25">
        <v>43867</v>
      </c>
      <c r="I86" s="25">
        <v>44196</v>
      </c>
      <c r="J86" s="39"/>
      <c r="K86" s="27">
        <f>IF(G86="გამ. შესყიდვა",SUMIFS('[1]გამარტივებული შესყიდვა'!L:L,'[1]გამარტივებული შესყიდვა'!K:K,B86,'[1]გამარტივებული შესყიდვა'!N:N,"სახელმწიფო ბიუჯეტი",'[1]გამარტივებული შესყიდვა'!O:O,"270106"),0)</f>
        <v>0</v>
      </c>
      <c r="L86" s="27">
        <v>0</v>
      </c>
      <c r="M86" s="27">
        <f>IF(G86="კონს. ტენდერი",SUMIFS('[1]კონსოლიდირებული ტენდერი'!L:L,'[1]კონსოლიდირებული ტენდერი'!E:E,B86,'[1]კონსოლიდირებული ტენდერი'!N:N,"სახელმწიფო ბიუჯეტი",'[1]კონსოლიდირებული ტენდერი'!O:O,"270106"),0)</f>
        <v>0</v>
      </c>
      <c r="N86" s="27">
        <v>0</v>
      </c>
      <c r="O86" s="27">
        <f>IF(G86="ელ. ტენდერი",SUMIFS('[1]ელ. ტენდერი'!N:N,'[1]ელ. ტენდერი'!G:G,B86,'[1]ელ. ტენდერი'!Q:Q,"სახელმწიფო ბიუჯეტი",'[1]ელ. ტენდერი'!R:R,"270106"),0)</f>
        <v>0</v>
      </c>
      <c r="P86" s="27">
        <v>0</v>
      </c>
      <c r="Q86" s="29">
        <f t="shared" si="2"/>
        <v>0</v>
      </c>
    </row>
    <row r="87" spans="1:17" ht="15.75" x14ac:dyDescent="0.3">
      <c r="A87" s="18">
        <v>82</v>
      </c>
      <c r="B87" s="19" t="s">
        <v>130</v>
      </c>
      <c r="C87" s="20" t="s">
        <v>72</v>
      </c>
      <c r="D87" s="21">
        <v>2703030701</v>
      </c>
      <c r="E87" s="22" t="s">
        <v>131</v>
      </c>
      <c r="F87" s="23">
        <f>10000+1000-8000</f>
        <v>3000</v>
      </c>
      <c r="G87" s="24" t="s">
        <v>27</v>
      </c>
      <c r="H87" s="25">
        <v>43831</v>
      </c>
      <c r="I87" s="25">
        <v>44196</v>
      </c>
      <c r="J87" s="39"/>
      <c r="K87" s="27">
        <v>0</v>
      </c>
      <c r="L87" s="27">
        <f>IF(G87="გამ. შესყიდვა",SUMIFS('[1]გამარტივებული შესყიდვა'!L:L,'[1]გამარტივებული შესყიდვა'!K:K,B87,'[1]გამარტივებული შესყიდვა'!N:N,"სახელმწიფო ბიუჯეტი",'[1]გამარტივებული შესყიდვა'!O:O,"2703030701"),0)</f>
        <v>0</v>
      </c>
      <c r="M87" s="27">
        <v>0</v>
      </c>
      <c r="N87" s="27">
        <f>IF(G87="კონს. ტენდერი",SUMIFS('[1]კონსოლიდირებული ტენდერი'!L:L,'[1]კონსოლიდირებული ტენდერი'!E:E,B87,'[1]კონსოლიდირებული ტენდერი'!N:N,"სახელმწიფო ბიუჯეტი",'[1]კონსოლიდირებული ტენდერი'!O:O,"2703030701"),0)</f>
        <v>0</v>
      </c>
      <c r="O87" s="27">
        <v>0</v>
      </c>
      <c r="P87" s="27">
        <f>IF(G87="ელ. ტენდერი",SUMIFS('[1]ელ. ტენდერი'!N:N,'[1]ელ. ტენდერი'!G:G,B87,'[1]ელ. ტენდერი'!Q:Q,"სახელმწიფო ბიუჯეტი",'[1]ელ. ტენდერი'!R:R,"2703030701"),0)</f>
        <v>0</v>
      </c>
      <c r="Q87" s="29">
        <f t="shared" si="2"/>
        <v>3000</v>
      </c>
    </row>
    <row r="88" spans="1:17" ht="15.75" x14ac:dyDescent="0.3">
      <c r="A88" s="18">
        <v>83</v>
      </c>
      <c r="B88" s="19" t="s">
        <v>132</v>
      </c>
      <c r="C88" s="20" t="s">
        <v>25</v>
      </c>
      <c r="D88" s="21">
        <v>2703030701</v>
      </c>
      <c r="E88" s="22" t="s">
        <v>133</v>
      </c>
      <c r="F88" s="23">
        <f>16500+2000+1455</f>
        <v>19955</v>
      </c>
      <c r="G88" s="24" t="s">
        <v>32</v>
      </c>
      <c r="H88" s="25">
        <v>43831</v>
      </c>
      <c r="I88" s="25">
        <v>44196</v>
      </c>
      <c r="J88" s="39"/>
      <c r="K88" s="27">
        <v>0</v>
      </c>
      <c r="L88" s="27">
        <f>IF(G88="გამ. შესყიდვა",SUMIFS('[1]გამარტივებული შესყიდვა'!L:L,'[1]გამარტივებული შესყიდვა'!K:K,B88,'[1]გამარტივებული შესყიდვა'!N:N,"სახელმწიფო ბიუჯეტი",'[1]გამარტივებული შესყიდვა'!O:O,"2703030701"),0)</f>
        <v>0</v>
      </c>
      <c r="M88" s="27">
        <v>0</v>
      </c>
      <c r="N88" s="27">
        <f>IF(G88="კონს. ტენდერი",SUMIFS('[1]კონსოლიდირებული ტენდერი'!L:L,'[1]კონსოლიდირებული ტენდერი'!E:E,B88,'[1]კონსოლიდირებული ტენდერი'!N:N,"სახელმწიფო ბიუჯეტი",'[1]კონსოლიდირებული ტენდერი'!O:O,"2703030701"),0)</f>
        <v>19950.599999999999</v>
      </c>
      <c r="O88" s="27">
        <v>0</v>
      </c>
      <c r="P88" s="27">
        <f>IF(G88="ელ. ტენდერი",SUMIFS('[1]ელ. ტენდერი'!N:N,'[1]ელ. ტენდერი'!G:G,B88,'[1]ელ. ტენდერი'!Q:Q,"სახელმწიფო ბიუჯეტი",'[1]ელ. ტენდერი'!R:R,"2703030701"),0)</f>
        <v>0</v>
      </c>
      <c r="Q88" s="29">
        <f t="shared" si="2"/>
        <v>4.4000000000014552</v>
      </c>
    </row>
    <row r="89" spans="1:17" ht="15.75" x14ac:dyDescent="0.3">
      <c r="A89" s="18">
        <v>84</v>
      </c>
      <c r="B89" s="19" t="s">
        <v>134</v>
      </c>
      <c r="C89" s="20" t="s">
        <v>25</v>
      </c>
      <c r="D89" s="21">
        <v>270106</v>
      </c>
      <c r="E89" s="22" t="s">
        <v>135</v>
      </c>
      <c r="F89" s="23">
        <f>2000+1100+1400+300</f>
        <v>4800</v>
      </c>
      <c r="G89" s="24" t="s">
        <v>27</v>
      </c>
      <c r="H89" s="25">
        <v>43831</v>
      </c>
      <c r="I89" s="25">
        <v>44196</v>
      </c>
      <c r="J89" s="39"/>
      <c r="K89" s="27">
        <f>IF(G89="გამ. შესყიდვა",SUMIFS('[1]გამარტივებული შესყიდვა'!L:L,'[1]გამარტივებული შესყიდვა'!K:K,B89,'[1]გამარტივებული შესყიდვა'!N:N,"სახელმწიფო ბიუჯეტი",'[1]გამარტივებული შესყიდვა'!O:O,"270106"),0)</f>
        <v>4725</v>
      </c>
      <c r="L89" s="27">
        <v>0</v>
      </c>
      <c r="M89" s="27">
        <f>IF(G89="კონს. ტენდერი",SUMIFS('[1]კონსოლიდირებული ტენდერი'!L:L,'[1]კონსოლიდირებული ტენდერი'!E:E,B89,'[1]კონსოლიდირებული ტენდერი'!N:N,"სახელმწიფო ბიუჯეტი",'[1]კონსოლიდირებული ტენდერი'!O:O,"270106"),0)</f>
        <v>0</v>
      </c>
      <c r="N89" s="27">
        <v>0</v>
      </c>
      <c r="O89" s="27">
        <f>IF(G89="ელ. ტენდერი",SUMIFS('[1]ელ. ტენდერი'!N:N,'[1]ელ. ტენდერი'!G:G,B89,'[1]ელ. ტენდერი'!Q:Q,"სახელმწიფო ბიუჯეტი",'[1]ელ. ტენდერი'!R:R,"270106"),0)</f>
        <v>0</v>
      </c>
      <c r="P89" s="27">
        <v>0</v>
      </c>
      <c r="Q89" s="29">
        <f t="shared" si="2"/>
        <v>75</v>
      </c>
    </row>
    <row r="90" spans="1:17" ht="15.75" x14ac:dyDescent="0.3">
      <c r="A90" s="18">
        <v>85</v>
      </c>
      <c r="B90" s="19" t="s">
        <v>136</v>
      </c>
      <c r="C90" s="20" t="s">
        <v>25</v>
      </c>
      <c r="D90" s="21">
        <v>2703030701</v>
      </c>
      <c r="E90" s="22" t="s">
        <v>137</v>
      </c>
      <c r="F90" s="23">
        <f>1000-550</f>
        <v>450</v>
      </c>
      <c r="G90" s="24" t="s">
        <v>27</v>
      </c>
      <c r="H90" s="25">
        <v>43831</v>
      </c>
      <c r="I90" s="25">
        <v>44196</v>
      </c>
      <c r="J90" s="39"/>
      <c r="K90" s="27">
        <v>0</v>
      </c>
      <c r="L90" s="27">
        <f>IF(G90="გამ. შესყიდვა",SUMIFS('[1]გამარტივებული შესყიდვა'!L:L,'[1]გამარტივებული შესყიდვა'!K:K,B90,'[1]გამარტივებული შესყიდვა'!N:N,"სახელმწიფო ბიუჯეტი",'[1]გამარტივებული შესყიდვა'!O:O,"2703030701"),0)</f>
        <v>0</v>
      </c>
      <c r="M90" s="27">
        <v>0</v>
      </c>
      <c r="N90" s="27">
        <f>IF(G90="კონს. ტენდერი",SUMIFS('[1]კონსოლიდირებული ტენდერი'!L:L,'[1]კონსოლიდირებული ტენდერი'!E:E,B90,'[1]კონსოლიდირებული ტენდერი'!N:N,"სახელმწიფო ბიუჯეტი",'[1]კონსოლიდირებული ტენდერი'!O:O,"2703030701"),0)</f>
        <v>0</v>
      </c>
      <c r="O90" s="27">
        <v>0</v>
      </c>
      <c r="P90" s="27">
        <f>IF(G90="ელ. ტენდერი",SUMIFS('[1]ელ. ტენდერი'!N:N,'[1]ელ. ტენდერი'!G:G,B90,'[1]ელ. ტენდერი'!Q:Q,"სახელმწიფო ბიუჯეტი",'[1]ელ. ტენდერი'!R:R,"2703030701"),0)</f>
        <v>0</v>
      </c>
      <c r="Q90" s="29">
        <f t="shared" si="2"/>
        <v>450</v>
      </c>
    </row>
    <row r="91" spans="1:17" ht="15.75" x14ac:dyDescent="0.3">
      <c r="A91" s="18">
        <v>86</v>
      </c>
      <c r="B91" s="38" t="s">
        <v>136</v>
      </c>
      <c r="C91" s="20" t="s">
        <v>25</v>
      </c>
      <c r="D91" s="21">
        <v>270106</v>
      </c>
      <c r="E91" s="22" t="s">
        <v>137</v>
      </c>
      <c r="F91" s="23">
        <f>550+30</f>
        <v>580</v>
      </c>
      <c r="G91" s="24" t="s">
        <v>27</v>
      </c>
      <c r="H91" s="25">
        <v>43867</v>
      </c>
      <c r="I91" s="25">
        <v>44196</v>
      </c>
      <c r="J91" s="39"/>
      <c r="K91" s="27">
        <f>IF(G91="გამ. შესყიდვა",SUMIFS('[1]გამარტივებული შესყიდვა'!L:L,'[1]გამარტივებული შესყიდვა'!K:K,B91,'[1]გამარტივებული შესყიდვა'!N:N,"სახელმწიფო ბიუჯეტი",'[1]გამარტივებული შესყიდვა'!O:O,"270106"),0)</f>
        <v>580</v>
      </c>
      <c r="L91" s="27">
        <v>0</v>
      </c>
      <c r="M91" s="27">
        <f>IF(G91="კონს. ტენდერი",SUMIFS('[1]კონსოლიდირებული ტენდერი'!L:L,'[1]კონსოლიდირებული ტენდერი'!E:E,B91,'[1]კონსოლიდირებული ტენდერი'!N:N,"სახელმწიფო ბიუჯეტი",'[1]კონსოლიდირებული ტენდერი'!O:O,"270106"),0)</f>
        <v>0</v>
      </c>
      <c r="N91" s="27">
        <v>0</v>
      </c>
      <c r="O91" s="27">
        <f>IF(G91="ელ. ტენდერი",SUMIFS('[1]ელ. ტენდერი'!N:N,'[1]ელ. ტენდერი'!G:G,B91,'[1]ელ. ტენდერი'!Q:Q,"სახელმწიფო ბიუჯეტი",'[1]ელ. ტენდერი'!R:R,"270106"),0)</f>
        <v>0</v>
      </c>
      <c r="P91" s="27">
        <v>0</v>
      </c>
      <c r="Q91" s="29">
        <f t="shared" si="2"/>
        <v>0</v>
      </c>
    </row>
    <row r="92" spans="1:17" ht="15.75" x14ac:dyDescent="0.3">
      <c r="A92" s="18">
        <v>87</v>
      </c>
      <c r="B92" s="19" t="s">
        <v>138</v>
      </c>
      <c r="C92" s="20" t="s">
        <v>25</v>
      </c>
      <c r="D92" s="21">
        <v>270106</v>
      </c>
      <c r="E92" s="22" t="s">
        <v>139</v>
      </c>
      <c r="F92" s="23">
        <f>1000+350</f>
        <v>1350</v>
      </c>
      <c r="G92" s="24" t="s">
        <v>27</v>
      </c>
      <c r="H92" s="25">
        <v>43831</v>
      </c>
      <c r="I92" s="25">
        <v>44196</v>
      </c>
      <c r="J92" s="39"/>
      <c r="K92" s="27">
        <f>IF(G92="გამ. შესყიდვა",SUMIFS('[1]გამარტივებული შესყიდვა'!L:L,'[1]გამარტივებული შესყიდვა'!K:K,B92,'[1]გამარტივებული შესყიდვა'!N:N,"სახელმწიფო ბიუჯეტი",'[1]გამარტივებული შესყიდვა'!O:O,"270106"),0)</f>
        <v>570</v>
      </c>
      <c r="L92" s="27">
        <v>0</v>
      </c>
      <c r="M92" s="27">
        <f>IF(G92="კონს. ტენდერი",SUMIFS('[1]კონსოლიდირებული ტენდერი'!L:L,'[1]კონსოლიდირებული ტენდერი'!E:E,B92,'[1]კონსოლიდირებული ტენდერი'!N:N,"სახელმწიფო ბიუჯეტი",'[1]კონსოლიდირებული ტენდერი'!O:O,"270106"),0)</f>
        <v>0</v>
      </c>
      <c r="N92" s="27">
        <v>0</v>
      </c>
      <c r="O92" s="27">
        <f>IF(G92="ელ. ტენდერი",SUMIFS('[1]ელ. ტენდერი'!N:N,'[1]ელ. ტენდერი'!G:G,B92,'[1]ელ. ტენდერი'!Q:Q,"სახელმწიფო ბიუჯეტი",'[1]ელ. ტენდერი'!R:R,"270106"),0)</f>
        <v>0</v>
      </c>
      <c r="P92" s="27">
        <v>0</v>
      </c>
      <c r="Q92" s="29">
        <f t="shared" si="2"/>
        <v>780</v>
      </c>
    </row>
    <row r="93" spans="1:17" ht="15.75" x14ac:dyDescent="0.3">
      <c r="A93" s="18">
        <v>88</v>
      </c>
      <c r="B93" s="36" t="s">
        <v>140</v>
      </c>
      <c r="C93" s="20" t="s">
        <v>25</v>
      </c>
      <c r="D93" s="21">
        <v>270106</v>
      </c>
      <c r="E93" s="22" t="s">
        <v>141</v>
      </c>
      <c r="F93" s="23">
        <v>1567</v>
      </c>
      <c r="G93" s="24" t="s">
        <v>27</v>
      </c>
      <c r="H93" s="25"/>
      <c r="I93" s="25"/>
      <c r="J93" s="39"/>
      <c r="K93" s="27">
        <f>IF(G93="გამ. შესყიდვა",SUMIFS('[1]გამარტივებული შესყიდვა'!L:L,'[1]გამარტივებული შესყიდვა'!K:K,B93,'[1]გამარტივებული შესყიდვა'!N:N,"სახელმწიფო ბიუჯეტი",'[1]გამარტივებული შესყიდვა'!O:O,"270106"),0)</f>
        <v>1567</v>
      </c>
      <c r="L93" s="27">
        <v>0</v>
      </c>
      <c r="M93" s="27">
        <f>IF(G93="კონს. ტენდერი",SUMIFS('[1]კონსოლიდირებული ტენდერი'!L:L,'[1]კონსოლიდირებული ტენდერი'!E:E,B93,'[1]კონსოლიდირებული ტენდერი'!N:N,"სახელმწიფო ბიუჯეტი",'[1]კონსოლიდირებული ტენდერი'!O:O,"270106"),0)</f>
        <v>0</v>
      </c>
      <c r="N93" s="27">
        <v>0</v>
      </c>
      <c r="O93" s="27">
        <f>IF(G93="ელ. ტენდერი",SUMIFS('[1]ელ. ტენდერი'!N:N,'[1]ელ. ტენდერი'!G:G,B93,'[1]ელ. ტენდერი'!Q:Q,"სახელმწიფო ბიუჯეტი",'[1]ელ. ტენდერი'!R:R,"270106"),0)</f>
        <v>0</v>
      </c>
      <c r="P93" s="27">
        <v>0</v>
      </c>
      <c r="Q93" s="29">
        <f t="shared" si="2"/>
        <v>0</v>
      </c>
    </row>
    <row r="94" spans="1:17" ht="15.75" x14ac:dyDescent="0.3">
      <c r="A94" s="18">
        <v>89</v>
      </c>
      <c r="B94" s="48" t="s">
        <v>140</v>
      </c>
      <c r="C94" s="20" t="s">
        <v>25</v>
      </c>
      <c r="D94" s="21">
        <v>2703030701</v>
      </c>
      <c r="E94" s="22" t="s">
        <v>141</v>
      </c>
      <c r="F94" s="23">
        <f>1500+1500+1990-1567</f>
        <v>3423</v>
      </c>
      <c r="G94" s="24" t="s">
        <v>27</v>
      </c>
      <c r="H94" s="25">
        <v>43831</v>
      </c>
      <c r="I94" s="25">
        <v>44196</v>
      </c>
      <c r="J94" s="39"/>
      <c r="K94" s="27">
        <v>0</v>
      </c>
      <c r="L94" s="27">
        <f>IF(G94="გამ. შესყიდვა",SUMIFS('[1]გამარტივებული შესყიდვა'!L:L,'[1]გამარტივებული შესყიდვა'!K:K,B94,'[1]გამარტივებული შესყიდვა'!N:N,"სახელმწიფო ბიუჯეტი",'[1]გამარტივებული შესყიდვა'!O:O,"2703030701"),0)</f>
        <v>1352.3</v>
      </c>
      <c r="M94" s="27">
        <v>0</v>
      </c>
      <c r="N94" s="27">
        <f>IF(G94="კონს. ტენდერი",SUMIFS('[1]კონსოლიდირებული ტენდერი'!L:L,'[1]კონსოლიდირებული ტენდერი'!E:E,B94,'[1]კონსოლიდირებული ტენდერი'!N:N,"სახელმწიფო ბიუჯეტი",'[1]კონსოლიდირებული ტენდერი'!O:O,"2703030701"),0)</f>
        <v>0</v>
      </c>
      <c r="O94" s="27">
        <v>0</v>
      </c>
      <c r="P94" s="27">
        <f>IF(G94="ელ. ტენდერი",SUMIFS('[1]ელ. ტენდერი'!N:N,'[1]ელ. ტენდერი'!G:G,B94,'[1]ელ. ტენდერი'!Q:Q,"სახელმწიფო ბიუჯეტი",'[1]ელ. ტენდერი'!R:R,"2703030701"),0)</f>
        <v>0</v>
      </c>
      <c r="Q94" s="29">
        <f t="shared" si="2"/>
        <v>2070.6999999999998</v>
      </c>
    </row>
    <row r="95" spans="1:17" ht="15.75" x14ac:dyDescent="0.3">
      <c r="A95" s="18">
        <v>90</v>
      </c>
      <c r="B95" s="19" t="s">
        <v>142</v>
      </c>
      <c r="C95" s="20" t="s">
        <v>25</v>
      </c>
      <c r="D95" s="21">
        <v>2703030701</v>
      </c>
      <c r="E95" s="22" t="s">
        <v>143</v>
      </c>
      <c r="F95" s="23">
        <f>2000+400+1500+1000</f>
        <v>4900</v>
      </c>
      <c r="G95" s="24" t="s">
        <v>27</v>
      </c>
      <c r="H95" s="25">
        <v>43831</v>
      </c>
      <c r="I95" s="25">
        <v>44196</v>
      </c>
      <c r="J95" s="39"/>
      <c r="K95" s="27">
        <v>0</v>
      </c>
      <c r="L95" s="27">
        <f>IF(G95="გამ. შესყიდვა",SUMIFS('[1]გამარტივებული შესყიდვა'!L:L,'[1]გამარტივებული შესყიდვა'!K:K,B95,'[1]გამარტივებული შესყიდვა'!N:N,"სახელმწიფო ბიუჯეტი",'[1]გამარტივებული შესყიდვა'!O:O,"2703030701"),0)</f>
        <v>3830.5</v>
      </c>
      <c r="M95" s="27">
        <v>0</v>
      </c>
      <c r="N95" s="27">
        <f>IF(G95="კონს. ტენდერი",SUMIFS('[1]კონსოლიდირებული ტენდერი'!L:L,'[1]კონსოლიდირებული ტენდერი'!E:E,B95,'[1]კონსოლიდირებული ტენდერი'!N:N,"სახელმწიფო ბიუჯეტი",'[1]კონსოლიდირებული ტენდერი'!O:O,"2703030701"),0)</f>
        <v>0</v>
      </c>
      <c r="O95" s="27">
        <v>0</v>
      </c>
      <c r="P95" s="27">
        <f>IF(G95="ელ. ტენდერი",SUMIFS('[1]ელ. ტენდერი'!N:N,'[1]ელ. ტენდერი'!G:G,B95,'[1]ელ. ტენდერი'!Q:Q,"სახელმწიფო ბიუჯეტი",'[1]ელ. ტენდერი'!R:R,"2703030701"),0)</f>
        <v>0</v>
      </c>
      <c r="Q95" s="29">
        <f t="shared" si="2"/>
        <v>1069.5</v>
      </c>
    </row>
    <row r="96" spans="1:17" ht="15.75" x14ac:dyDescent="0.3">
      <c r="A96" s="18">
        <v>91</v>
      </c>
      <c r="B96" s="19" t="s">
        <v>142</v>
      </c>
      <c r="C96" s="20" t="s">
        <v>25</v>
      </c>
      <c r="D96" s="49">
        <v>270106</v>
      </c>
      <c r="E96" s="22" t="s">
        <v>143</v>
      </c>
      <c r="F96" s="23">
        <f>1000-1000</f>
        <v>0</v>
      </c>
      <c r="G96" s="24" t="s">
        <v>27</v>
      </c>
      <c r="H96" s="25">
        <v>43831</v>
      </c>
      <c r="I96" s="25">
        <v>44196</v>
      </c>
      <c r="J96" s="39"/>
      <c r="K96" s="27">
        <f>IF(G96="გამ. შესყიდვა",SUMIFS('[1]გამარტივებული შესყიდვა'!L:L,'[1]გამარტივებული შესყიდვა'!K:K,B96,'[1]გამარტივებული შესყიდვა'!N:N,"სახელმწიფო ბიუჯეტი",'[1]გამარტივებული შესყიდვა'!O:O,"270106"),0)</f>
        <v>0</v>
      </c>
      <c r="L96" s="27">
        <v>0</v>
      </c>
      <c r="M96" s="27">
        <f>IF(G96="კონს. ტენდერი",SUMIFS('[1]კონსოლიდირებული ტენდერი'!L:L,'[1]კონსოლიდირებული ტენდერი'!E:E,B96,'[1]კონსოლიდირებული ტენდერი'!N:N,"სახელმწიფო ბიუჯეტი",'[1]კონსოლიდირებული ტენდერი'!O:O,"270106"),0)</f>
        <v>0</v>
      </c>
      <c r="N96" s="27">
        <v>0</v>
      </c>
      <c r="O96" s="27">
        <f>IF(G96="ელ. ტენდერი",SUMIFS('[1]ელ. ტენდერი'!N:N,'[1]ელ. ტენდერი'!G:G,B96,'[1]ელ. ტენდერი'!Q:Q,"სახელმწიფო ბიუჯეტი",'[1]ელ. ტენდერი'!R:R,"270106"),0)</f>
        <v>0</v>
      </c>
      <c r="P96" s="27">
        <v>0</v>
      </c>
      <c r="Q96" s="29">
        <f t="shared" si="2"/>
        <v>0</v>
      </c>
    </row>
    <row r="97" spans="1:17" ht="15.75" x14ac:dyDescent="0.3">
      <c r="A97" s="18">
        <v>92</v>
      </c>
      <c r="B97" s="19" t="s">
        <v>144</v>
      </c>
      <c r="C97" s="20" t="s">
        <v>25</v>
      </c>
      <c r="D97" s="21">
        <v>2703030701</v>
      </c>
      <c r="E97" s="22" t="s">
        <v>145</v>
      </c>
      <c r="F97" s="23">
        <f>2000+2900-420</f>
        <v>4480</v>
      </c>
      <c r="G97" s="24" t="s">
        <v>27</v>
      </c>
      <c r="H97" s="25">
        <v>43831</v>
      </c>
      <c r="I97" s="25">
        <v>44196</v>
      </c>
      <c r="J97" s="39"/>
      <c r="K97" s="27">
        <v>0</v>
      </c>
      <c r="L97" s="27">
        <f>IF(G97="გამ. შესყიდვა",SUMIFS('[1]გამარტივებული შესყიდვა'!L:L,'[1]გამარტივებული შესყიდვა'!K:K,B97,'[1]გამარტივებული შესყიდვა'!N:N,"სახელმწიფო ბიუჯეტი",'[1]გამარტივებული შესყიდვა'!O:O,"2703030701"),0)</f>
        <v>2604.5</v>
      </c>
      <c r="M97" s="27">
        <v>0</v>
      </c>
      <c r="N97" s="27">
        <f>IF(G97="კონს. ტენდერი",SUMIFS('[1]კონსოლიდირებული ტენდერი'!L:L,'[1]კონსოლიდირებული ტენდერი'!E:E,B97,'[1]კონსოლიდირებული ტენდერი'!N:N,"სახელმწიფო ბიუჯეტი",'[1]კონსოლიდირებული ტენდერი'!O:O,"2703030701"),0)</f>
        <v>0</v>
      </c>
      <c r="O97" s="27">
        <v>0</v>
      </c>
      <c r="P97" s="27">
        <f>IF(G97="ელ. ტენდერი",SUMIFS('[1]ელ. ტენდერი'!N:N,'[1]ელ. ტენდერი'!G:G,B97,'[1]ელ. ტენდერი'!Q:Q,"სახელმწიფო ბიუჯეტი",'[1]ელ. ტენდერი'!R:R,"2703030701"),0)</f>
        <v>0</v>
      </c>
      <c r="Q97" s="29">
        <f t="shared" si="2"/>
        <v>1875.5</v>
      </c>
    </row>
    <row r="98" spans="1:17" ht="15.75" x14ac:dyDescent="0.3">
      <c r="A98" s="18">
        <v>93</v>
      </c>
      <c r="B98" s="19" t="s">
        <v>144</v>
      </c>
      <c r="C98" s="20" t="s">
        <v>25</v>
      </c>
      <c r="D98" s="49">
        <v>270106</v>
      </c>
      <c r="E98" s="22" t="s">
        <v>145</v>
      </c>
      <c r="F98" s="23">
        <v>420</v>
      </c>
      <c r="G98" s="24" t="s">
        <v>27</v>
      </c>
      <c r="H98" s="25">
        <v>43875</v>
      </c>
      <c r="I98" s="25">
        <v>44196</v>
      </c>
      <c r="J98" s="39"/>
      <c r="K98" s="27">
        <f>IF(G98="გამ. შესყიდვა",SUMIFS('[1]გამარტივებული შესყიდვა'!L:L,'[1]გამარტივებული შესყიდვა'!K:K,B98,'[1]გამარტივებული შესყიდვა'!N:N,"სახელმწიფო ბიუჯეტი",'[1]გამარტივებული შესყიდვა'!O:O,"270106"),0)</f>
        <v>411.17</v>
      </c>
      <c r="L98" s="27">
        <v>0</v>
      </c>
      <c r="M98" s="27">
        <f>IF(G98="კონს. ტენდერი",SUMIFS('[1]კონსოლიდირებული ტენდერი'!L:L,'[1]კონსოლიდირებული ტენდერი'!E:E,B98,'[1]კონსოლიდირებული ტენდერი'!N:N,"სახელმწიფო ბიუჯეტი",'[1]კონსოლიდირებული ტენდერი'!O:O,"270106"),0)</f>
        <v>0</v>
      </c>
      <c r="N98" s="27">
        <v>0</v>
      </c>
      <c r="O98" s="27">
        <f>IF(G98="ელ. ტენდერი",SUMIFS('[1]ელ. ტენდერი'!N:N,'[1]ელ. ტენდერი'!G:G,B98,'[1]ელ. ტენდერი'!Q:Q,"სახელმწიფო ბიუჯეტი",'[1]ელ. ტენდერი'!R:R,"270106"),0)</f>
        <v>0</v>
      </c>
      <c r="P98" s="27">
        <v>0</v>
      </c>
      <c r="Q98" s="29">
        <f t="shared" si="2"/>
        <v>8.8299999999999841</v>
      </c>
    </row>
    <row r="99" spans="1:17" ht="15.75" x14ac:dyDescent="0.3">
      <c r="A99" s="18">
        <v>94</v>
      </c>
      <c r="B99" s="19" t="s">
        <v>146</v>
      </c>
      <c r="C99" s="20" t="s">
        <v>25</v>
      </c>
      <c r="D99" s="21">
        <v>2703030701</v>
      </c>
      <c r="E99" s="22" t="s">
        <v>147</v>
      </c>
      <c r="F99" s="23">
        <v>300</v>
      </c>
      <c r="G99" s="24" t="s">
        <v>27</v>
      </c>
      <c r="H99" s="25">
        <v>43831</v>
      </c>
      <c r="I99" s="25">
        <v>44196</v>
      </c>
      <c r="J99" s="39"/>
      <c r="K99" s="27">
        <v>0</v>
      </c>
      <c r="L99" s="27">
        <f>IF(G99="გამ. შესყიდვა",SUMIFS('[1]გამარტივებული შესყიდვა'!L:L,'[1]გამარტივებული შესყიდვა'!K:K,B99,'[1]გამარტივებული შესყიდვა'!N:N,"სახელმწიფო ბიუჯეტი",'[1]გამარტივებული შესყიდვა'!O:O,"2703030701"),0)</f>
        <v>0</v>
      </c>
      <c r="M99" s="27">
        <v>0</v>
      </c>
      <c r="N99" s="27">
        <f>IF(G99="კონს. ტენდერი",SUMIFS('[1]კონსოლიდირებული ტენდერი'!L:L,'[1]კონსოლიდირებული ტენდერი'!E:E,B99,'[1]კონსოლიდირებული ტენდერი'!N:N,"სახელმწიფო ბიუჯეტი",'[1]კონსოლიდირებული ტენდერი'!O:O,"2703030701"),0)</f>
        <v>0</v>
      </c>
      <c r="O99" s="27">
        <v>0</v>
      </c>
      <c r="P99" s="27">
        <f>IF(G99="ელ. ტენდერი",SUMIFS('[1]ელ. ტენდერი'!N:N,'[1]ელ. ტენდერი'!G:G,B99,'[1]ელ. ტენდერი'!Q:Q,"სახელმწიფო ბიუჯეტი",'[1]ელ. ტენდერი'!R:R,"2703030701"),0)</f>
        <v>0</v>
      </c>
      <c r="Q99" s="29">
        <f t="shared" si="2"/>
        <v>300</v>
      </c>
    </row>
    <row r="100" spans="1:17" ht="15.75" x14ac:dyDescent="0.3">
      <c r="A100" s="18">
        <v>95</v>
      </c>
      <c r="B100" s="36" t="s">
        <v>148</v>
      </c>
      <c r="C100" s="20" t="s">
        <v>25</v>
      </c>
      <c r="D100" s="21">
        <v>2703030701</v>
      </c>
      <c r="E100" s="22" t="s">
        <v>149</v>
      </c>
      <c r="F100" s="23">
        <v>2325</v>
      </c>
      <c r="G100" s="24" t="s">
        <v>27</v>
      </c>
      <c r="H100" s="25">
        <v>44076</v>
      </c>
      <c r="I100" s="25">
        <v>44196</v>
      </c>
      <c r="J100" s="39" t="s">
        <v>59</v>
      </c>
      <c r="K100" s="27">
        <v>0</v>
      </c>
      <c r="L100" s="27">
        <f>IF(G100="გამ. შესყიდვა",SUMIFS('[1]გამარტივებული შესყიდვა'!L:L,'[1]გამარტივებული შესყიდვა'!K:K,B100,'[1]გამარტივებული შესყიდვა'!N:N,"სახელმწიფო ბიუჯეტი",'[1]გამარტივებული შესყიდვა'!O:O,"2703030701"),0)</f>
        <v>0</v>
      </c>
      <c r="M100" s="27">
        <v>0</v>
      </c>
      <c r="N100" s="27">
        <f>IF(G100="კონს. ტენდერი",SUMIFS('[1]კონსოლიდირებული ტენდერი'!L:L,'[1]კონსოლიდირებული ტენდერი'!E:E,B100,'[1]კონსოლიდირებული ტენდერი'!N:N,"სახელმწიფო ბიუჯეტი",'[1]კონსოლიდირებული ტენდერი'!O:O,"2703030701"),0)</f>
        <v>0</v>
      </c>
      <c r="O100" s="27">
        <v>0</v>
      </c>
      <c r="P100" s="27">
        <f>IF(G100="ელ. ტენდერი",SUMIFS('[1]ელ. ტენდერი'!N:N,'[1]ელ. ტენდერი'!G:G,B100,'[1]ელ. ტენდერი'!Q:Q,"სახელმწიფო ბიუჯეტი",'[1]ელ. ტენდერი'!R:R,"2703030701"),0)</f>
        <v>0</v>
      </c>
      <c r="Q100" s="29">
        <f t="shared" si="2"/>
        <v>2325</v>
      </c>
    </row>
    <row r="101" spans="1:17" ht="15.75" x14ac:dyDescent="0.3">
      <c r="A101" s="18">
        <v>96</v>
      </c>
      <c r="B101" s="30" t="s">
        <v>150</v>
      </c>
      <c r="C101" s="20" t="s">
        <v>25</v>
      </c>
      <c r="D101" s="21">
        <v>2703030701</v>
      </c>
      <c r="E101" s="22" t="s">
        <v>151</v>
      </c>
      <c r="F101" s="23">
        <f>4000-1000-10</f>
        <v>2990</v>
      </c>
      <c r="G101" s="24" t="s">
        <v>27</v>
      </c>
      <c r="H101" s="25">
        <v>43831</v>
      </c>
      <c r="I101" s="25">
        <v>44196</v>
      </c>
      <c r="J101" s="39"/>
      <c r="K101" s="27">
        <v>0</v>
      </c>
      <c r="L101" s="27">
        <f>IF(G101="გამ. შესყიდვა",SUMIFS('[1]გამარტივებული შესყიდვა'!L:L,'[1]გამარტივებული შესყიდვა'!K:K,B101,'[1]გამარტივებული შესყიდვა'!N:N,"სახელმწიფო ბიუჯეტი",'[1]გამარტივებული შესყიდვა'!O:O,"2703030701"),0)</f>
        <v>0</v>
      </c>
      <c r="M101" s="27">
        <v>0</v>
      </c>
      <c r="N101" s="27">
        <f>IF(G101="კონს. ტენდერი",SUMIFS('[1]კონსოლიდირებული ტენდერი'!L:L,'[1]კონსოლიდირებული ტენდერი'!E:E,B101,'[1]კონსოლიდირებული ტენდერი'!N:N,"სახელმწიფო ბიუჯეტი",'[1]კონსოლიდირებული ტენდერი'!O:O,"2703030701"),0)</f>
        <v>0</v>
      </c>
      <c r="O101" s="27">
        <v>0</v>
      </c>
      <c r="P101" s="27">
        <f>IF(G101="ელ. ტენდერი",SUMIFS('[1]ელ. ტენდერი'!N:N,'[1]ელ. ტენდერი'!G:G,B101,'[1]ელ. ტენდერი'!Q:Q,"სახელმწიფო ბიუჯეტი",'[1]ელ. ტენდერი'!R:R,"2703030701"),0)</f>
        <v>0</v>
      </c>
      <c r="Q101" s="29">
        <f t="shared" si="2"/>
        <v>2990</v>
      </c>
    </row>
    <row r="102" spans="1:17" ht="15.75" x14ac:dyDescent="0.3">
      <c r="A102" s="18">
        <v>97</v>
      </c>
      <c r="B102" s="38" t="s">
        <v>150</v>
      </c>
      <c r="C102" s="20" t="s">
        <v>25</v>
      </c>
      <c r="D102" s="21">
        <v>270106</v>
      </c>
      <c r="E102" s="22" t="s">
        <v>151</v>
      </c>
      <c r="F102" s="23">
        <f>1990+10</f>
        <v>2000</v>
      </c>
      <c r="G102" s="24" t="s">
        <v>27</v>
      </c>
      <c r="H102" s="25">
        <v>43867</v>
      </c>
      <c r="I102" s="25">
        <v>44196</v>
      </c>
      <c r="J102" s="39"/>
      <c r="K102" s="27">
        <f>IF(G102="გამ. შესყიდვა",SUMIFS('[1]გამარტივებული შესყიდვა'!L:L,'[1]გამარტივებული შესყიდვა'!K:K,B102,'[1]გამარტივებული შესყიდვა'!N:N,"სახელმწიფო ბიუჯეტი",'[1]გამარტივებული შესყიდვა'!O:O,"270106"),0)</f>
        <v>2000</v>
      </c>
      <c r="L102" s="27">
        <v>0</v>
      </c>
      <c r="M102" s="27">
        <f>IF(G102="კონს. ტენდერი",SUMIFS('[1]კონსოლიდირებული ტენდერი'!L:L,'[1]კონსოლიდირებული ტენდერი'!E:E,B102,'[1]კონსოლიდირებული ტენდერი'!N:N,"სახელმწიფო ბიუჯეტი",'[1]კონსოლიდირებული ტენდერი'!O:O,"270106"),0)</f>
        <v>0</v>
      </c>
      <c r="N102" s="27">
        <v>0</v>
      </c>
      <c r="O102" s="27">
        <f>IF(G102="ელ. ტენდერი",SUMIFS('[1]ელ. ტენდერი'!N:N,'[1]ელ. ტენდერი'!G:G,B102,'[1]ელ. ტენდერი'!Q:Q,"სახელმწიფო ბიუჯეტი",'[1]ელ. ტენდერი'!R:R,"270106"),0)</f>
        <v>0</v>
      </c>
      <c r="P102" s="27">
        <v>0</v>
      </c>
      <c r="Q102" s="29">
        <f t="shared" si="2"/>
        <v>0</v>
      </c>
    </row>
    <row r="103" spans="1:17" ht="15.75" x14ac:dyDescent="0.3">
      <c r="A103" s="18">
        <v>98</v>
      </c>
      <c r="B103" s="19" t="s">
        <v>152</v>
      </c>
      <c r="C103" s="20" t="s">
        <v>25</v>
      </c>
      <c r="D103" s="21">
        <v>270106</v>
      </c>
      <c r="E103" s="22" t="s">
        <v>153</v>
      </c>
      <c r="F103" s="23">
        <f>4950+29350-29310</f>
        <v>4990</v>
      </c>
      <c r="G103" s="24" t="s">
        <v>27</v>
      </c>
      <c r="H103" s="25">
        <v>43831</v>
      </c>
      <c r="I103" s="25">
        <v>44196</v>
      </c>
      <c r="J103" s="39"/>
      <c r="K103" s="27">
        <f>IF(G103="გამ. შესყიდვა",SUMIFS('[1]გამარტივებული შესყიდვა'!L:L,'[1]გამარტივებული შესყიდვა'!K:K,B103,'[1]გამარტივებული შესყიდვა'!N:N,"სახელმწიფო ბიუჯეტი",'[1]გამარტივებული შესყიდვა'!O:O,"270106"),0)</f>
        <v>4086.75</v>
      </c>
      <c r="L103" s="27">
        <v>0</v>
      </c>
      <c r="M103" s="27">
        <f>IF(G103="კონს. ტენდერი",SUMIFS('[1]კონსოლიდირებული ტენდერი'!L:L,'[1]კონსოლიდირებული ტენდერი'!E:E,B103,'[1]კონსოლიდირებული ტენდერი'!N:N,"სახელმწიფო ბიუჯეტი",'[1]კონსოლიდირებული ტენდერი'!O:O,"270106"),0)</f>
        <v>0</v>
      </c>
      <c r="N103" s="27">
        <v>0</v>
      </c>
      <c r="O103" s="27">
        <f>IF(G103="ელ. ტენდერი",SUMIFS('[1]ელ. ტენდერი'!N:N,'[1]ელ. ტენდერი'!G:G,B103,'[1]ელ. ტენდერი'!Q:Q,"სახელმწიფო ბიუჯეტი",'[1]ელ. ტენდერი'!R:R,"270106"),0)</f>
        <v>0</v>
      </c>
      <c r="P103" s="27">
        <v>0</v>
      </c>
      <c r="Q103" s="29">
        <f t="shared" si="2"/>
        <v>903.25</v>
      </c>
    </row>
    <row r="104" spans="1:17" ht="15.75" x14ac:dyDescent="0.3">
      <c r="A104" s="18">
        <v>99</v>
      </c>
      <c r="B104" s="36" t="s">
        <v>154</v>
      </c>
      <c r="C104" s="20" t="s">
        <v>72</v>
      </c>
      <c r="D104" s="21">
        <v>270106</v>
      </c>
      <c r="E104" s="22" t="s">
        <v>155</v>
      </c>
      <c r="F104" s="23">
        <v>1800</v>
      </c>
      <c r="G104" s="24" t="s">
        <v>27</v>
      </c>
      <c r="H104" s="25">
        <v>44062</v>
      </c>
      <c r="I104" s="25">
        <v>44196</v>
      </c>
      <c r="J104" s="39"/>
      <c r="K104" s="27">
        <f>IF(G104="გამ. შესყიდვა",SUMIFS('[1]გამარტივებული შესყიდვა'!L:L,'[1]გამარტივებული შესყიდვა'!K:K,B104,'[1]გამარტივებული შესყიდვა'!N:N,"სახელმწიფო ბიუჯეტი",'[1]გამარტივებული შესყიდვა'!O:O,"270106"),0)</f>
        <v>1790</v>
      </c>
      <c r="L104" s="27">
        <v>0</v>
      </c>
      <c r="M104" s="27">
        <f>IF(G104="კონს. ტენდერი",SUMIFS('[1]კონსოლიდირებული ტენდერი'!L:L,'[1]კონსოლიდირებული ტენდერი'!E:E,B104,'[1]კონსოლიდირებული ტენდერი'!N:N,"სახელმწიფო ბიუჯეტი",'[1]კონსოლიდირებული ტენდერი'!O:O,"270106"),0)</f>
        <v>0</v>
      </c>
      <c r="N104" s="27">
        <v>0</v>
      </c>
      <c r="O104" s="27">
        <f>IF(G104="ელ. ტენდერი",SUMIFS('[1]ელ. ტენდერი'!N:N,'[1]ელ. ტენდერი'!G:G,B104,'[1]ელ. ტენდერი'!Q:Q,"სახელმწიფო ბიუჯეტი",'[1]ელ. ტენდერი'!R:R,"270106"),0)</f>
        <v>0</v>
      </c>
      <c r="P104" s="27">
        <v>0</v>
      </c>
      <c r="Q104" s="29">
        <f t="shared" si="2"/>
        <v>10</v>
      </c>
    </row>
    <row r="105" spans="1:17" ht="15.75" x14ac:dyDescent="0.3">
      <c r="A105" s="18">
        <v>100</v>
      </c>
      <c r="B105" s="19" t="s">
        <v>156</v>
      </c>
      <c r="C105" s="20" t="s">
        <v>25</v>
      </c>
      <c r="D105" s="21">
        <v>2703030701</v>
      </c>
      <c r="E105" s="22" t="s">
        <v>157</v>
      </c>
      <c r="F105" s="23">
        <v>480</v>
      </c>
      <c r="G105" s="24" t="s">
        <v>27</v>
      </c>
      <c r="H105" s="25">
        <v>43831</v>
      </c>
      <c r="I105" s="25">
        <v>44196</v>
      </c>
      <c r="J105" s="39"/>
      <c r="K105" s="27">
        <v>0</v>
      </c>
      <c r="L105" s="27">
        <f>IF(G105="გამ. შესყიდვა",SUMIFS('[1]გამარტივებული შესყიდვა'!L:L,'[1]გამარტივებული შესყიდვა'!K:K,B105,'[1]გამარტივებული შესყიდვა'!N:N,"სახელმწიფო ბიუჯეტი",'[1]გამარტივებული შესყიდვა'!O:O,"2703030701"),0)</f>
        <v>0</v>
      </c>
      <c r="M105" s="27">
        <v>0</v>
      </c>
      <c r="N105" s="27">
        <f>IF(G105="კონს. ტენდერი",SUMIFS('[1]კონსოლიდირებული ტენდერი'!L:L,'[1]კონსოლიდირებული ტენდერი'!E:E,B105,'[1]კონსოლიდირებული ტენდერი'!N:N,"სახელმწიფო ბიუჯეტი",'[1]კონსოლიდირებული ტენდერი'!O:O,"2703030701"),0)</f>
        <v>0</v>
      </c>
      <c r="O105" s="27">
        <v>0</v>
      </c>
      <c r="P105" s="27">
        <f>IF(G105="ელ. ტენდერი",SUMIFS('[1]ელ. ტენდერი'!N:N,'[1]ელ. ტენდერი'!G:G,B105,'[1]ელ. ტენდერი'!Q:Q,"სახელმწიფო ბიუჯეტი",'[1]ელ. ტენდერი'!R:R,"2703030701"),0)</f>
        <v>0</v>
      </c>
      <c r="Q105" s="29">
        <f t="shared" si="2"/>
        <v>480</v>
      </c>
    </row>
    <row r="106" spans="1:17" ht="15.75" x14ac:dyDescent="0.3">
      <c r="A106" s="18">
        <v>101</v>
      </c>
      <c r="B106" s="19" t="s">
        <v>158</v>
      </c>
      <c r="C106" s="20" t="s">
        <v>25</v>
      </c>
      <c r="D106" s="49">
        <v>270106</v>
      </c>
      <c r="E106" s="22" t="s">
        <v>159</v>
      </c>
      <c r="F106" s="23">
        <v>4990</v>
      </c>
      <c r="G106" s="24" t="s">
        <v>27</v>
      </c>
      <c r="H106" s="25">
        <v>43831</v>
      </c>
      <c r="I106" s="25">
        <v>44196</v>
      </c>
      <c r="J106" s="39"/>
      <c r="K106" s="27">
        <f>IF(G106="გამ. შესყიდვა",SUMIFS('[1]გამარტივებული შესყიდვა'!L:L,'[1]გამარტივებული შესყიდვა'!K:K,B106,'[1]გამარტივებული შესყიდვა'!N:N,"სახელმწიფო ბიუჯეტი",'[1]გამარტივებული შესყიდვა'!O:O,"270106"),0)</f>
        <v>4989</v>
      </c>
      <c r="L106" s="27">
        <v>0</v>
      </c>
      <c r="M106" s="27">
        <f>IF(G106="კონს. ტენდერი",SUMIFS('[1]კონსოლიდირებული ტენდერი'!L:L,'[1]კონსოლიდირებული ტენდერი'!E:E,B106,'[1]კონსოლიდირებული ტენდერი'!N:N,"სახელმწიფო ბიუჯეტი",'[1]კონსოლიდირებული ტენდერი'!O:O,"270106"),0)</f>
        <v>0</v>
      </c>
      <c r="N106" s="27">
        <v>0</v>
      </c>
      <c r="O106" s="27">
        <f>IF(G106="ელ. ტენდერი",SUMIFS('[1]ელ. ტენდერი'!N:N,'[1]ელ. ტენდერი'!G:G,B106,'[1]ელ. ტენდერი'!Q:Q,"სახელმწიფო ბიუჯეტი",'[1]ელ. ტენდერი'!R:R,"270106"),0)</f>
        <v>0</v>
      </c>
      <c r="P106" s="27">
        <v>0</v>
      </c>
      <c r="Q106" s="29">
        <f t="shared" si="2"/>
        <v>1</v>
      </c>
    </row>
    <row r="107" spans="1:17" ht="15.75" x14ac:dyDescent="0.3">
      <c r="A107" s="18">
        <v>102</v>
      </c>
      <c r="B107" s="19" t="s">
        <v>160</v>
      </c>
      <c r="C107" s="20" t="s">
        <v>25</v>
      </c>
      <c r="D107" s="49">
        <v>270106</v>
      </c>
      <c r="E107" s="22" t="s">
        <v>161</v>
      </c>
      <c r="F107" s="23">
        <v>4990</v>
      </c>
      <c r="G107" s="24" t="s">
        <v>27</v>
      </c>
      <c r="H107" s="25">
        <v>43868</v>
      </c>
      <c r="I107" s="25">
        <v>44196</v>
      </c>
      <c r="J107" s="39"/>
      <c r="K107" s="27">
        <f>IF(G107="გამ. შესყიდვა",SUMIFS('[1]გამარტივებული შესყიდვა'!L:L,'[1]გამარტივებული შესყიდვა'!K:K,B107,'[1]გამარტივებული შესყიდვა'!N:N,"სახელმწიფო ბიუჯეტი",'[1]გამარტივებული შესყიდვა'!O:O,"270106"),0)</f>
        <v>3840</v>
      </c>
      <c r="L107" s="27">
        <v>0</v>
      </c>
      <c r="M107" s="27">
        <f>IF(G107="კონს. ტენდერი",SUMIFS('[1]კონსოლიდირებული ტენდერი'!L:L,'[1]კონსოლიდირებული ტენდერი'!E:E,B107,'[1]კონსოლიდირებული ტენდერი'!N:N,"სახელმწიფო ბიუჯეტი",'[1]კონსოლიდირებული ტენდერი'!O:O,"270106"),0)</f>
        <v>0</v>
      </c>
      <c r="N107" s="27">
        <v>0</v>
      </c>
      <c r="O107" s="27">
        <f>IF(G107="ელ. ტენდერი",SUMIFS('[1]ელ. ტენდერი'!N:N,'[1]ელ. ტენდერი'!G:G,B107,'[1]ელ. ტენდერი'!Q:Q,"სახელმწიფო ბიუჯეტი",'[1]ელ. ტენდერი'!R:R,"270106"),0)</f>
        <v>0</v>
      </c>
      <c r="P107" s="27">
        <v>0</v>
      </c>
      <c r="Q107" s="29">
        <f t="shared" si="2"/>
        <v>1150</v>
      </c>
    </row>
    <row r="108" spans="1:17" ht="15.75" x14ac:dyDescent="0.3">
      <c r="A108" s="18">
        <v>103</v>
      </c>
      <c r="B108" s="19" t="s">
        <v>162</v>
      </c>
      <c r="C108" s="20" t="s">
        <v>25</v>
      </c>
      <c r="D108" s="49">
        <v>270106</v>
      </c>
      <c r="E108" s="22" t="s">
        <v>163</v>
      </c>
      <c r="F108" s="23">
        <f>1000+600+1000</f>
        <v>2600</v>
      </c>
      <c r="G108" s="24" t="s">
        <v>27</v>
      </c>
      <c r="H108" s="25">
        <v>43831</v>
      </c>
      <c r="I108" s="25">
        <v>44196</v>
      </c>
      <c r="J108" s="39"/>
      <c r="K108" s="27">
        <f>IF(G108="გამ. შესყიდვა",SUMIFS('[1]გამარტივებული შესყიდვა'!L:L,'[1]გამარტივებული შესყიდვა'!K:K,B108,'[1]გამარტივებული შესყიდვა'!N:N,"სახელმწიფო ბიუჯეტი",'[1]გამარტივებული შესყიდვა'!O:O,"270106"),0)</f>
        <v>0</v>
      </c>
      <c r="L108" s="27">
        <v>0</v>
      </c>
      <c r="M108" s="27">
        <f>IF(G108="კონს. ტენდერი",SUMIFS('[1]კონსოლიდირებული ტენდერი'!L:L,'[1]კონსოლიდირებული ტენდერი'!E:E,B108,'[1]კონსოლიდირებული ტენდერი'!N:N,"სახელმწიფო ბიუჯეტი",'[1]კონსოლიდირებული ტენდერი'!O:O,"270106"),0)</f>
        <v>0</v>
      </c>
      <c r="N108" s="27">
        <v>0</v>
      </c>
      <c r="O108" s="27">
        <f>IF(G108="ელ. ტენდერი",SUMIFS('[1]ელ. ტენდერი'!N:N,'[1]ელ. ტენდერი'!G:G,B108,'[1]ელ. ტენდერი'!Q:Q,"სახელმწიფო ბიუჯეტი",'[1]ელ. ტენდერი'!R:R,"270106"),0)</f>
        <v>0</v>
      </c>
      <c r="P108" s="27">
        <v>0</v>
      </c>
      <c r="Q108" s="29">
        <f t="shared" si="2"/>
        <v>2600</v>
      </c>
    </row>
    <row r="109" spans="1:17" ht="15.75" x14ac:dyDescent="0.3">
      <c r="A109" s="18">
        <v>104</v>
      </c>
      <c r="B109" s="50" t="s">
        <v>164</v>
      </c>
      <c r="C109" s="20" t="s">
        <v>25</v>
      </c>
      <c r="D109" s="21">
        <v>2703030701</v>
      </c>
      <c r="E109" s="22" t="s">
        <v>165</v>
      </c>
      <c r="F109" s="23">
        <f>250000+150000+600000+200000</f>
        <v>1200000</v>
      </c>
      <c r="G109" s="24" t="s">
        <v>27</v>
      </c>
      <c r="H109" s="25">
        <v>43831</v>
      </c>
      <c r="I109" s="25">
        <v>44196</v>
      </c>
      <c r="J109" s="39" t="s">
        <v>166</v>
      </c>
      <c r="K109" s="27">
        <v>0</v>
      </c>
      <c r="L109" s="28">
        <v>974569</v>
      </c>
      <c r="M109" s="27">
        <v>0</v>
      </c>
      <c r="N109" s="27">
        <f>IF(G109="კონს. ტენდერი",SUMIFS('[1]კონსოლიდირებული ტენდერი'!L:L,'[1]კონსოლიდირებული ტენდერი'!E:E,B109,'[1]კონსოლიდირებული ტენდერი'!N:N,"სახელმწიფო ბიუჯეტი",'[1]კონსოლიდირებული ტენდერი'!O:O,"2703030701"),0)</f>
        <v>0</v>
      </c>
      <c r="O109" s="27">
        <v>0</v>
      </c>
      <c r="P109" s="27">
        <f>IF(G109="ელ. ტენდერი",SUMIFS('[1]ელ. ტენდერი'!N:N,'[1]ელ. ტენდერი'!G:G,B109,'[1]ელ. ტენდერი'!Q:Q,"სახელმწიფო ბიუჯეტი",'[1]ელ. ტენდერი'!R:R,"2703030701"),0)</f>
        <v>0</v>
      </c>
      <c r="Q109" s="29">
        <f t="shared" si="2"/>
        <v>225431</v>
      </c>
    </row>
    <row r="110" spans="1:17" ht="15.75" x14ac:dyDescent="0.3">
      <c r="A110" s="18">
        <v>105</v>
      </c>
      <c r="B110" s="19" t="s">
        <v>164</v>
      </c>
      <c r="C110" s="20" t="s">
        <v>25</v>
      </c>
      <c r="D110" s="49">
        <v>270106</v>
      </c>
      <c r="E110" s="22" t="s">
        <v>165</v>
      </c>
      <c r="F110" s="23">
        <f>15000-4090-700</f>
        <v>10210</v>
      </c>
      <c r="G110" s="24" t="s">
        <v>27</v>
      </c>
      <c r="H110" s="25">
        <v>43831</v>
      </c>
      <c r="I110" s="25">
        <v>44196</v>
      </c>
      <c r="J110" s="39" t="s">
        <v>166</v>
      </c>
      <c r="K110" s="27">
        <f>IF(G110="გამ. შესყიდვა",SUMIFS('[1]გამარტივებული შესყიდვა'!L:L,'[1]გამარტივებული შესყიდვა'!K:K,B110,'[1]გამარტივებული შესყიდვა'!N:N,"სახელმწიფო ბიუჯეტი",'[1]გამარტივებული შესყიდვა'!O:O,"270106"),0)</f>
        <v>0</v>
      </c>
      <c r="L110" s="27">
        <v>0</v>
      </c>
      <c r="M110" s="27">
        <f>IF(G110="კონს. ტენდერი",SUMIFS('[1]კონსოლიდირებული ტენდერი'!L:L,'[1]კონსოლიდირებული ტენდერი'!E:E,B110,'[1]კონსოლიდირებული ტენდერი'!N:N,"სახელმწიფო ბიუჯეტი",'[1]კონსოლიდირებული ტენდერი'!O:O,"270106"),0)</f>
        <v>0</v>
      </c>
      <c r="N110" s="27">
        <v>0</v>
      </c>
      <c r="O110" s="27">
        <f>IF(G110="ელ. ტენდერი",SUMIFS('[1]ელ. ტენდერი'!N:N,'[1]ელ. ტენდერი'!G:G,B110,'[1]ელ. ტენდერი'!Q:Q,"სახელმწიფო ბიუჯეტი",'[1]ელ. ტენდერი'!R:R,"270106"),0)</f>
        <v>0</v>
      </c>
      <c r="P110" s="27">
        <v>0</v>
      </c>
      <c r="Q110" s="29">
        <f t="shared" si="2"/>
        <v>10210</v>
      </c>
    </row>
    <row r="111" spans="1:17" ht="15.75" x14ac:dyDescent="0.3">
      <c r="A111" s="18">
        <v>106</v>
      </c>
      <c r="B111" s="38" t="s">
        <v>164</v>
      </c>
      <c r="C111" s="20" t="s">
        <v>25</v>
      </c>
      <c r="D111" s="21">
        <v>2703030701</v>
      </c>
      <c r="E111" s="22" t="s">
        <v>165</v>
      </c>
      <c r="F111" s="23">
        <f>2900000+20000+450000-70000-15000-60475-8000-102000-200000+162475+450000</f>
        <v>3527000</v>
      </c>
      <c r="G111" s="24" t="s">
        <v>44</v>
      </c>
      <c r="H111" s="25">
        <v>43831</v>
      </c>
      <c r="I111" s="25">
        <v>44196</v>
      </c>
      <c r="J111" s="39"/>
      <c r="K111" s="27">
        <v>0</v>
      </c>
      <c r="L111" s="27">
        <f>IF(G111="გამ. შესყიდვა",SUMIFS('[1]გამარტივებული შესყიდვა'!L:L,'[1]გამარტივებული შესყიდვა'!K:K,B111,'[1]გამარტივებული შესყიდვა'!N:N,"სახელმწიფო ბიუჯეტი",'[1]გამარტივებული შესყიდვა'!O:O,"2703030701"),0)</f>
        <v>0</v>
      </c>
      <c r="M111" s="27">
        <v>0</v>
      </c>
      <c r="N111" s="27">
        <f>IF(G111="კონს. ტენდერი",SUMIFS('[1]კონსოლიდირებული ტენდერი'!L:L,'[1]კონსოლიდირებული ტენდერი'!E:E,B111,'[1]კონსოლიდირებული ტენდერი'!N:N,"სახელმწიფო ბიუჯეტი",'[1]კონსოლიდირებული ტენდერი'!O:O,"2703030701"),0)</f>
        <v>0</v>
      </c>
      <c r="O111" s="27">
        <v>0</v>
      </c>
      <c r="P111" s="27">
        <f>IF(G111="ელ. ტენდერი",SUMIFS('[1]ელ. ტენდერი'!N:N,'[1]ელ. ტენდერი'!G:G,B111,'[1]ელ. ტენდერი'!Q:Q,"სახელმწიფო ბიუჯეტი",'[1]ელ. ტენდერი'!R:R,"2703030701"),0)</f>
        <v>3077000</v>
      </c>
      <c r="Q111" s="29">
        <f t="shared" si="2"/>
        <v>450000</v>
      </c>
    </row>
    <row r="112" spans="1:17" ht="15.75" x14ac:dyDescent="0.3">
      <c r="A112" s="18">
        <v>107</v>
      </c>
      <c r="B112" s="19" t="s">
        <v>164</v>
      </c>
      <c r="C112" s="20" t="s">
        <v>25</v>
      </c>
      <c r="D112" s="49">
        <v>270106</v>
      </c>
      <c r="E112" s="22" t="s">
        <v>165</v>
      </c>
      <c r="F112" s="23">
        <f>40000+35000-55000</f>
        <v>20000</v>
      </c>
      <c r="G112" s="24" t="s">
        <v>44</v>
      </c>
      <c r="H112" s="25">
        <v>43831</v>
      </c>
      <c r="I112" s="25">
        <v>44196</v>
      </c>
      <c r="J112" s="39"/>
      <c r="K112" s="27">
        <f>IF(G112="გამ. შესყიდვა",SUMIFS('[1]გამარტივებული შესყიდვა'!L:L,'[1]გამარტივებული შესყიდვა'!K:K,B112,'[1]გამარტივებული შესყიდვა'!N:N,"სახელმწიფო ბიუჯეტი",'[1]გამარტივებული შესყიდვა'!O:O,"270106"),0)</f>
        <v>0</v>
      </c>
      <c r="L112" s="27">
        <v>0</v>
      </c>
      <c r="M112" s="27">
        <f>IF(G112="კონს. ტენდერი",SUMIFS('[1]კონსოლიდირებული ტენდერი'!L:L,'[1]კონსოლიდირებული ტენდერი'!E:E,B112,'[1]კონსოლიდირებული ტენდერი'!N:N,"სახელმწიფო ბიუჯეტი",'[1]კონსოლიდირებული ტენდერი'!O:O,"270106"),0)</f>
        <v>0</v>
      </c>
      <c r="N112" s="27">
        <v>0</v>
      </c>
      <c r="O112" s="27">
        <f>IF(G112="ელ. ტენდერი",SUMIFS('[1]ელ. ტენდერი'!N:N,'[1]ელ. ტენდერი'!G:G,B112,'[1]ელ. ტენდერი'!Q:Q,"სახელმწიფო ბიუჯეტი",'[1]ელ. ტენდერი'!R:R,"270106"),0)</f>
        <v>15000</v>
      </c>
      <c r="P112" s="27">
        <v>0</v>
      </c>
      <c r="Q112" s="29">
        <f t="shared" si="2"/>
        <v>5000</v>
      </c>
    </row>
    <row r="113" spans="1:17" ht="15.75" x14ac:dyDescent="0.3">
      <c r="A113" s="18">
        <v>108</v>
      </c>
      <c r="B113" s="38" t="s">
        <v>164</v>
      </c>
      <c r="C113" s="20" t="s">
        <v>25</v>
      </c>
      <c r="D113" s="21">
        <v>2703030701</v>
      </c>
      <c r="E113" s="22" t="s">
        <v>165</v>
      </c>
      <c r="F113" s="23">
        <f>70000+15000+50000+8000+10000+20000</f>
        <v>173000</v>
      </c>
      <c r="G113" s="24" t="s">
        <v>27</v>
      </c>
      <c r="H113" s="25">
        <v>43836</v>
      </c>
      <c r="I113" s="25">
        <v>44196</v>
      </c>
      <c r="J113" s="39" t="s">
        <v>59</v>
      </c>
      <c r="K113" s="27">
        <v>0</v>
      </c>
      <c r="L113" s="28">
        <v>172033.84</v>
      </c>
      <c r="M113" s="27">
        <v>0</v>
      </c>
      <c r="N113" s="27">
        <f>IF(G113="კონს. ტენდერი",SUMIFS('[1]კონსოლიდირებული ტენდერი'!L:L,'[1]კონსოლიდირებული ტენდერი'!E:E,B113,'[1]კონსოლიდირებული ტენდერი'!N:N,"სახელმწიფო ბიუჯეტი",'[1]კონსოლიდირებული ტენდერი'!O:O,"2703030701"),0)</f>
        <v>0</v>
      </c>
      <c r="O113" s="27">
        <v>0</v>
      </c>
      <c r="P113" s="27">
        <f>IF(G113="ელ. ტენდერი",SUMIFS('[1]ელ. ტენდერი'!N:N,'[1]ელ. ტენდერი'!G:G,B113,'[1]ელ. ტენდერი'!Q:Q,"სახელმწიფო ბიუჯეტი",'[1]ელ. ტენდერი'!R:R,"2703030701"),0)</f>
        <v>0</v>
      </c>
      <c r="Q113" s="29">
        <f>F113-SUM(K113:P113)</f>
        <v>966.16000000000349</v>
      </c>
    </row>
    <row r="114" spans="1:17" ht="15.75" x14ac:dyDescent="0.3">
      <c r="A114" s="18">
        <v>109</v>
      </c>
      <c r="B114" s="19" t="s">
        <v>164</v>
      </c>
      <c r="C114" s="20" t="s">
        <v>25</v>
      </c>
      <c r="D114" s="49">
        <v>270106</v>
      </c>
      <c r="E114" s="22" t="s">
        <v>165</v>
      </c>
      <c r="F114" s="23">
        <v>1500</v>
      </c>
      <c r="G114" s="24" t="s">
        <v>27</v>
      </c>
      <c r="H114" s="25">
        <v>43831</v>
      </c>
      <c r="I114" s="25">
        <v>44196</v>
      </c>
      <c r="J114" s="39" t="s">
        <v>28</v>
      </c>
      <c r="K114" s="27">
        <f>IF(G114="გამ. შესყიდვა",SUMIFS('[1]გამარტივებული შესყიდვა'!L:L,'[1]გამარტივებული შესყიდვა'!K:K,B114,'[1]გამარტივებული შესყიდვა'!N:N,"სახელმწიფო ბიუჯეტი",'[1]გამარტივებული შესყიდვა'!O:O,"270106"),0)</f>
        <v>0</v>
      </c>
      <c r="L114" s="27">
        <v>0</v>
      </c>
      <c r="M114" s="27">
        <f>IF(G114="კონს. ტენდერი",SUMIFS('[1]კონსოლიდირებული ტენდერი'!L:L,'[1]კონსოლიდირებული ტენდერი'!E:E,B114,'[1]კონსოლიდირებული ტენდერი'!N:N,"სახელმწიფო ბიუჯეტი",'[1]კონსოლიდირებული ტენდერი'!O:O,"270106"),0)</f>
        <v>0</v>
      </c>
      <c r="N114" s="27">
        <v>0</v>
      </c>
      <c r="O114" s="27">
        <f>IF(G114="ელ. ტენდერი",SUMIFS('[1]ელ. ტენდერი'!N:N,'[1]ელ. ტენდერი'!G:G,B114,'[1]ელ. ტენდერი'!Q:Q,"სახელმწიფო ბიუჯეტი",'[1]ელ. ტენდერი'!R:R,"270106"),0)</f>
        <v>0</v>
      </c>
      <c r="P114" s="27">
        <v>0</v>
      </c>
      <c r="Q114" s="29">
        <f t="shared" si="2"/>
        <v>1500</v>
      </c>
    </row>
    <row r="115" spans="1:17" ht="15.75" x14ac:dyDescent="0.3">
      <c r="A115" s="18">
        <v>110</v>
      </c>
      <c r="B115" s="19" t="s">
        <v>164</v>
      </c>
      <c r="C115" s="20" t="s">
        <v>25</v>
      </c>
      <c r="D115" s="21">
        <v>2703030701</v>
      </c>
      <c r="E115" s="22" t="s">
        <v>165</v>
      </c>
      <c r="F115" s="23">
        <v>19000</v>
      </c>
      <c r="G115" s="24" t="s">
        <v>27</v>
      </c>
      <c r="H115" s="25">
        <v>43831</v>
      </c>
      <c r="I115" s="25">
        <v>44196</v>
      </c>
      <c r="J115" s="39" t="s">
        <v>28</v>
      </c>
      <c r="K115" s="27">
        <v>0</v>
      </c>
      <c r="L115" s="28">
        <v>3240</v>
      </c>
      <c r="M115" s="27">
        <v>0</v>
      </c>
      <c r="N115" s="27">
        <f>IF(G115="კონს. ტენდერი",SUMIFS('[1]კონსოლიდირებული ტენდერი'!L:L,'[1]კონსოლიდირებული ტენდერი'!E:E,B115,'[1]კონსოლიდირებული ტენდერი'!N:N,"სახელმწიფო ბიუჯეტი",'[1]კონსოლიდირებული ტენდერი'!O:O,"2703030701"),0)</f>
        <v>0</v>
      </c>
      <c r="O115" s="27">
        <v>0</v>
      </c>
      <c r="P115" s="27">
        <f>IF(G115="ელ. ტენდერი",SUMIFS('[1]ელ. ტენდერი'!N:N,'[1]ელ. ტენდერი'!G:G,B115,'[1]ელ. ტენდერი'!Q:Q,"სახელმწიფო ბიუჯეტი",'[1]ელ. ტენდერი'!R:R,"2703030701"),0)</f>
        <v>0</v>
      </c>
      <c r="Q115" s="29">
        <f t="shared" si="2"/>
        <v>15760</v>
      </c>
    </row>
    <row r="116" spans="1:17" ht="30" x14ac:dyDescent="0.3">
      <c r="A116" s="18">
        <v>111</v>
      </c>
      <c r="B116" s="19" t="s">
        <v>167</v>
      </c>
      <c r="C116" s="20" t="s">
        <v>25</v>
      </c>
      <c r="D116" s="21">
        <v>2703030701</v>
      </c>
      <c r="E116" s="22" t="s">
        <v>168</v>
      </c>
      <c r="F116" s="23">
        <f>10000+4980+4900+10000</f>
        <v>29880</v>
      </c>
      <c r="G116" s="24" t="s">
        <v>44</v>
      </c>
      <c r="H116" s="25">
        <v>43831</v>
      </c>
      <c r="I116" s="25">
        <v>44196</v>
      </c>
      <c r="J116" s="45"/>
      <c r="K116" s="27">
        <v>0</v>
      </c>
      <c r="L116" s="27">
        <f>IF(G116="გამ. შესყიდვა",SUMIFS('[1]გამარტივებული შესყიდვა'!L:L,'[1]გამარტივებული შესყიდვა'!K:K,B116,'[1]გამარტივებული შესყიდვა'!N:N,"სახელმწიფო ბიუჯეტი",'[1]გამარტივებული შესყიდვა'!O:O,"2703030701"),0)</f>
        <v>0</v>
      </c>
      <c r="M116" s="27">
        <v>0</v>
      </c>
      <c r="N116" s="27">
        <f>IF(G116="კონს. ტენდერი",SUMIFS('[1]კონსოლიდირებული ტენდერი'!L:L,'[1]კონსოლიდირებული ტენდერი'!E:E,B116,'[1]კონსოლიდირებული ტენდერი'!N:N,"სახელმწიფო ბიუჯეტი",'[1]კონსოლიდირებული ტენდერი'!O:O,"2703030701"),0)</f>
        <v>0</v>
      </c>
      <c r="O116" s="27">
        <v>0</v>
      </c>
      <c r="P116" s="27">
        <f>IF(G116="ელ. ტენდერი",SUMIFS('[1]ელ. ტენდერი'!N:N,'[1]ელ. ტენდერი'!G:G,B116,'[1]ელ. ტენდერი'!Q:Q,"სახელმწიფო ბიუჯეტი",'[1]ელ. ტენდერი'!R:R,"2703030701"),0)</f>
        <v>15000</v>
      </c>
      <c r="Q116" s="29">
        <f t="shared" si="2"/>
        <v>14880</v>
      </c>
    </row>
    <row r="117" spans="1:17" ht="15.75" x14ac:dyDescent="0.3">
      <c r="A117" s="18">
        <v>112</v>
      </c>
      <c r="B117" s="19" t="s">
        <v>169</v>
      </c>
      <c r="C117" s="20" t="s">
        <v>25</v>
      </c>
      <c r="D117" s="21">
        <v>2703030701</v>
      </c>
      <c r="E117" s="22" t="s">
        <v>170</v>
      </c>
      <c r="F117" s="23">
        <f>3000+1990+4900+17810</f>
        <v>27700</v>
      </c>
      <c r="G117" s="24" t="s">
        <v>44</v>
      </c>
      <c r="H117" s="25">
        <v>43831</v>
      </c>
      <c r="I117" s="25">
        <v>44196</v>
      </c>
      <c r="J117" s="39"/>
      <c r="K117" s="27">
        <v>0</v>
      </c>
      <c r="L117" s="27">
        <f>IF(G117="გამ. შესყიდვა",SUMIFS('[1]გამარტივებული შესყიდვა'!L:L,'[1]გამარტივებული შესყიდვა'!K:K,B117,'[1]გამარტივებული შესყიდვა'!N:N,"სახელმწიფო ბიუჯეტი",'[1]გამარტივებული შესყიდვა'!O:O,"2703030701"),0)</f>
        <v>0</v>
      </c>
      <c r="M117" s="27">
        <v>0</v>
      </c>
      <c r="N117" s="27">
        <f>IF(G117="კონს. ტენდერი",SUMIFS('[1]კონსოლიდირებული ტენდერი'!L:L,'[1]კონსოლიდირებული ტენდერი'!E:E,B117,'[1]კონსოლიდირებული ტენდერი'!N:N,"სახელმწიფო ბიუჯეტი",'[1]კონსოლიდირებული ტენდერი'!O:O,"2703030701"),0)</f>
        <v>0</v>
      </c>
      <c r="O117" s="27">
        <v>0</v>
      </c>
      <c r="P117" s="27">
        <f>IF(G117="ელ. ტენდერი",SUMIFS('[1]ელ. ტენდერი'!N:N,'[1]ელ. ტენდერი'!G:G,B117,'[1]ელ. ტენდერი'!Q:Q,"სახელმწიფო ბიუჯეტი",'[1]ელ. ტენდერი'!R:R,"2703030701"),0)</f>
        <v>0</v>
      </c>
      <c r="Q117" s="29">
        <f t="shared" si="2"/>
        <v>27700</v>
      </c>
    </row>
    <row r="118" spans="1:17" ht="15.75" x14ac:dyDescent="0.3">
      <c r="A118" s="18">
        <v>113</v>
      </c>
      <c r="B118" s="19" t="s">
        <v>171</v>
      </c>
      <c r="C118" s="20" t="s">
        <v>25</v>
      </c>
      <c r="D118" s="21">
        <v>2703030701</v>
      </c>
      <c r="E118" s="22" t="s">
        <v>172</v>
      </c>
      <c r="F118" s="23">
        <f>4990-4730</f>
        <v>260</v>
      </c>
      <c r="G118" s="24" t="s">
        <v>27</v>
      </c>
      <c r="H118" s="25">
        <v>43831</v>
      </c>
      <c r="I118" s="25">
        <v>44196</v>
      </c>
      <c r="J118" s="39"/>
      <c r="K118" s="27">
        <v>0</v>
      </c>
      <c r="L118" s="27">
        <f>IF(G118="გამ. შესყიდვა",SUMIFS('[1]გამარტივებული შესყიდვა'!L:L,'[1]გამარტივებული შესყიდვა'!K:K,B118,'[1]გამარტივებული შესყიდვა'!N:N,"სახელმწიფო ბიუჯეტი",'[1]გამარტივებული შესყიდვა'!O:O,"2703030701"),0)</f>
        <v>255.1</v>
      </c>
      <c r="M118" s="27">
        <v>0</v>
      </c>
      <c r="N118" s="27">
        <f>IF(G118="კონს. ტენდერი",SUMIFS('[1]კონსოლიდირებული ტენდერი'!L:L,'[1]კონსოლიდირებული ტენდერი'!E:E,B118,'[1]კონსოლიდირებული ტენდერი'!N:N,"სახელმწიფო ბიუჯეტი",'[1]კონსოლიდირებული ტენდერი'!O:O,"2703030701"),0)</f>
        <v>0</v>
      </c>
      <c r="O118" s="27">
        <v>0</v>
      </c>
      <c r="P118" s="27">
        <f>IF(G118="ელ. ტენდერი",SUMIFS('[1]ელ. ტენდერი'!N:N,'[1]ელ. ტენდერი'!G:G,B118,'[1]ელ. ტენდერი'!Q:Q,"სახელმწიფო ბიუჯეტი",'[1]ელ. ტენდერი'!R:R,"2703030701"),0)</f>
        <v>0</v>
      </c>
      <c r="Q118" s="29">
        <f t="shared" si="2"/>
        <v>4.9000000000000057</v>
      </c>
    </row>
    <row r="119" spans="1:17" ht="15.75" x14ac:dyDescent="0.3">
      <c r="A119" s="18">
        <v>114</v>
      </c>
      <c r="B119" s="19" t="s">
        <v>171</v>
      </c>
      <c r="C119" s="20" t="s">
        <v>25</v>
      </c>
      <c r="D119" s="21">
        <v>2703030701</v>
      </c>
      <c r="E119" s="22" t="s">
        <v>172</v>
      </c>
      <c r="F119" s="23">
        <f>5000+5000</f>
        <v>10000</v>
      </c>
      <c r="G119" s="24" t="s">
        <v>44</v>
      </c>
      <c r="H119" s="25">
        <v>43874</v>
      </c>
      <c r="I119" s="25">
        <v>44196</v>
      </c>
      <c r="J119" s="39"/>
      <c r="K119" s="27">
        <v>0</v>
      </c>
      <c r="L119" s="27">
        <f>IF(G119="გამ. შესყიდვა",SUMIFS('[1]გამარტივებული შესყიდვა'!L:L,'[1]გამარტივებული შესყიდვა'!K:K,B119,'[1]გამარტივებული შესყიდვა'!N:N,"სახელმწიფო ბიუჯეტი",'[1]გამარტივებული შესყიდვა'!O:O,"2703030701"),0)</f>
        <v>0</v>
      </c>
      <c r="M119" s="27">
        <v>0</v>
      </c>
      <c r="N119" s="27">
        <f>IF(G119="კონს. ტენდერი",SUMIFS('[1]კონსოლიდირებული ტენდერი'!L:L,'[1]კონსოლიდირებული ტენდერი'!E:E,B119,'[1]კონსოლიდირებული ტენდერი'!N:N,"სახელმწიფო ბიუჯეტი",'[1]კონსოლიდირებული ტენდერი'!O:O,"2703030701"),0)</f>
        <v>0</v>
      </c>
      <c r="O119" s="27">
        <v>0</v>
      </c>
      <c r="P119" s="27">
        <f>IF(G119="ელ. ტენდერი",SUMIFS('[1]ელ. ტენდერი'!N:N,'[1]ელ. ტენდერი'!G:G,B119,'[1]ელ. ტენდერი'!Q:Q,"სახელმწიფო ბიუჯეტი",'[1]ელ. ტენდერი'!R:R,"2703030701"),0)</f>
        <v>10000</v>
      </c>
      <c r="Q119" s="29">
        <f t="shared" si="2"/>
        <v>0</v>
      </c>
    </row>
    <row r="120" spans="1:17" ht="15.75" x14ac:dyDescent="0.3">
      <c r="A120" s="18">
        <v>115</v>
      </c>
      <c r="B120" s="19" t="s">
        <v>171</v>
      </c>
      <c r="C120" s="20" t="s">
        <v>25</v>
      </c>
      <c r="D120" s="21">
        <v>2703030701</v>
      </c>
      <c r="E120" s="22" t="s">
        <v>172</v>
      </c>
      <c r="F120" s="23">
        <v>5000</v>
      </c>
      <c r="G120" s="24" t="s">
        <v>27</v>
      </c>
      <c r="H120" s="25">
        <v>43874</v>
      </c>
      <c r="I120" s="25">
        <v>44196</v>
      </c>
      <c r="J120" s="39" t="s">
        <v>173</v>
      </c>
      <c r="K120" s="27">
        <v>0</v>
      </c>
      <c r="L120" s="28">
        <v>0</v>
      </c>
      <c r="M120" s="27">
        <v>0</v>
      </c>
      <c r="N120" s="27">
        <f>IF(G120="კონს. ტენდერი",SUMIFS('[1]კონსოლიდირებული ტენდერი'!L:L,'[1]კონსოლიდირებული ტენდერი'!E:E,B120,'[1]კონსოლიდირებული ტენდერი'!N:N,"სახელმწიფო ბიუჯეტი",'[1]კონსოლიდირებული ტენდერი'!O:O,"2703030701"),0)</f>
        <v>0</v>
      </c>
      <c r="O120" s="27">
        <v>0</v>
      </c>
      <c r="P120" s="27">
        <f>IF(G120="ელ. ტენდერი",SUMIFS('[1]ელ. ტენდერი'!N:N,'[1]ელ. ტენდერი'!G:G,B120,'[1]ელ. ტენდერი'!Q:Q,"სახელმწიფო ბიუჯეტი",'[1]ელ. ტენდერი'!R:R,"2703030701"),0)</f>
        <v>0</v>
      </c>
      <c r="Q120" s="29">
        <f t="shared" si="2"/>
        <v>5000</v>
      </c>
    </row>
    <row r="121" spans="1:17" ht="15.75" x14ac:dyDescent="0.3">
      <c r="A121" s="18">
        <v>116</v>
      </c>
      <c r="B121" s="38" t="s">
        <v>174</v>
      </c>
      <c r="C121" s="20" t="s">
        <v>25</v>
      </c>
      <c r="D121" s="21">
        <v>270106</v>
      </c>
      <c r="E121" s="22" t="s">
        <v>175</v>
      </c>
      <c r="F121" s="23">
        <f>25000+4950+2000+9000</f>
        <v>40950</v>
      </c>
      <c r="G121" s="24" t="s">
        <v>44</v>
      </c>
      <c r="H121" s="25">
        <v>43831</v>
      </c>
      <c r="I121" s="25">
        <v>44196</v>
      </c>
      <c r="J121" s="39"/>
      <c r="K121" s="27">
        <f>IF(G121="გამ. შესყიდვა",SUMIFS('[1]გამარტივებული შესყიდვა'!L:L,'[1]გამარტივებული შესყიდვა'!K:K,B121,'[1]გამარტივებული შესყიდვა'!N:N,"სახელმწიფო ბიუჯეტი",'[1]გამარტივებული შესყიდვა'!O:O,"270106"),0)</f>
        <v>0</v>
      </c>
      <c r="L121" s="27">
        <v>0</v>
      </c>
      <c r="M121" s="27">
        <f>IF(G121="კონს. ტენდერი",SUMIFS('[1]კონსოლიდირებული ტენდერი'!L:L,'[1]კონსოლიდირებული ტენდერი'!E:E,B121,'[1]კონსოლიდირებული ტენდერი'!N:N,"სახელმწიფო ბიუჯეტი",'[1]კონსოლიდირებული ტენდერი'!O:O,"270106"),0)</f>
        <v>0</v>
      </c>
      <c r="N121" s="27">
        <v>0</v>
      </c>
      <c r="O121" s="27">
        <f>IF(G121="ელ. ტენდერი",SUMIFS('[1]ელ. ტენდერი'!N:N,'[1]ელ. ტენდერი'!G:G,B121,'[1]ელ. ტენდერი'!Q:Q,"სახელმწიფო ბიუჯეტი",'[1]ელ. ტენდერი'!R:R,"270106"),0)</f>
        <v>31733.22</v>
      </c>
      <c r="P121" s="27">
        <v>0</v>
      </c>
      <c r="Q121" s="29">
        <f t="shared" si="2"/>
        <v>9216.7799999999988</v>
      </c>
    </row>
    <row r="122" spans="1:17" ht="15.75" x14ac:dyDescent="0.3">
      <c r="A122" s="18">
        <v>117</v>
      </c>
      <c r="B122" s="19" t="s">
        <v>176</v>
      </c>
      <c r="C122" s="20" t="s">
        <v>25</v>
      </c>
      <c r="D122" s="21">
        <v>2703030701</v>
      </c>
      <c r="E122" s="22" t="s">
        <v>177</v>
      </c>
      <c r="F122" s="23">
        <f>1500+1200</f>
        <v>2700</v>
      </c>
      <c r="G122" s="24" t="s">
        <v>27</v>
      </c>
      <c r="H122" s="25">
        <v>43831</v>
      </c>
      <c r="I122" s="25">
        <v>44196</v>
      </c>
      <c r="J122" s="39"/>
      <c r="K122" s="27">
        <v>0</v>
      </c>
      <c r="L122" s="27">
        <f>IF(G122="გამ. შესყიდვა",SUMIFS('[1]გამარტივებული შესყიდვა'!L:L,'[1]გამარტივებული შესყიდვა'!K:K,B122,'[1]გამარტივებული შესყიდვა'!N:N,"სახელმწიფო ბიუჯეტი",'[1]გამარტივებული შესყიდვა'!O:O,"2703030701"),0)</f>
        <v>0</v>
      </c>
      <c r="M122" s="27">
        <v>0</v>
      </c>
      <c r="N122" s="27">
        <f>IF(G122="კონს. ტენდერი",SUMIFS('[1]კონსოლიდირებული ტენდერი'!L:L,'[1]კონსოლიდირებული ტენდერი'!E:E,B122,'[1]კონსოლიდირებული ტენდერი'!N:N,"სახელმწიფო ბიუჯეტი",'[1]კონსოლიდირებული ტენდერი'!O:O,"2703030701"),0)</f>
        <v>0</v>
      </c>
      <c r="O122" s="27">
        <v>0</v>
      </c>
      <c r="P122" s="27">
        <f>IF(G122="ელ. ტენდერი",SUMIFS('[1]ელ. ტენდერი'!N:N,'[1]ელ. ტენდერი'!G:G,B122,'[1]ელ. ტენდერი'!Q:Q,"სახელმწიფო ბიუჯეტი",'[1]ელ. ტენდერი'!R:R,"2703030701"),0)</f>
        <v>0</v>
      </c>
      <c r="Q122" s="29">
        <f t="shared" si="2"/>
        <v>2700</v>
      </c>
    </row>
    <row r="123" spans="1:17" ht="15.75" x14ac:dyDescent="0.3">
      <c r="A123" s="18">
        <v>118</v>
      </c>
      <c r="B123" s="30" t="s">
        <v>178</v>
      </c>
      <c r="C123" s="20" t="s">
        <v>25</v>
      </c>
      <c r="D123" s="21">
        <v>2703030701</v>
      </c>
      <c r="E123" s="22" t="s">
        <v>179</v>
      </c>
      <c r="F123" s="23">
        <f>90000-20000</f>
        <v>70000</v>
      </c>
      <c r="G123" s="24" t="s">
        <v>44</v>
      </c>
      <c r="H123" s="25">
        <v>43831</v>
      </c>
      <c r="I123" s="25">
        <v>44196</v>
      </c>
      <c r="J123" s="39"/>
      <c r="K123" s="27">
        <v>0</v>
      </c>
      <c r="L123" s="27">
        <f>IF(G123="გამ. შესყიდვა",SUMIFS('[1]გამარტივებული შესყიდვა'!L:L,'[1]გამარტივებული შესყიდვა'!K:K,B123,'[1]გამარტივებული შესყიდვა'!N:N,"სახელმწიფო ბიუჯეტი",'[1]გამარტივებული შესყიდვა'!O:O,"2703030701"),0)</f>
        <v>0</v>
      </c>
      <c r="M123" s="27">
        <v>0</v>
      </c>
      <c r="N123" s="27">
        <f>IF(G123="კონს. ტენდერი",SUMIFS('[1]კონსოლიდირებული ტენდერი'!L:L,'[1]კონსოლიდირებული ტენდერი'!E:E,B123,'[1]კონსოლიდირებული ტენდერი'!N:N,"სახელმწიფო ბიუჯეტი",'[1]კონსოლიდირებული ტენდერი'!O:O,"2703030701"),0)</f>
        <v>0</v>
      </c>
      <c r="O123" s="27">
        <v>0</v>
      </c>
      <c r="P123" s="27">
        <f>IF(G123="ელ. ტენდერი",SUMIFS('[1]ელ. ტენდერი'!N:N,'[1]ელ. ტენდერი'!G:G,B123,'[1]ელ. ტენდერი'!Q:Q,"სახელმწიფო ბიუჯეტი",'[1]ელ. ტენდერი'!R:R,"2703030701"),0)</f>
        <v>0</v>
      </c>
      <c r="Q123" s="29">
        <f t="shared" si="2"/>
        <v>70000</v>
      </c>
    </row>
    <row r="124" spans="1:17" ht="15.75" x14ac:dyDescent="0.3">
      <c r="A124" s="18">
        <v>119</v>
      </c>
      <c r="B124" s="19" t="s">
        <v>180</v>
      </c>
      <c r="C124" s="20" t="s">
        <v>25</v>
      </c>
      <c r="D124" s="49">
        <v>270106</v>
      </c>
      <c r="E124" s="22" t="s">
        <v>181</v>
      </c>
      <c r="F124" s="23">
        <v>4990</v>
      </c>
      <c r="G124" s="24" t="s">
        <v>27</v>
      </c>
      <c r="H124" s="25">
        <v>43831</v>
      </c>
      <c r="I124" s="25">
        <v>44196</v>
      </c>
      <c r="J124" s="39"/>
      <c r="K124" s="27">
        <f>IF(G124="გამ. შესყიდვა",SUMIFS('[1]გამარტივებული შესყიდვა'!L:L,'[1]გამარტივებული შესყიდვა'!K:K,B124,'[1]გამარტივებული შესყიდვა'!N:N,"სახელმწიფო ბიუჯეტი",'[1]გამარტივებული შესყიდვა'!O:O,"270106"),0)</f>
        <v>0</v>
      </c>
      <c r="L124" s="27">
        <v>0</v>
      </c>
      <c r="M124" s="27">
        <f>IF(G124="კონს. ტენდერი",SUMIFS('[1]კონსოლიდირებული ტენდერი'!L:L,'[1]კონსოლიდირებული ტენდერი'!E:E,B124,'[1]კონსოლიდირებული ტენდერი'!N:N,"სახელმწიფო ბიუჯეტი",'[1]კონსოლიდირებული ტენდერი'!O:O,"270106"),0)</f>
        <v>0</v>
      </c>
      <c r="N124" s="27">
        <v>0</v>
      </c>
      <c r="O124" s="27">
        <f>IF(G124="ელ. ტენდერი",SUMIFS('[1]ელ. ტენდერი'!N:N,'[1]ელ. ტენდერი'!G:G,B124,'[1]ელ. ტენდერი'!Q:Q,"სახელმწიფო ბიუჯეტი",'[1]ელ. ტენდერი'!R:R,"270106"),0)</f>
        <v>0</v>
      </c>
      <c r="P124" s="27">
        <v>0</v>
      </c>
      <c r="Q124" s="29">
        <f t="shared" si="2"/>
        <v>4990</v>
      </c>
    </row>
    <row r="125" spans="1:17" ht="15.75" x14ac:dyDescent="0.3">
      <c r="A125" s="18">
        <v>120</v>
      </c>
      <c r="B125" s="19" t="s">
        <v>182</v>
      </c>
      <c r="C125" s="20" t="s">
        <v>25</v>
      </c>
      <c r="D125" s="21">
        <v>2703030701</v>
      </c>
      <c r="E125" s="20" t="s">
        <v>183</v>
      </c>
      <c r="F125" s="23">
        <v>1000</v>
      </c>
      <c r="G125" s="24" t="s">
        <v>27</v>
      </c>
      <c r="H125" s="25">
        <v>43831</v>
      </c>
      <c r="I125" s="25">
        <v>44196</v>
      </c>
      <c r="J125" s="39"/>
      <c r="K125" s="27">
        <v>0</v>
      </c>
      <c r="L125" s="27">
        <f>IF(G125="გამ. შესყიდვა",SUMIFS('[1]გამარტივებული შესყიდვა'!L:L,'[1]გამარტივებული შესყიდვა'!K:K,B125,'[1]გამარტივებული შესყიდვა'!N:N,"სახელმწიფო ბიუჯეტი",'[1]გამარტივებული შესყიდვა'!O:O,"2703030701"),0)</f>
        <v>0</v>
      </c>
      <c r="M125" s="27">
        <v>0</v>
      </c>
      <c r="N125" s="27">
        <f>IF(G125="კონს. ტენდერი",SUMIFS('[1]კონსოლიდირებული ტენდერი'!L:L,'[1]კონსოლიდირებული ტენდერი'!E:E,B125,'[1]კონსოლიდირებული ტენდერი'!N:N,"სახელმწიფო ბიუჯეტი",'[1]კონსოლიდირებული ტენდერი'!O:O,"2703030701"),0)</f>
        <v>0</v>
      </c>
      <c r="O125" s="27">
        <v>0</v>
      </c>
      <c r="P125" s="27">
        <f>IF(G125="ელ. ტენდერი",SUMIFS('[1]ელ. ტენდერი'!N:N,'[1]ელ. ტენდერი'!G:G,B125,'[1]ელ. ტენდერი'!Q:Q,"სახელმწიფო ბიუჯეტი",'[1]ელ. ტენდერი'!R:R,"2703030701"),0)</f>
        <v>0</v>
      </c>
      <c r="Q125" s="29">
        <f t="shared" si="2"/>
        <v>1000</v>
      </c>
    </row>
    <row r="126" spans="1:17" ht="15.75" x14ac:dyDescent="0.3">
      <c r="A126" s="18">
        <v>121</v>
      </c>
      <c r="B126" s="19" t="s">
        <v>184</v>
      </c>
      <c r="C126" s="20" t="s">
        <v>25</v>
      </c>
      <c r="D126" s="21">
        <v>2703030701</v>
      </c>
      <c r="E126" s="22" t="s">
        <v>185</v>
      </c>
      <c r="F126" s="23">
        <v>50000</v>
      </c>
      <c r="G126" s="24" t="s">
        <v>27</v>
      </c>
      <c r="H126" s="25">
        <v>43831</v>
      </c>
      <c r="I126" s="25">
        <v>44196</v>
      </c>
      <c r="J126" s="41" t="s">
        <v>39</v>
      </c>
      <c r="K126" s="27">
        <v>0</v>
      </c>
      <c r="L126" s="27">
        <f>IF(G126="გამ. შესყიდვა",SUMIFS('[1]გამარტივებული შესყიდვა'!L:L,'[1]გამარტივებული შესყიდვა'!K:K,B126,'[1]გამარტივებული შესყიდვა'!N:N,"სახელმწიფო ბიუჯეტი",'[1]გამარტივებული შესყიდვა'!O:O,"2703030701"),0)</f>
        <v>0</v>
      </c>
      <c r="M126" s="27">
        <v>0</v>
      </c>
      <c r="N126" s="27">
        <f>IF(G126="კონს. ტენდერი",SUMIFS('[1]კონსოლიდირებული ტენდერი'!L:L,'[1]კონსოლიდირებული ტენდერი'!E:E,B126,'[1]კონსოლიდირებული ტენდერი'!N:N,"სახელმწიფო ბიუჯეტი",'[1]კონსოლიდირებული ტენდერი'!O:O,"2703030701"),0)</f>
        <v>0</v>
      </c>
      <c r="O126" s="27">
        <v>0</v>
      </c>
      <c r="P126" s="27">
        <f>IF(G126="ელ. ტენდერი",SUMIFS('[1]ელ. ტენდერი'!N:N,'[1]ელ. ტენდერი'!G:G,B126,'[1]ელ. ტენდერი'!Q:Q,"სახელმწიფო ბიუჯეტი",'[1]ელ. ტენდერი'!R:R,"2703030701"),0)</f>
        <v>0</v>
      </c>
      <c r="Q126" s="29">
        <f t="shared" si="2"/>
        <v>50000</v>
      </c>
    </row>
    <row r="127" spans="1:17" ht="15.75" x14ac:dyDescent="0.3">
      <c r="A127" s="18">
        <v>122</v>
      </c>
      <c r="B127" s="19" t="s">
        <v>186</v>
      </c>
      <c r="C127" s="20" t="s">
        <v>25</v>
      </c>
      <c r="D127" s="21">
        <v>270106</v>
      </c>
      <c r="E127" s="22" t="s">
        <v>187</v>
      </c>
      <c r="F127" s="23">
        <v>4900</v>
      </c>
      <c r="G127" s="24" t="s">
        <v>27</v>
      </c>
      <c r="H127" s="25">
        <v>43831</v>
      </c>
      <c r="I127" s="25">
        <v>44196</v>
      </c>
      <c r="J127" s="41"/>
      <c r="K127" s="27">
        <f>IF(G127="გამ. შესყიდვა",SUMIFS('[1]გამარტივებული შესყიდვა'!L:L,'[1]გამარტივებული შესყიდვა'!K:K,B127,'[1]გამარტივებული შესყიდვა'!N:N,"სახელმწიფო ბიუჯეტი",'[1]გამარტივებული შესყიდვა'!O:O,"270106"),0)</f>
        <v>4778.5</v>
      </c>
      <c r="L127" s="27">
        <v>0</v>
      </c>
      <c r="M127" s="27">
        <f>IF(G127="კონს. ტენდერი",SUMIFS('[1]კონსოლიდირებული ტენდერი'!L:L,'[1]კონსოლიდირებული ტენდერი'!E:E,B127,'[1]კონსოლიდირებული ტენდერი'!N:N,"სახელმწიფო ბიუჯეტი",'[1]კონსოლიდირებული ტენდერი'!O:O,"270106"),0)</f>
        <v>0</v>
      </c>
      <c r="N127" s="27">
        <v>0</v>
      </c>
      <c r="O127" s="27">
        <f>IF(G127="ელ. ტენდერი",SUMIFS('[1]ელ. ტენდერი'!N:N,'[1]ელ. ტენდერი'!G:G,B127,'[1]ელ. ტენდერი'!Q:Q,"სახელმწიფო ბიუჯეტი",'[1]ელ. ტენდერი'!R:R,"270106"),0)</f>
        <v>0</v>
      </c>
      <c r="P127" s="27">
        <v>0</v>
      </c>
      <c r="Q127" s="29">
        <f t="shared" si="2"/>
        <v>121.5</v>
      </c>
    </row>
    <row r="128" spans="1:17" ht="15.75" x14ac:dyDescent="0.3">
      <c r="A128" s="18">
        <v>123</v>
      </c>
      <c r="B128" s="19" t="s">
        <v>188</v>
      </c>
      <c r="C128" s="20" t="s">
        <v>25</v>
      </c>
      <c r="D128" s="21">
        <v>2703030701</v>
      </c>
      <c r="E128" s="22" t="s">
        <v>189</v>
      </c>
      <c r="F128" s="23">
        <f>200+10000</f>
        <v>10200</v>
      </c>
      <c r="G128" s="24" t="s">
        <v>27</v>
      </c>
      <c r="H128" s="25">
        <v>43831</v>
      </c>
      <c r="I128" s="25">
        <v>44196</v>
      </c>
      <c r="J128" s="41" t="s">
        <v>28</v>
      </c>
      <c r="K128" s="27">
        <v>0</v>
      </c>
      <c r="L128" s="28">
        <v>0</v>
      </c>
      <c r="M128" s="27">
        <v>0</v>
      </c>
      <c r="N128" s="27">
        <f>IF(G128="კონს. ტენდერი",SUMIFS('[1]კონსოლიდირებული ტენდერი'!L:L,'[1]კონსოლიდირებული ტენდერი'!E:E,B128,'[1]კონსოლიდირებული ტენდერი'!N:N,"სახელმწიფო ბიუჯეტი",'[1]კონსოლიდირებული ტენდერი'!O:O,"2703030701"),0)</f>
        <v>0</v>
      </c>
      <c r="O128" s="27">
        <v>0</v>
      </c>
      <c r="P128" s="27">
        <f>IF(G128="ელ. ტენდერი",SUMIFS('[1]ელ. ტენდერი'!N:N,'[1]ელ. ტენდერი'!G:G,B128,'[1]ელ. ტენდერი'!Q:Q,"სახელმწიფო ბიუჯეტი",'[1]ელ. ტენდერი'!R:R,"2703030701"),0)</f>
        <v>0</v>
      </c>
      <c r="Q128" s="29">
        <f t="shared" si="2"/>
        <v>10200</v>
      </c>
    </row>
    <row r="129" spans="1:17" ht="15.75" x14ac:dyDescent="0.3">
      <c r="A129" s="18">
        <v>124</v>
      </c>
      <c r="B129" s="19" t="s">
        <v>188</v>
      </c>
      <c r="C129" s="20" t="s">
        <v>25</v>
      </c>
      <c r="D129" s="21">
        <v>2703030701</v>
      </c>
      <c r="E129" s="22" t="s">
        <v>190</v>
      </c>
      <c r="F129" s="23">
        <f>80000+20000+4000+24000+42000</f>
        <v>170000</v>
      </c>
      <c r="G129" s="24" t="s">
        <v>27</v>
      </c>
      <c r="H129" s="25">
        <v>43831</v>
      </c>
      <c r="I129" s="25">
        <v>44196</v>
      </c>
      <c r="J129" s="39"/>
      <c r="K129" s="27">
        <v>0</v>
      </c>
      <c r="L129" s="27">
        <f>IF(G129="გამ. შესყიდვა",SUMIFS('[1]გამარტივებული შესყიდვა'!L:L,'[1]გამარტივებული შესყიდვა'!K:K,B129,'[1]გამარტივებული შესყიდვა'!N:N,"სახელმწიფო ბიუჯეტი",'[1]გამარტივებული შესყიდვა'!O:O,"2703030701"),0)</f>
        <v>169092</v>
      </c>
      <c r="M129" s="27">
        <v>0</v>
      </c>
      <c r="N129" s="27">
        <f>IF(G129="კონს. ტენდერი",SUMIFS('[1]კონსოლიდირებული ტენდერი'!L:L,'[1]კონსოლიდირებული ტენდერი'!E:E,B129,'[1]კონსოლიდირებული ტენდერი'!N:N,"სახელმწიფო ბიუჯეტი",'[1]კონსოლიდირებული ტენდერი'!O:O,"2703030701"),0)</f>
        <v>0</v>
      </c>
      <c r="O129" s="27">
        <v>0</v>
      </c>
      <c r="P129" s="27">
        <f>IF(G129="ელ. ტენდერი",SUMIFS('[1]ელ. ტენდერი'!N:N,'[1]ელ. ტენდერი'!G:G,B129,'[1]ელ. ტენდერი'!Q:Q,"სახელმწიფო ბიუჯეტი",'[1]ელ. ტენდერი'!R:R,"2703030701"),0)</f>
        <v>0</v>
      </c>
      <c r="Q129" s="29">
        <f t="shared" si="2"/>
        <v>908</v>
      </c>
    </row>
    <row r="130" spans="1:17" ht="15.75" x14ac:dyDescent="0.3">
      <c r="A130" s="18">
        <v>125</v>
      </c>
      <c r="B130" s="19" t="s">
        <v>191</v>
      </c>
      <c r="C130" s="20" t="s">
        <v>25</v>
      </c>
      <c r="D130" s="49">
        <v>270106</v>
      </c>
      <c r="E130" s="22" t="s">
        <v>192</v>
      </c>
      <c r="F130" s="23">
        <f>4990</f>
        <v>4990</v>
      </c>
      <c r="G130" s="24" t="s">
        <v>27</v>
      </c>
      <c r="H130" s="25">
        <v>43831</v>
      </c>
      <c r="I130" s="25">
        <v>44196</v>
      </c>
      <c r="J130" s="39"/>
      <c r="K130" s="27">
        <f>IF(G130="გამ. შესყიდვა",SUMIFS('[1]გამარტივებული შესყიდვა'!L:L,'[1]გამარტივებული შესყიდვა'!K:K,B130,'[1]გამარტივებული შესყიდვა'!N:N,"სახელმწიფო ბიუჯეტი",'[1]გამარტივებული შესყიდვა'!O:O,"270106"),0)</f>
        <v>4990</v>
      </c>
      <c r="L130" s="27">
        <v>0</v>
      </c>
      <c r="M130" s="27">
        <f>IF(G130="კონს. ტენდერი",SUMIFS('[1]კონსოლიდირებული ტენდერი'!L:L,'[1]კონსოლიდირებული ტენდერი'!E:E,B130,'[1]კონსოლიდირებული ტენდერი'!N:N,"სახელმწიფო ბიუჯეტი",'[1]კონსოლიდირებული ტენდერი'!O:O,"270106"),0)</f>
        <v>0</v>
      </c>
      <c r="N130" s="27">
        <v>0</v>
      </c>
      <c r="O130" s="27">
        <f>IF(G130="ელ. ტენდერი",SUMIFS('[1]ელ. ტენდერი'!N:N,'[1]ელ. ტენდერი'!G:G,B130,'[1]ელ. ტენდერი'!Q:Q,"სახელმწიფო ბიუჯეტი",'[1]ელ. ტენდერი'!R:R,"270106"),0)</f>
        <v>0</v>
      </c>
      <c r="P130" s="27">
        <v>0</v>
      </c>
      <c r="Q130" s="29">
        <f t="shared" si="2"/>
        <v>0</v>
      </c>
    </row>
    <row r="131" spans="1:17" ht="15.75" x14ac:dyDescent="0.3">
      <c r="A131" s="18">
        <v>126</v>
      </c>
      <c r="B131" s="19" t="s">
        <v>193</v>
      </c>
      <c r="C131" s="20" t="s">
        <v>25</v>
      </c>
      <c r="D131" s="21">
        <v>2703030701</v>
      </c>
      <c r="E131" s="22" t="s">
        <v>194</v>
      </c>
      <c r="F131" s="23">
        <f>30000+2300+28000</f>
        <v>60300</v>
      </c>
      <c r="G131" s="24" t="s">
        <v>32</v>
      </c>
      <c r="H131" s="25">
        <v>43831</v>
      </c>
      <c r="I131" s="25">
        <v>44196</v>
      </c>
      <c r="J131" s="39"/>
      <c r="K131" s="27">
        <v>0</v>
      </c>
      <c r="L131" s="27">
        <f>IF(G131="გამ. შესყიდვა",SUMIFS('[1]გამარტივებული შესყიდვა'!L:L,'[1]გამარტივებული შესყიდვა'!K:K,B131,'[1]გამარტივებული შესყიდვა'!N:N,"სახელმწიფო ბიუჯეტი",'[1]გამარტივებული შესყიდვა'!O:O,"2703030701"),0)</f>
        <v>0</v>
      </c>
      <c r="M131" s="27">
        <v>0</v>
      </c>
      <c r="N131" s="27">
        <f>IF(G131="კონს. ტენდერი",SUMIFS('[1]კონსოლიდირებული ტენდერი'!L:L,'[1]კონსოლიდირებული ტენდერი'!E:E,B131,'[1]კონსოლიდირებული ტენდერი'!N:N,"სახელმწიფო ბიუჯეტი",'[1]კონსოლიდირებული ტენდერი'!O:O,"2703030701"),0)</f>
        <v>55000</v>
      </c>
      <c r="O131" s="27">
        <v>0</v>
      </c>
      <c r="P131" s="27">
        <f>IF(G131="ელ. ტენდერი",SUMIFS('[1]ელ. ტენდერი'!N:N,'[1]ელ. ტენდერი'!G:G,B131,'[1]ელ. ტენდერი'!Q:Q,"სახელმწიფო ბიუჯეტი",'[1]ელ. ტენდერი'!R:R,"2703030701"),0)</f>
        <v>0</v>
      </c>
      <c r="Q131" s="29">
        <f t="shared" si="2"/>
        <v>5300</v>
      </c>
    </row>
    <row r="132" spans="1:17" ht="15.75" x14ac:dyDescent="0.3">
      <c r="A132" s="18">
        <v>127</v>
      </c>
      <c r="B132" s="19" t="s">
        <v>193</v>
      </c>
      <c r="C132" s="20" t="s">
        <v>25</v>
      </c>
      <c r="D132" s="21">
        <v>2703030701</v>
      </c>
      <c r="E132" s="22" t="s">
        <v>194</v>
      </c>
      <c r="F132" s="23">
        <f>8000+20000-18000</f>
        <v>10000</v>
      </c>
      <c r="G132" s="24" t="s">
        <v>27</v>
      </c>
      <c r="H132" s="25">
        <v>43831</v>
      </c>
      <c r="I132" s="25">
        <v>44196</v>
      </c>
      <c r="J132" s="39" t="s">
        <v>195</v>
      </c>
      <c r="K132" s="27">
        <v>0</v>
      </c>
      <c r="L132" s="27">
        <f>IF(G132="გამ. შესყიდვა",SUMIFS('[1]გამარტივებული შესყიდვა'!L:L,'[1]გამარტივებული შესყიდვა'!K:K,B132,'[1]გამარტივებული შესყიდვა'!N:N,"სახელმწიფო ბიუჯეტი",'[1]გამარტივებული შესყიდვა'!O:O,"2703030701"),0)</f>
        <v>8184.9</v>
      </c>
      <c r="M132" s="27">
        <v>0</v>
      </c>
      <c r="N132" s="27">
        <f>IF(G132="კონს. ტენდერი",SUMIFS('[1]კონსოლიდირებული ტენდერი'!L:L,'[1]კონსოლიდირებული ტენდერი'!E:E,B132,'[1]კონსოლიდირებული ტენდერი'!N:N,"სახელმწიფო ბიუჯეტი",'[1]კონსოლიდირებული ტენდერი'!O:O,"2703030701"),0)</f>
        <v>0</v>
      </c>
      <c r="O132" s="27">
        <v>0</v>
      </c>
      <c r="P132" s="27">
        <f>IF(G132="ელ. ტენდერი",SUMIFS('[1]ელ. ტენდერი'!N:N,'[1]ელ. ტენდერი'!G:G,B132,'[1]ელ. ტენდერი'!Q:Q,"სახელმწიფო ბიუჯეტი",'[1]ელ. ტენდერი'!R:R,"2703030701"),0)</f>
        <v>0</v>
      </c>
      <c r="Q132" s="29">
        <f t="shared" si="2"/>
        <v>1815.1000000000004</v>
      </c>
    </row>
    <row r="133" spans="1:17" ht="15.75" x14ac:dyDescent="0.3">
      <c r="A133" s="18">
        <v>128</v>
      </c>
      <c r="B133" s="19" t="s">
        <v>193</v>
      </c>
      <c r="C133" s="20" t="s">
        <v>25</v>
      </c>
      <c r="D133" s="49">
        <v>270106</v>
      </c>
      <c r="E133" s="22" t="s">
        <v>194</v>
      </c>
      <c r="F133" s="23">
        <f>18000+38000</f>
        <v>56000</v>
      </c>
      <c r="G133" s="24" t="s">
        <v>27</v>
      </c>
      <c r="H133" s="25">
        <v>43831</v>
      </c>
      <c r="I133" s="25">
        <v>44196</v>
      </c>
      <c r="J133" s="39" t="s">
        <v>195</v>
      </c>
      <c r="K133" s="27">
        <f>IF(G133="გამ. შესყიდვა",SUMIFS('[1]გამარტივებული შესყიდვა'!L:L,'[1]გამარტივებული შესყიდვა'!K:K,B133,'[1]გამარტივებული შესყიდვა'!N:N,"სახელმწიფო ბიუჯეტი",'[1]გამარტივებული შესყიდვა'!O:O,"270106"),0)</f>
        <v>53000</v>
      </c>
      <c r="L133" s="27">
        <v>0</v>
      </c>
      <c r="M133" s="27">
        <f>IF(G133="კონს. ტენდერი",SUMIFS('[1]კონსოლიდირებული ტენდერი'!L:L,'[1]კონსოლიდირებული ტენდერი'!E:E,B133,'[1]კონსოლიდირებული ტენდერი'!N:N,"სახელმწიფო ბიუჯეტი",'[1]კონსოლიდირებული ტენდერი'!O:O,"270106"),0)</f>
        <v>0</v>
      </c>
      <c r="N133" s="27">
        <v>0</v>
      </c>
      <c r="O133" s="27">
        <f>IF(G133="ელ. ტენდერი",SUMIFS('[1]ელ. ტენდერი'!N:N,'[1]ელ. ტენდერი'!G:G,B133,'[1]ელ. ტენდერი'!Q:Q,"სახელმწიფო ბიუჯეტი",'[1]ელ. ტენდერი'!R:R,"270106"),0)</f>
        <v>0</v>
      </c>
      <c r="P133" s="27">
        <v>0</v>
      </c>
      <c r="Q133" s="29">
        <f t="shared" si="2"/>
        <v>3000</v>
      </c>
    </row>
    <row r="134" spans="1:17" ht="15.75" x14ac:dyDescent="0.3">
      <c r="A134" s="18">
        <v>129</v>
      </c>
      <c r="B134" s="36" t="s">
        <v>196</v>
      </c>
      <c r="C134" s="20" t="s">
        <v>25</v>
      </c>
      <c r="D134" s="21">
        <v>2703030701</v>
      </c>
      <c r="E134" s="22" t="s">
        <v>197</v>
      </c>
      <c r="F134" s="23">
        <v>2500</v>
      </c>
      <c r="G134" s="24" t="s">
        <v>27</v>
      </c>
      <c r="H134" s="25">
        <v>44068</v>
      </c>
      <c r="I134" s="25">
        <v>44196</v>
      </c>
      <c r="J134" s="39"/>
      <c r="K134" s="27">
        <v>0</v>
      </c>
      <c r="L134" s="27">
        <f>IF(G134="გამ. შესყიდვა",SUMIFS('[1]გამარტივებული შესყიდვა'!L:L,'[1]გამარტივებული შესყიდვა'!K:K,B134,'[1]გამარტივებული შესყიდვა'!N:N,"სახელმწიფო ბიუჯეტი",'[1]გამარტივებული შესყიდვა'!O:O,"2703030701"),0)</f>
        <v>627</v>
      </c>
      <c r="M134" s="27">
        <v>0</v>
      </c>
      <c r="N134" s="27">
        <f>IF(G134="კონს. ტენდერი",SUMIFS('[1]კონსოლიდირებული ტენდერი'!L:L,'[1]კონსოლიდირებული ტენდერი'!E:E,B134,'[1]კონსოლიდირებული ტენდერი'!N:N,"სახელმწიფო ბიუჯეტი",'[1]კონსოლიდირებული ტენდერი'!O:O,"2703030701"),0)</f>
        <v>0</v>
      </c>
      <c r="O134" s="27">
        <v>0</v>
      </c>
      <c r="P134" s="27">
        <f>IF(G134="ელ. ტენდერი",SUMIFS('[1]ელ. ტენდერი'!N:N,'[1]ელ. ტენდერი'!G:G,B134,'[1]ელ. ტენდერი'!Q:Q,"სახელმწიფო ბიუჯეტი",'[1]ელ. ტენდერი'!R:R,"2703030701"),0)</f>
        <v>0</v>
      </c>
      <c r="Q134" s="29">
        <f t="shared" si="2"/>
        <v>1873</v>
      </c>
    </row>
    <row r="135" spans="1:17" ht="15.75" x14ac:dyDescent="0.3">
      <c r="A135" s="18">
        <v>130</v>
      </c>
      <c r="B135" s="19" t="s">
        <v>198</v>
      </c>
      <c r="C135" s="20" t="s">
        <v>25</v>
      </c>
      <c r="D135" s="49">
        <v>270106</v>
      </c>
      <c r="E135" s="22" t="s">
        <v>199</v>
      </c>
      <c r="F135" s="23">
        <v>700</v>
      </c>
      <c r="G135" s="24" t="s">
        <v>27</v>
      </c>
      <c r="H135" s="25">
        <v>43831</v>
      </c>
      <c r="I135" s="25">
        <v>44196</v>
      </c>
      <c r="J135" s="39"/>
      <c r="K135" s="27">
        <f>IF(G135="გამ. შესყიდვა",SUMIFS('[1]გამარტივებული შესყიდვა'!L:L,'[1]გამარტივებული შესყიდვა'!K:K,B135,'[1]გამარტივებული შესყიდვა'!N:N,"სახელმწიფო ბიუჯეტი",'[1]გამარტივებული შესყიდვა'!O:O,"270106"),0)</f>
        <v>638</v>
      </c>
      <c r="L135" s="27">
        <v>0</v>
      </c>
      <c r="M135" s="27">
        <f>IF(G135="კონს. ტენდერი",SUMIFS('[1]კონსოლიდირებული ტენდერი'!L:L,'[1]კონსოლიდირებული ტენდერი'!E:E,B135,'[1]კონსოლიდირებული ტენდერი'!N:N,"სახელმწიფო ბიუჯეტი",'[1]კონსოლიდირებული ტენდერი'!O:O,"270106"),0)</f>
        <v>0</v>
      </c>
      <c r="N135" s="27">
        <v>0</v>
      </c>
      <c r="O135" s="27">
        <f>IF(G135="ელ. ტენდერი",SUMIFS('[1]ელ. ტენდერი'!N:N,'[1]ელ. ტენდერი'!G:G,B135,'[1]ელ. ტენდერი'!Q:Q,"სახელმწიფო ბიუჯეტი",'[1]ელ. ტენდერი'!R:R,"270106"),0)</f>
        <v>0</v>
      </c>
      <c r="P135" s="27">
        <v>0</v>
      </c>
      <c r="Q135" s="29">
        <f t="shared" si="2"/>
        <v>62</v>
      </c>
    </row>
    <row r="136" spans="1:17" ht="15.75" x14ac:dyDescent="0.3">
      <c r="A136" s="18">
        <v>131</v>
      </c>
      <c r="B136" s="43" t="s">
        <v>200</v>
      </c>
      <c r="C136" s="20" t="s">
        <v>201</v>
      </c>
      <c r="D136" s="21">
        <v>2703030701</v>
      </c>
      <c r="E136" s="51" t="s">
        <v>202</v>
      </c>
      <c r="F136" s="40">
        <f>620000+30000+830000+9000+1828</f>
        <v>1490828</v>
      </c>
      <c r="G136" s="24" t="s">
        <v>32</v>
      </c>
      <c r="H136" s="25">
        <v>43831</v>
      </c>
      <c r="I136" s="25">
        <v>44196</v>
      </c>
      <c r="J136" s="39"/>
      <c r="K136" s="27">
        <v>0</v>
      </c>
      <c r="L136" s="27">
        <f>IF(G136="გამ. შესყიდვა",SUMIFS('[1]გამარტივებული შესყიდვა'!L:L,'[1]გამარტივებული შესყიდვა'!K:K,B136,'[1]გამარტივებული შესყიდვა'!N:N,"სახელმწიფო ბიუჯეტი",'[1]გამარტივებული შესყიდვა'!O:O,"2703030701"),0)</f>
        <v>0</v>
      </c>
      <c r="M136" s="27">
        <v>0</v>
      </c>
      <c r="N136" s="27">
        <f>IF(G136="კონს. ტენდერი",SUMIFS('[1]კონსოლიდირებული ტენდერი'!L:L,'[1]კონსოლიდირებული ტენდერი'!E:E,B136,'[1]კონსოლიდირებული ტენდერი'!N:N,"სახელმწიფო ბიუჯეტი",'[1]კონსოლიდირებული ტენდერი'!O:O,"2703030701"),0)</f>
        <v>1490827.7000000002</v>
      </c>
      <c r="O136" s="27">
        <v>0</v>
      </c>
      <c r="P136" s="27">
        <f>IF(G136="ელ. ტენდერი",SUMIFS('[1]ელ. ტენდერი'!N:N,'[1]ელ. ტენდერი'!G:G,B136,'[1]ელ. ტენდერი'!Q:Q,"სახელმწიფო ბიუჯეტი",'[1]ელ. ტენდერი'!R:R,"2703030701"),0)</f>
        <v>0</v>
      </c>
      <c r="Q136" s="29">
        <f t="shared" si="2"/>
        <v>0.29999999981373549</v>
      </c>
    </row>
    <row r="137" spans="1:17" ht="15.75" x14ac:dyDescent="0.3">
      <c r="A137" s="18">
        <v>132</v>
      </c>
      <c r="B137" s="30" t="s">
        <v>200</v>
      </c>
      <c r="C137" s="20" t="s">
        <v>201</v>
      </c>
      <c r="D137" s="49">
        <v>270106</v>
      </c>
      <c r="E137" s="51" t="s">
        <v>202</v>
      </c>
      <c r="F137" s="40">
        <f>10000-9000</f>
        <v>1000</v>
      </c>
      <c r="G137" s="24" t="s">
        <v>32</v>
      </c>
      <c r="H137" s="25">
        <v>43831</v>
      </c>
      <c r="I137" s="25">
        <v>44196</v>
      </c>
      <c r="J137" s="52"/>
      <c r="K137" s="27">
        <f>IF(G137="გამ. შესყიდვა",SUMIFS('[1]გამარტივებული შესყიდვა'!L:L,'[1]გამარტივებული შესყიდვა'!K:K,B137,'[1]გამარტივებული შესყიდვა'!N:N,"სახელმწიფო ბიუჯეტი",'[1]გამარტივებული შესყიდვა'!O:O,"270106"),0)</f>
        <v>0</v>
      </c>
      <c r="L137" s="27">
        <v>0</v>
      </c>
      <c r="M137" s="27">
        <f>IF(G137="კონს. ტენდერი",SUMIFS('[1]კონსოლიდირებული ტენდერი'!L:L,'[1]კონსოლიდირებული ტენდერი'!E:E,B137,'[1]კონსოლიდირებული ტენდერი'!N:N,"სახელმწიფო ბიუჯეტი",'[1]კონსოლიდირებული ტენდერი'!O:O,"270106"),0)</f>
        <v>684.1</v>
      </c>
      <c r="N137" s="27">
        <v>0</v>
      </c>
      <c r="O137" s="27">
        <f>IF(G137="ელ. ტენდერი",SUMIFS('[1]ელ. ტენდერი'!N:N,'[1]ელ. ტენდერი'!G:G,B137,'[1]ელ. ტენდერი'!Q:Q,"სახელმწიფო ბიუჯეტი",'[1]ელ. ტენდერი'!R:R,"270106"),0)</f>
        <v>0</v>
      </c>
      <c r="P137" s="27">
        <v>0</v>
      </c>
      <c r="Q137" s="29">
        <f t="shared" si="2"/>
        <v>315.89999999999998</v>
      </c>
    </row>
    <row r="138" spans="1:17" ht="15.75" x14ac:dyDescent="0.3">
      <c r="A138" s="18">
        <v>133</v>
      </c>
      <c r="B138" s="19" t="s">
        <v>203</v>
      </c>
      <c r="C138" s="20" t="s">
        <v>25</v>
      </c>
      <c r="D138" s="21">
        <v>2703030701</v>
      </c>
      <c r="E138" s="22" t="s">
        <v>204</v>
      </c>
      <c r="F138" s="40">
        <f>400+4500</f>
        <v>4900</v>
      </c>
      <c r="G138" s="24" t="s">
        <v>27</v>
      </c>
      <c r="H138" s="25">
        <v>43831</v>
      </c>
      <c r="I138" s="25">
        <v>44196</v>
      </c>
      <c r="J138" s="39"/>
      <c r="K138" s="27">
        <v>0</v>
      </c>
      <c r="L138" s="27">
        <f>IF(G138="გამ. შესყიდვა",SUMIFS('[1]გამარტივებული შესყიდვა'!L:L,'[1]გამარტივებული შესყიდვა'!K:K,B138,'[1]გამარტივებული შესყიდვა'!N:N,"სახელმწიფო ბიუჯეტი",'[1]გამარტივებული შესყიდვა'!O:O,"2703030701"),0)</f>
        <v>0</v>
      </c>
      <c r="M138" s="27">
        <v>0</v>
      </c>
      <c r="N138" s="27">
        <f>IF(G138="კონს. ტენდერი",SUMIFS('[1]კონსოლიდირებული ტენდერი'!L:L,'[1]კონსოლიდირებული ტენდერი'!E:E,B138,'[1]კონსოლიდირებული ტენდერი'!N:N,"სახელმწიფო ბიუჯეტი",'[1]კონსოლიდირებული ტენდერი'!O:O,"2703030701"),0)</f>
        <v>0</v>
      </c>
      <c r="O138" s="27">
        <v>0</v>
      </c>
      <c r="P138" s="27">
        <f>IF(G138="ელ. ტენდერი",SUMIFS('[1]ელ. ტენდერი'!N:N,'[1]ელ. ტენდერი'!G:G,B138,'[1]ელ. ტენდერი'!Q:Q,"სახელმწიფო ბიუჯეტი",'[1]ელ. ტენდერი'!R:R,"2703030701"),0)</f>
        <v>0</v>
      </c>
      <c r="Q138" s="29">
        <f t="shared" si="2"/>
        <v>4900</v>
      </c>
    </row>
    <row r="139" spans="1:17" ht="15.75" x14ac:dyDescent="0.3">
      <c r="A139" s="18">
        <v>134</v>
      </c>
      <c r="B139" s="19" t="s">
        <v>205</v>
      </c>
      <c r="C139" s="20" t="s">
        <v>25</v>
      </c>
      <c r="D139" s="21">
        <v>2703030701</v>
      </c>
      <c r="E139" s="22" t="s">
        <v>206</v>
      </c>
      <c r="F139" s="40">
        <f>1000+3990</f>
        <v>4990</v>
      </c>
      <c r="G139" s="24" t="s">
        <v>27</v>
      </c>
      <c r="H139" s="25">
        <v>43831</v>
      </c>
      <c r="I139" s="25">
        <v>44196</v>
      </c>
      <c r="J139" s="39"/>
      <c r="K139" s="27">
        <v>0</v>
      </c>
      <c r="L139" s="27">
        <f>IF(G139="გამ. შესყიდვა",SUMIFS('[1]გამარტივებული შესყიდვა'!L:L,'[1]გამარტივებული შესყიდვა'!K:K,B139,'[1]გამარტივებული შესყიდვა'!N:N,"სახელმწიფო ბიუჯეტი",'[1]გამარტივებული შესყიდვა'!O:O,"2703030701"),0)</f>
        <v>3392.86</v>
      </c>
      <c r="M139" s="27">
        <v>0</v>
      </c>
      <c r="N139" s="27">
        <f>IF(G139="კონს. ტენდერი",SUMIFS('[1]კონსოლიდირებული ტენდერი'!L:L,'[1]კონსოლიდირებული ტენდერი'!E:E,B139,'[1]კონსოლიდირებული ტენდერი'!N:N,"სახელმწიფო ბიუჯეტი",'[1]კონსოლიდირებული ტენდერი'!O:O,"2703030701"),0)</f>
        <v>0</v>
      </c>
      <c r="O139" s="27">
        <v>0</v>
      </c>
      <c r="P139" s="27">
        <f>IF(G139="ელ. ტენდერი",SUMIFS('[1]ელ. ტენდერი'!N:N,'[1]ელ. ტენდერი'!G:G,B139,'[1]ელ. ტენდერი'!Q:Q,"სახელმწიფო ბიუჯეტი",'[1]ელ. ტენდერი'!R:R,"2703030701"),0)</f>
        <v>0</v>
      </c>
      <c r="Q139" s="29">
        <f t="shared" si="2"/>
        <v>1597.1399999999999</v>
      </c>
    </row>
    <row r="140" spans="1:17" ht="15.75" x14ac:dyDescent="0.3">
      <c r="A140" s="18">
        <v>135</v>
      </c>
      <c r="B140" s="19" t="s">
        <v>207</v>
      </c>
      <c r="C140" s="20" t="s">
        <v>25</v>
      </c>
      <c r="D140" s="21">
        <v>2703030701</v>
      </c>
      <c r="E140" s="22" t="s">
        <v>208</v>
      </c>
      <c r="F140" s="40">
        <v>4900</v>
      </c>
      <c r="G140" s="24" t="s">
        <v>27</v>
      </c>
      <c r="H140" s="25">
        <v>43831</v>
      </c>
      <c r="I140" s="25">
        <v>44196</v>
      </c>
      <c r="J140" s="39"/>
      <c r="K140" s="27">
        <v>0</v>
      </c>
      <c r="L140" s="27">
        <f>IF(G140="გამ. შესყიდვა",SUMIFS('[1]გამარტივებული შესყიდვა'!L:L,'[1]გამარტივებული შესყიდვა'!K:K,B140,'[1]გამარტივებული შესყიდვა'!N:N,"სახელმწიფო ბიუჯეტი",'[1]გამარტივებული შესყიდვა'!O:O,"2703030701"),0)</f>
        <v>1320</v>
      </c>
      <c r="M140" s="27">
        <v>0</v>
      </c>
      <c r="N140" s="27">
        <f>IF(G140="კონს. ტენდერი",SUMIFS('[1]კონსოლიდირებული ტენდერი'!L:L,'[1]კონსოლიდირებული ტენდერი'!E:E,B140,'[1]კონსოლიდირებული ტენდერი'!N:N,"სახელმწიფო ბიუჯეტი",'[1]კონსოლიდირებული ტენდერი'!O:O,"2703030701"),0)</f>
        <v>0</v>
      </c>
      <c r="O140" s="27">
        <v>0</v>
      </c>
      <c r="P140" s="27">
        <f>IF(G140="ელ. ტენდერი",SUMIFS('[1]ელ. ტენდერი'!N:N,'[1]ელ. ტენდერი'!G:G,B140,'[1]ელ. ტენდერი'!Q:Q,"სახელმწიფო ბიუჯეტი",'[1]ელ. ტენდერი'!R:R,"2703030701"),0)</f>
        <v>0</v>
      </c>
      <c r="Q140" s="29">
        <f t="shared" si="2"/>
        <v>3580</v>
      </c>
    </row>
    <row r="141" spans="1:17" ht="15.75" x14ac:dyDescent="0.3">
      <c r="A141" s="18">
        <v>136</v>
      </c>
      <c r="B141" s="19" t="s">
        <v>209</v>
      </c>
      <c r="C141" s="20" t="s">
        <v>25</v>
      </c>
      <c r="D141" s="49">
        <v>270106</v>
      </c>
      <c r="E141" s="22" t="s">
        <v>210</v>
      </c>
      <c r="F141" s="40">
        <v>50000</v>
      </c>
      <c r="G141" s="24" t="s">
        <v>27</v>
      </c>
      <c r="H141" s="25">
        <v>43831</v>
      </c>
      <c r="I141" s="25">
        <v>44196</v>
      </c>
      <c r="J141" s="45"/>
      <c r="K141" s="27">
        <f>IF(G141="გამ. შესყიდვა",SUMIFS('[1]გამარტივებული შესყიდვა'!L:L,'[1]გამარტივებული შესყიდვა'!K:K,B141,'[1]გამარტივებული შესყიდვა'!N:N,"სახელმწიფო ბიუჯეტი",'[1]გამარტივებული შესყიდვა'!O:O,"270106"),0)</f>
        <v>37990.75</v>
      </c>
      <c r="L141" s="27">
        <v>0</v>
      </c>
      <c r="M141" s="27">
        <f>IF(G141="კონს. ტენდერი",SUMIFS('[1]კონსოლიდირებული ტენდერი'!L:L,'[1]კონსოლიდირებული ტენდერი'!E:E,B141,'[1]კონსოლიდირებული ტენდერი'!N:N,"სახელმწიფო ბიუჯეტი",'[1]კონსოლიდირებული ტენდერი'!O:O,"270106"),0)</f>
        <v>0</v>
      </c>
      <c r="N141" s="27">
        <v>0</v>
      </c>
      <c r="O141" s="27">
        <f>IF(G141="ელ. ტენდერი",SUMIFS('[1]ელ. ტენდერი'!N:N,'[1]ელ. ტენდერი'!G:G,B141,'[1]ელ. ტენდერი'!Q:Q,"სახელმწიფო ბიუჯეტი",'[1]ელ. ტენდერი'!R:R,"270106"),0)</f>
        <v>0</v>
      </c>
      <c r="P141" s="27">
        <v>0</v>
      </c>
      <c r="Q141" s="29">
        <f t="shared" si="2"/>
        <v>12009.25</v>
      </c>
    </row>
    <row r="142" spans="1:17" ht="15.75" x14ac:dyDescent="0.3">
      <c r="A142" s="18">
        <v>137</v>
      </c>
      <c r="B142" s="19" t="s">
        <v>209</v>
      </c>
      <c r="C142" s="20" t="s">
        <v>25</v>
      </c>
      <c r="D142" s="21">
        <v>2703030701</v>
      </c>
      <c r="E142" s="22" t="s">
        <v>210</v>
      </c>
      <c r="F142" s="40">
        <f>30000+2500+80000</f>
        <v>112500</v>
      </c>
      <c r="G142" s="24" t="s">
        <v>27</v>
      </c>
      <c r="H142" s="25">
        <v>43831</v>
      </c>
      <c r="I142" s="25">
        <v>44196</v>
      </c>
      <c r="J142" s="39" t="s">
        <v>211</v>
      </c>
      <c r="K142" s="27">
        <v>0</v>
      </c>
      <c r="L142" s="27">
        <f>IF(G142="გამ. შესყიდვა",SUMIFS('[1]გამარტივებული შესყიდვა'!L:L,'[1]გამარტივებული შესყიდვა'!K:K,B142,'[1]გამარტივებული შესყიდვა'!N:N,"სახელმწიფო ბიუჯეტი",'[1]გამარტივებული შესყიდვა'!O:O,"2703030701"),0)</f>
        <v>82525</v>
      </c>
      <c r="M142" s="27">
        <v>0</v>
      </c>
      <c r="N142" s="27">
        <f>IF(G142="კონს. ტენდერი",SUMIFS('[1]კონსოლიდირებული ტენდერი'!L:L,'[1]კონსოლიდირებული ტენდერი'!E:E,B142,'[1]კონსოლიდირებული ტენდერი'!N:N,"სახელმწიფო ბიუჯეტი",'[1]კონსოლიდირებული ტენდერი'!O:O,"2703030701"),0)</f>
        <v>0</v>
      </c>
      <c r="O142" s="27">
        <v>0</v>
      </c>
      <c r="P142" s="27">
        <f>IF(G142="ელ. ტენდერი",SUMIFS('[1]ელ. ტენდერი'!N:N,'[1]ელ. ტენდერი'!G:G,B142,'[1]ელ. ტენდერი'!Q:Q,"სახელმწიფო ბიუჯეტი",'[1]ელ. ტენდერი'!R:R,"2703030701"),0)</f>
        <v>0</v>
      </c>
      <c r="Q142" s="29">
        <f t="shared" si="2"/>
        <v>29975</v>
      </c>
    </row>
    <row r="143" spans="1:17" ht="15.75" x14ac:dyDescent="0.3">
      <c r="A143" s="18">
        <v>138</v>
      </c>
      <c r="B143" s="19" t="s">
        <v>212</v>
      </c>
      <c r="C143" s="20" t="s">
        <v>25</v>
      </c>
      <c r="D143" s="49">
        <v>270106</v>
      </c>
      <c r="E143" s="22" t="s">
        <v>213</v>
      </c>
      <c r="F143" s="40">
        <v>2000</v>
      </c>
      <c r="G143" s="24" t="s">
        <v>27</v>
      </c>
      <c r="H143" s="25">
        <v>43831</v>
      </c>
      <c r="I143" s="25">
        <v>44196</v>
      </c>
      <c r="J143" s="39"/>
      <c r="K143" s="27">
        <f>IF(G143="გამ. შესყიდვა",SUMIFS('[1]გამარტივებული შესყიდვა'!L:L,'[1]გამარტივებული შესყიდვა'!K:K,B143,'[1]გამარტივებული შესყიდვა'!N:N,"სახელმწიფო ბიუჯეტი",'[1]გამარტივებული შესყიდვა'!O:O,"270106"),0)</f>
        <v>0</v>
      </c>
      <c r="L143" s="27">
        <v>0</v>
      </c>
      <c r="M143" s="27">
        <f>IF(G143="კონს. ტენდერი",SUMIFS('[1]კონსოლიდირებული ტენდერი'!L:L,'[1]კონსოლიდირებული ტენდერი'!E:E,B143,'[1]კონსოლიდირებული ტენდერი'!N:N,"სახელმწიფო ბიუჯეტი",'[1]კონსოლიდირებული ტენდერი'!O:O,"270106"),0)</f>
        <v>0</v>
      </c>
      <c r="N143" s="27">
        <v>0</v>
      </c>
      <c r="O143" s="27">
        <f>IF(G143="ელ. ტენდერი",SUMIFS('[1]ელ. ტენდერი'!N:N,'[1]ელ. ტენდერი'!G:G,B143,'[1]ელ. ტენდერი'!Q:Q,"სახელმწიფო ბიუჯეტი",'[1]ელ. ტენდერი'!R:R,"270106"),0)</f>
        <v>0</v>
      </c>
      <c r="P143" s="27">
        <v>0</v>
      </c>
      <c r="Q143" s="29">
        <f t="shared" si="2"/>
        <v>2000</v>
      </c>
    </row>
    <row r="144" spans="1:17" ht="15.75" x14ac:dyDescent="0.3">
      <c r="A144" s="18">
        <v>139</v>
      </c>
      <c r="B144" s="19" t="s">
        <v>212</v>
      </c>
      <c r="C144" s="20" t="s">
        <v>25</v>
      </c>
      <c r="D144" s="21">
        <v>2703030701</v>
      </c>
      <c r="E144" s="22" t="s">
        <v>213</v>
      </c>
      <c r="F144" s="40">
        <f>4000+18000</f>
        <v>22000</v>
      </c>
      <c r="G144" s="24" t="s">
        <v>27</v>
      </c>
      <c r="H144" s="25">
        <v>43831</v>
      </c>
      <c r="I144" s="25">
        <v>44196</v>
      </c>
      <c r="J144" s="39" t="s">
        <v>28</v>
      </c>
      <c r="K144" s="27">
        <v>0</v>
      </c>
      <c r="L144" s="27">
        <f>IF(G144="გამ. შესყიდვა",SUMIFS('[1]გამარტივებული შესყიდვა'!L:L,'[1]გამარტივებული შესყიდვა'!K:K,B144,'[1]გამარტივებული შესყიდვა'!N:N,"სახელმწიფო ბიუჯეტი",'[1]გამარტივებული შესყიდვა'!O:O,"2703030701"),0)</f>
        <v>15633.200000000003</v>
      </c>
      <c r="M144" s="27">
        <v>0</v>
      </c>
      <c r="N144" s="27">
        <f>IF(G144="კონს. ტენდერი",SUMIFS('[1]კონსოლიდირებული ტენდერი'!L:L,'[1]კონსოლიდირებული ტენდერი'!E:E,B144,'[1]კონსოლიდირებული ტენდერი'!N:N,"სახელმწიფო ბიუჯეტი",'[1]კონსოლიდირებული ტენდერი'!O:O,"2703030701"),0)</f>
        <v>0</v>
      </c>
      <c r="O144" s="27">
        <v>0</v>
      </c>
      <c r="P144" s="27">
        <f>IF(G144="ელ. ტენდერი",SUMIFS('[1]ელ. ტენდერი'!N:N,'[1]ელ. ტენდერი'!G:G,B144,'[1]ელ. ტენდერი'!Q:Q,"სახელმწიფო ბიუჯეტი",'[1]ელ. ტენდერი'!R:R,"2703030701"),0)</f>
        <v>0</v>
      </c>
      <c r="Q144" s="29">
        <f t="shared" si="2"/>
        <v>6366.7999999999975</v>
      </c>
    </row>
    <row r="145" spans="1:17" ht="15.75" x14ac:dyDescent="0.3">
      <c r="A145" s="18">
        <v>140</v>
      </c>
      <c r="B145" s="19" t="s">
        <v>214</v>
      </c>
      <c r="C145" s="20" t="s">
        <v>25</v>
      </c>
      <c r="D145" s="21">
        <v>2703030701</v>
      </c>
      <c r="E145" s="22" t="s">
        <v>215</v>
      </c>
      <c r="F145" s="40">
        <f>4990-4350</f>
        <v>640</v>
      </c>
      <c r="G145" s="24" t="s">
        <v>27</v>
      </c>
      <c r="H145" s="25">
        <v>43831</v>
      </c>
      <c r="I145" s="25">
        <v>44196</v>
      </c>
      <c r="J145" s="39"/>
      <c r="K145" s="27">
        <v>0</v>
      </c>
      <c r="L145" s="27">
        <f>IF(G145="გამ. შესყიდვა",SUMIFS('[1]გამარტივებული შესყიდვა'!L:L,'[1]გამარტივებული შესყიდვა'!K:K,B145,'[1]გამარტივებული შესყიდვა'!N:N,"სახელმწიფო ბიუჯეტი",'[1]გამარტივებული შესყიდვა'!O:O,"2703030701"),0)</f>
        <v>399.99</v>
      </c>
      <c r="M145" s="27">
        <v>0</v>
      </c>
      <c r="N145" s="27">
        <f>IF(G145="კონს. ტენდერი",SUMIFS('[1]კონსოლიდირებული ტენდერი'!L:L,'[1]კონსოლიდირებული ტენდერი'!E:E,B145,'[1]კონსოლიდირებული ტენდერი'!N:N,"სახელმწიფო ბიუჯეტი",'[1]კონსოლიდირებული ტენდერი'!O:O,"2703030701"),0)</f>
        <v>0</v>
      </c>
      <c r="O145" s="27">
        <v>0</v>
      </c>
      <c r="P145" s="27">
        <f>IF(G145="ელ. ტენდერი",SUMIFS('[1]ელ. ტენდერი'!N:N,'[1]ელ. ტენდერი'!G:G,B145,'[1]ელ. ტენდერი'!Q:Q,"სახელმწიფო ბიუჯეტი",'[1]ელ. ტენდერი'!R:R,"2703030701"),0)</f>
        <v>0</v>
      </c>
      <c r="Q145" s="29">
        <f t="shared" si="2"/>
        <v>240.01</v>
      </c>
    </row>
    <row r="146" spans="1:17" ht="15.75" x14ac:dyDescent="0.3">
      <c r="A146" s="18">
        <v>141</v>
      </c>
      <c r="B146" s="19" t="s">
        <v>216</v>
      </c>
      <c r="C146" s="20" t="s">
        <v>25</v>
      </c>
      <c r="D146" s="49">
        <v>270106</v>
      </c>
      <c r="E146" s="22" t="s">
        <v>217</v>
      </c>
      <c r="F146" s="40">
        <v>2000</v>
      </c>
      <c r="G146" s="24" t="s">
        <v>27</v>
      </c>
      <c r="H146" s="25">
        <v>43831</v>
      </c>
      <c r="I146" s="25">
        <v>44196</v>
      </c>
      <c r="J146" s="39"/>
      <c r="K146" s="27">
        <f>IF(G146="გამ. შესყიდვა",SUMIFS('[1]გამარტივებული შესყიდვა'!L:L,'[1]გამარტივებული შესყიდვა'!K:K,B146,'[1]გამარტივებული შესყიდვა'!N:N,"სახელმწიფო ბიუჯეტი",'[1]გამარტივებული შესყიდვა'!O:O,"270106"),0)</f>
        <v>1634</v>
      </c>
      <c r="L146" s="27">
        <v>0</v>
      </c>
      <c r="M146" s="27">
        <f>IF(G146="კონს. ტენდერი",SUMIFS('[1]კონსოლიდირებული ტენდერი'!L:L,'[1]კონსოლიდირებული ტენდერი'!E:E,B146,'[1]კონსოლიდირებული ტენდერი'!N:N,"სახელმწიფო ბიუჯეტი",'[1]კონსოლიდირებული ტენდერი'!O:O,"270106"),0)</f>
        <v>0</v>
      </c>
      <c r="N146" s="27">
        <v>0</v>
      </c>
      <c r="O146" s="27">
        <f>IF(G146="ელ. ტენდერი",SUMIFS('[1]ელ. ტენდერი'!N:N,'[1]ელ. ტენდერი'!G:G,B146,'[1]ელ. ტენდერი'!Q:Q,"სახელმწიფო ბიუჯეტი",'[1]ელ. ტენდერი'!R:R,"270106"),0)</f>
        <v>0</v>
      </c>
      <c r="P146" s="27">
        <v>0</v>
      </c>
      <c r="Q146" s="29">
        <f t="shared" si="2"/>
        <v>366</v>
      </c>
    </row>
    <row r="147" spans="1:17" ht="15.75" x14ac:dyDescent="0.3">
      <c r="A147" s="18">
        <v>142</v>
      </c>
      <c r="B147" s="30" t="s">
        <v>218</v>
      </c>
      <c r="C147" s="20" t="s">
        <v>25</v>
      </c>
      <c r="D147" s="49">
        <v>270106</v>
      </c>
      <c r="E147" s="22" t="s">
        <v>219</v>
      </c>
      <c r="F147" s="23">
        <f>30000-9000</f>
        <v>21000</v>
      </c>
      <c r="G147" s="24" t="s">
        <v>44</v>
      </c>
      <c r="H147" s="25">
        <v>43831</v>
      </c>
      <c r="I147" s="25">
        <v>44196</v>
      </c>
      <c r="J147" s="39"/>
      <c r="K147" s="27">
        <f>IF(G147="გამ. შესყიდვა",SUMIFS('[1]გამარტივებული შესყიდვა'!L:L,'[1]გამარტივებული შესყიდვა'!K:K,B147,'[1]გამარტივებული შესყიდვა'!N:N,"სახელმწიფო ბიუჯეტი",'[1]გამარტივებული შესყიდვა'!O:O,"270106"),0)</f>
        <v>0</v>
      </c>
      <c r="L147" s="27">
        <v>0</v>
      </c>
      <c r="M147" s="27">
        <f>IF(G147="კონს. ტენდერი",SUMIFS('[1]კონსოლიდირებული ტენდერი'!L:L,'[1]კონსოლიდირებული ტენდერი'!E:E,B147,'[1]კონსოლიდირებული ტენდერი'!N:N,"სახელმწიფო ბიუჯეტი",'[1]კონსოლიდირებული ტენდერი'!O:O,"270106"),0)</f>
        <v>0</v>
      </c>
      <c r="N147" s="27">
        <v>0</v>
      </c>
      <c r="O147" s="27">
        <f>IF(G147="ელ. ტენდერი",SUMIFS('[1]ელ. ტენდერი'!N:N,'[1]ელ. ტენდერი'!G:G,B147,'[1]ელ. ტენდერი'!Q:Q,"სახელმწიფო ბიუჯეტი",'[1]ელ. ტენდერი'!R:R,"270106"),0)</f>
        <v>6799</v>
      </c>
      <c r="P147" s="27">
        <v>0</v>
      </c>
      <c r="Q147" s="29">
        <f t="shared" si="2"/>
        <v>14201</v>
      </c>
    </row>
    <row r="148" spans="1:17" ht="15.75" x14ac:dyDescent="0.3">
      <c r="A148" s="18">
        <v>143</v>
      </c>
      <c r="B148" s="19" t="s">
        <v>220</v>
      </c>
      <c r="C148" s="20" t="s">
        <v>25</v>
      </c>
      <c r="D148" s="21">
        <v>2703030701</v>
      </c>
      <c r="E148" s="22" t="s">
        <v>221</v>
      </c>
      <c r="F148" s="23">
        <v>10000</v>
      </c>
      <c r="G148" s="24" t="s">
        <v>44</v>
      </c>
      <c r="H148" s="25">
        <v>43831</v>
      </c>
      <c r="I148" s="25">
        <v>44196</v>
      </c>
      <c r="J148" s="39"/>
      <c r="K148" s="27">
        <v>0</v>
      </c>
      <c r="L148" s="27">
        <f>IF(G148="გამ. შესყიდვა",SUMIFS('[1]გამარტივებული შესყიდვა'!L:L,'[1]გამარტივებული შესყიდვა'!K:K,B148,'[1]გამარტივებული შესყიდვა'!N:N,"სახელმწიფო ბიუჯეტი",'[1]გამარტივებული შესყიდვა'!O:O,"2703030701"),0)</f>
        <v>0</v>
      </c>
      <c r="M148" s="27">
        <v>0</v>
      </c>
      <c r="N148" s="27">
        <f>IF(G148="კონს. ტენდერი",SUMIFS('[1]კონსოლიდირებული ტენდერი'!L:L,'[1]კონსოლიდირებული ტენდერი'!E:E,B148,'[1]კონსოლიდირებული ტენდერი'!N:N,"სახელმწიფო ბიუჯეტი",'[1]კონსოლიდირებული ტენდერი'!O:O,"2703030701"),0)</f>
        <v>0</v>
      </c>
      <c r="O148" s="27">
        <v>0</v>
      </c>
      <c r="P148" s="27">
        <f>IF(G148="ელ. ტენდერი",SUMIFS('[1]ელ. ტენდერი'!N:N,'[1]ელ. ტენდერი'!G:G,B148,'[1]ელ. ტენდერი'!Q:Q,"სახელმწიფო ბიუჯეტი",'[1]ელ. ტენდერი'!R:R,"2703030701"),0)</f>
        <v>0</v>
      </c>
      <c r="Q148" s="29">
        <f t="shared" si="2"/>
        <v>10000</v>
      </c>
    </row>
    <row r="149" spans="1:17" ht="15.75" x14ac:dyDescent="0.3">
      <c r="A149" s="18">
        <v>144</v>
      </c>
      <c r="B149" s="19" t="s">
        <v>222</v>
      </c>
      <c r="C149" s="20" t="s">
        <v>25</v>
      </c>
      <c r="D149" s="21">
        <v>2703030701</v>
      </c>
      <c r="E149" s="22" t="s">
        <v>223</v>
      </c>
      <c r="F149" s="23">
        <v>4900</v>
      </c>
      <c r="G149" s="24" t="s">
        <v>27</v>
      </c>
      <c r="H149" s="25">
        <v>43831</v>
      </c>
      <c r="I149" s="25">
        <v>44196</v>
      </c>
      <c r="J149" s="39"/>
      <c r="K149" s="27">
        <v>0</v>
      </c>
      <c r="L149" s="27">
        <f>IF(G149="გამ. შესყიდვა",SUMIFS('[1]გამარტივებული შესყიდვა'!L:L,'[1]გამარტივებული შესყიდვა'!K:K,B149,'[1]გამარტივებული შესყიდვა'!N:N,"სახელმწიფო ბიუჯეტი",'[1]გამარტივებული შესყიდვა'!O:O,"2703030701"),0)</f>
        <v>118</v>
      </c>
      <c r="M149" s="27">
        <v>0</v>
      </c>
      <c r="N149" s="27">
        <f>IF(G149="კონს. ტენდერი",SUMIFS('[1]კონსოლიდირებული ტენდერი'!L:L,'[1]კონსოლიდირებული ტენდერი'!E:E,B149,'[1]კონსოლიდირებული ტენდერი'!N:N,"სახელმწიფო ბიუჯეტი",'[1]კონსოლიდირებული ტენდერი'!O:O,"2703030701"),0)</f>
        <v>0</v>
      </c>
      <c r="O149" s="27">
        <v>0</v>
      </c>
      <c r="P149" s="27">
        <f>IF(G149="ელ. ტენდერი",SUMIFS('[1]ელ. ტენდერი'!N:N,'[1]ელ. ტენდერი'!G:G,B149,'[1]ელ. ტენდერი'!Q:Q,"სახელმწიფო ბიუჯეტი",'[1]ელ. ტენდერი'!R:R,"2703030701"),0)</f>
        <v>0</v>
      </c>
      <c r="Q149" s="29">
        <f t="shared" si="2"/>
        <v>4782</v>
      </c>
    </row>
    <row r="150" spans="1:17" ht="15.75" x14ac:dyDescent="0.3">
      <c r="A150" s="18">
        <v>145</v>
      </c>
      <c r="B150" s="19" t="s">
        <v>224</v>
      </c>
      <c r="C150" s="20" t="s">
        <v>25</v>
      </c>
      <c r="D150" s="21">
        <v>2703030701</v>
      </c>
      <c r="E150" s="22" t="s">
        <v>225</v>
      </c>
      <c r="F150" s="23">
        <f>2000+500+1300</f>
        <v>3800</v>
      </c>
      <c r="G150" s="24" t="s">
        <v>27</v>
      </c>
      <c r="H150" s="25">
        <v>43831</v>
      </c>
      <c r="I150" s="25">
        <v>44196</v>
      </c>
      <c r="J150" s="39"/>
      <c r="K150" s="27">
        <v>0</v>
      </c>
      <c r="L150" s="27">
        <f>IF(G150="გამ. შესყიდვა",SUMIFS('[1]გამარტივებული შესყიდვა'!L:L,'[1]გამარტივებული შესყიდვა'!K:K,B150,'[1]გამარტივებული შესყიდვა'!N:N,"სახელმწიფო ბიუჯეტი",'[1]გამარტივებული შესყიდვა'!O:O,"2703030701"),0)</f>
        <v>3560</v>
      </c>
      <c r="M150" s="27">
        <v>0</v>
      </c>
      <c r="N150" s="27">
        <f>IF(G150="კონს. ტენდერი",SUMIFS('[1]კონსოლიდირებული ტენდერი'!L:L,'[1]კონსოლიდირებული ტენდერი'!E:E,B150,'[1]კონსოლიდირებული ტენდერი'!N:N,"სახელმწიფო ბიუჯეტი",'[1]კონსოლიდირებული ტენდერი'!O:O,"2703030701"),0)</f>
        <v>0</v>
      </c>
      <c r="O150" s="27">
        <v>0</v>
      </c>
      <c r="P150" s="27">
        <f>IF(G150="ელ. ტენდერი",SUMIFS('[1]ელ. ტენდერი'!N:N,'[1]ელ. ტენდერი'!G:G,B150,'[1]ელ. ტენდერი'!Q:Q,"სახელმწიფო ბიუჯეტი",'[1]ელ. ტენდერი'!R:R,"2703030701"),0)</f>
        <v>0</v>
      </c>
      <c r="Q150" s="29">
        <f t="shared" si="2"/>
        <v>240</v>
      </c>
    </row>
    <row r="151" spans="1:17" ht="15.75" x14ac:dyDescent="0.3">
      <c r="A151" s="18">
        <v>146</v>
      </c>
      <c r="B151" s="19" t="s">
        <v>224</v>
      </c>
      <c r="C151" s="20" t="s">
        <v>25</v>
      </c>
      <c r="D151" s="49">
        <v>270106</v>
      </c>
      <c r="E151" s="22" t="s">
        <v>225</v>
      </c>
      <c r="F151" s="23">
        <f>2000-1300+490</f>
        <v>1190</v>
      </c>
      <c r="G151" s="24" t="s">
        <v>27</v>
      </c>
      <c r="H151" s="25">
        <v>43831</v>
      </c>
      <c r="I151" s="25">
        <v>44196</v>
      </c>
      <c r="J151" s="39"/>
      <c r="K151" s="27">
        <f>IF(G151="გამ. შესყიდვა",SUMIFS('[1]გამარტივებული შესყიდვა'!L:L,'[1]გამარტივებული შესყიდვა'!K:K,B151,'[1]გამარტივებული შესყიდვა'!N:N,"სახელმწიფო ბიუჯეტი",'[1]გამარტივებული შესყიდვა'!O:O,"270106"),0)</f>
        <v>1077</v>
      </c>
      <c r="L151" s="27">
        <v>0</v>
      </c>
      <c r="M151" s="27">
        <f>IF(G151="კონს. ტენდერი",SUMIFS('[1]კონსოლიდირებული ტენდერი'!L:L,'[1]კონსოლიდირებული ტენდერი'!E:E,B151,'[1]კონსოლიდირებული ტენდერი'!N:N,"სახელმწიფო ბიუჯეტი",'[1]კონსოლიდირებული ტენდერი'!O:O,"270106"),0)</f>
        <v>0</v>
      </c>
      <c r="N151" s="27">
        <v>0</v>
      </c>
      <c r="O151" s="27">
        <f>IF(G151="ელ. ტენდერი",SUMIFS('[1]ელ. ტენდერი'!N:N,'[1]ელ. ტენდერი'!G:G,B151,'[1]ელ. ტენდერი'!Q:Q,"სახელმწიფო ბიუჯეტი",'[1]ელ. ტენდერი'!R:R,"270106"),0)</f>
        <v>0</v>
      </c>
      <c r="P151" s="27">
        <v>0</v>
      </c>
      <c r="Q151" s="29">
        <f t="shared" si="2"/>
        <v>113</v>
      </c>
    </row>
    <row r="152" spans="1:17" ht="15.75" x14ac:dyDescent="0.3">
      <c r="A152" s="18">
        <v>147</v>
      </c>
      <c r="B152" s="53" t="s">
        <v>226</v>
      </c>
      <c r="C152" s="20" t="s">
        <v>25</v>
      </c>
      <c r="D152" s="49">
        <v>270106</v>
      </c>
      <c r="E152" s="22" t="s">
        <v>227</v>
      </c>
      <c r="F152" s="23">
        <f>20000+5000</f>
        <v>25000</v>
      </c>
      <c r="G152" s="24" t="s">
        <v>44</v>
      </c>
      <c r="H152" s="25">
        <v>43831</v>
      </c>
      <c r="I152" s="25">
        <v>44196</v>
      </c>
      <c r="J152" s="39"/>
      <c r="K152" s="27">
        <f>IF(G152="გამ. შესყიდვა",SUMIFS('[1]გამარტივებული შესყიდვა'!L:L,'[1]გამარტივებული შესყიდვა'!K:K,B152,'[1]გამარტივებული შესყიდვა'!N:N,"სახელმწიფო ბიუჯეტი",'[1]გამარტივებული შესყიდვა'!O:O,"270106"),0)</f>
        <v>0</v>
      </c>
      <c r="L152" s="27">
        <v>0</v>
      </c>
      <c r="M152" s="27">
        <f>IF(G152="კონს. ტენდერი",SUMIFS('[1]კონსოლიდირებული ტენდერი'!L:L,'[1]კონსოლიდირებული ტენდერი'!E:E,B152,'[1]კონსოლიდირებული ტენდერი'!N:N,"სახელმწიფო ბიუჯეტი",'[1]კონსოლიდირებული ტენდერი'!O:O,"270106"),0)</f>
        <v>0</v>
      </c>
      <c r="N152" s="27">
        <v>0</v>
      </c>
      <c r="O152" s="27">
        <f>IF(G152="ელ. ტენდერი",SUMIFS('[1]ელ. ტენდერი'!N:N,'[1]ელ. ტენდერი'!G:G,B152,'[1]ელ. ტენდერი'!Q:Q,"სახელმწიფო ბიუჯეტი",'[1]ელ. ტენდერი'!R:R,"270106"),0)</f>
        <v>13901</v>
      </c>
      <c r="P152" s="27">
        <v>0</v>
      </c>
      <c r="Q152" s="29">
        <f t="shared" si="2"/>
        <v>11099</v>
      </c>
    </row>
    <row r="153" spans="1:17" ht="15.75" x14ac:dyDescent="0.3">
      <c r="A153" s="18">
        <v>148</v>
      </c>
      <c r="B153" s="19" t="s">
        <v>228</v>
      </c>
      <c r="C153" s="20" t="s">
        <v>25</v>
      </c>
      <c r="D153" s="21">
        <v>2703030701</v>
      </c>
      <c r="E153" s="22" t="s">
        <v>229</v>
      </c>
      <c r="F153" s="23">
        <f>65000+4900+59000+3000+40000</f>
        <v>171900</v>
      </c>
      <c r="G153" s="24" t="s">
        <v>44</v>
      </c>
      <c r="H153" s="25">
        <v>43831</v>
      </c>
      <c r="I153" s="25">
        <v>44196</v>
      </c>
      <c r="J153" s="39"/>
      <c r="K153" s="27">
        <v>0</v>
      </c>
      <c r="L153" s="27">
        <f>IF(G153="გამ. შესყიდვა",SUMIFS('[1]გამარტივებული შესყიდვა'!L:L,'[1]გამარტივებული შესყიდვა'!K:K,B153,'[1]გამარტივებული შესყიდვა'!N:N,"სახელმწიფო ბიუჯეტი",'[1]გამარტივებული შესყიდვა'!O:O,"2703030701"),0)</f>
        <v>0</v>
      </c>
      <c r="M153" s="27">
        <v>0</v>
      </c>
      <c r="N153" s="27">
        <f>IF(G153="კონს. ტენდერი",SUMIFS('[1]კონსოლიდირებული ტენდერი'!L:L,'[1]კონსოლიდირებული ტენდერი'!E:E,B153,'[1]კონსოლიდირებული ტენდერი'!N:N,"სახელმწიფო ბიუჯეტი",'[1]კონსოლიდირებული ტენდერი'!O:O,"2703030701"),0)</f>
        <v>0</v>
      </c>
      <c r="O153" s="27">
        <v>0</v>
      </c>
      <c r="P153" s="27">
        <f>IF(G153="ელ. ტენდერი",SUMIFS('[1]ელ. ტენდერი'!N:N,'[1]ელ. ტენდერი'!G:G,B153,'[1]ელ. ტენდერი'!Q:Q,"სახელმწიფო ბიუჯეტი",'[1]ელ. ტენდერი'!R:R,"2703030701"),0)</f>
        <v>159093</v>
      </c>
      <c r="Q153" s="29">
        <f t="shared" si="2"/>
        <v>12807</v>
      </c>
    </row>
    <row r="154" spans="1:17" ht="15.75" x14ac:dyDescent="0.3">
      <c r="A154" s="18">
        <v>149</v>
      </c>
      <c r="B154" s="19" t="s">
        <v>230</v>
      </c>
      <c r="C154" s="20" t="s">
        <v>25</v>
      </c>
      <c r="D154" s="49">
        <v>270106</v>
      </c>
      <c r="E154" s="22" t="s">
        <v>231</v>
      </c>
      <c r="F154" s="23">
        <v>1000</v>
      </c>
      <c r="G154" s="24" t="s">
        <v>27</v>
      </c>
      <c r="H154" s="25">
        <v>44032</v>
      </c>
      <c r="I154" s="25">
        <v>44196</v>
      </c>
      <c r="J154" s="39"/>
      <c r="K154" s="27">
        <f>IF(G154="გამ. შესყიდვა",SUMIFS('[1]გამარტივებული შესყიდვა'!L:L,'[1]გამარტივებული შესყიდვა'!K:K,B154,'[1]გამარტივებული შესყიდვა'!N:N,"სახელმწიფო ბიუჯეტი",'[1]გამარტივებული შესყიდვა'!O:O,"270106"),0)</f>
        <v>400</v>
      </c>
      <c r="L154" s="27">
        <v>0</v>
      </c>
      <c r="M154" s="27">
        <f>IF(G154="კონს. ტენდერი",SUMIFS('[1]კონსოლიდირებული ტენდერი'!L:L,'[1]კონსოლიდირებული ტენდერი'!E:E,B154,'[1]კონსოლიდირებული ტენდერი'!N:N,"სახელმწიფო ბიუჯეტი",'[1]კონსოლიდირებული ტენდერი'!O:O,"270106"),0)</f>
        <v>0</v>
      </c>
      <c r="N154" s="27">
        <v>0</v>
      </c>
      <c r="O154" s="27">
        <f>IF(G154="ელ. ტენდერი",SUMIFS('[1]ელ. ტენდერი'!N:N,'[1]ელ. ტენდერი'!G:G,B154,'[1]ელ. ტენდერი'!Q:Q,"სახელმწიფო ბიუჯეტი",'[1]ელ. ტენდერი'!R:R,"270106"),0)</f>
        <v>0</v>
      </c>
      <c r="P154" s="27">
        <v>0</v>
      </c>
      <c r="Q154" s="29">
        <f t="shared" si="2"/>
        <v>600</v>
      </c>
    </row>
    <row r="155" spans="1:17" ht="15.75" x14ac:dyDescent="0.3">
      <c r="A155" s="18">
        <v>150</v>
      </c>
      <c r="B155" s="19" t="s">
        <v>232</v>
      </c>
      <c r="C155" s="20" t="s">
        <v>25</v>
      </c>
      <c r="D155" s="49">
        <v>270106</v>
      </c>
      <c r="E155" s="22" t="s">
        <v>233</v>
      </c>
      <c r="F155" s="23">
        <f>1500+3000</f>
        <v>4500</v>
      </c>
      <c r="G155" s="24" t="s">
        <v>27</v>
      </c>
      <c r="H155" s="25">
        <v>43831</v>
      </c>
      <c r="I155" s="25">
        <v>44196</v>
      </c>
      <c r="J155" s="39"/>
      <c r="K155" s="27">
        <f>IF(G155="გამ. შესყიდვა",SUMIFS('[1]გამარტივებული შესყიდვა'!L:L,'[1]გამარტივებული შესყიდვა'!K:K,B155,'[1]გამარტივებული შესყიდვა'!N:N,"სახელმწიფო ბიუჯეტი",'[1]გამარტივებული შესყიდვა'!O:O,"270106"),0)</f>
        <v>2085</v>
      </c>
      <c r="L155" s="27">
        <v>0</v>
      </c>
      <c r="M155" s="27">
        <f>IF(G155="კონს. ტენდერი",SUMIFS('[1]კონსოლიდირებული ტენდერი'!L:L,'[1]კონსოლიდირებული ტენდერი'!E:E,B155,'[1]კონსოლიდირებული ტენდერი'!N:N,"სახელმწიფო ბიუჯეტი",'[1]კონსოლიდირებული ტენდერი'!O:O,"270106"),0)</f>
        <v>0</v>
      </c>
      <c r="N155" s="27">
        <v>0</v>
      </c>
      <c r="O155" s="27">
        <f>IF(G155="ელ. ტენდერი",SUMIFS('[1]ელ. ტენდერი'!N:N,'[1]ელ. ტენდერი'!G:G,B155,'[1]ელ. ტენდერი'!Q:Q,"სახელმწიფო ბიუჯეტი",'[1]ელ. ტენდერი'!R:R,"270106"),0)</f>
        <v>0</v>
      </c>
      <c r="P155" s="27">
        <v>0</v>
      </c>
      <c r="Q155" s="29">
        <f t="shared" si="2"/>
        <v>2415</v>
      </c>
    </row>
    <row r="156" spans="1:17" ht="15.75" x14ac:dyDescent="0.3">
      <c r="A156" s="18">
        <v>151</v>
      </c>
      <c r="B156" s="19" t="s">
        <v>234</v>
      </c>
      <c r="C156" s="54" t="s">
        <v>235</v>
      </c>
      <c r="D156" s="55">
        <v>2703030701</v>
      </c>
      <c r="E156" s="56" t="s">
        <v>236</v>
      </c>
      <c r="F156" s="57">
        <v>220000</v>
      </c>
      <c r="G156" s="58" t="s">
        <v>27</v>
      </c>
      <c r="H156" s="25">
        <v>43831</v>
      </c>
      <c r="I156" s="25">
        <v>44196</v>
      </c>
      <c r="J156" s="59" t="s">
        <v>237</v>
      </c>
      <c r="K156" s="27">
        <v>0</v>
      </c>
      <c r="L156" s="27">
        <f>IF(G156="გამ. შესყიდვა",SUMIFS('[1]გამარტივებული შესყიდვა'!L:L,'[1]გამარტივებული შესყიდვა'!K:K,B156,'[1]გამარტივებული შესყიდვა'!N:N,"სახელმწიფო ბიუჯეტი",'[1]გამარტივებული შესყიდვა'!O:O,"2703030701"),0)</f>
        <v>1000</v>
      </c>
      <c r="M156" s="27">
        <v>0</v>
      </c>
      <c r="N156" s="27">
        <f>IF(G156="კონს. ტენდერი",SUMIFS('[1]კონსოლიდირებული ტენდერი'!L:L,'[1]კონსოლიდირებული ტენდერი'!E:E,B156,'[1]კონსოლიდირებული ტენდერი'!N:N,"სახელმწიფო ბიუჯეტი",'[1]კონსოლიდირებული ტენდერი'!O:O,"2703030701"),0)</f>
        <v>0</v>
      </c>
      <c r="O156" s="27">
        <v>0</v>
      </c>
      <c r="P156" s="27">
        <f>IF(G156="ელ. ტენდერი",SUMIFS('[1]ელ. ტენდერი'!N:N,'[1]ელ. ტენდერი'!G:G,B156,'[1]ელ. ტენდერი'!Q:Q,"სახელმწიფო ბიუჯეტი",'[1]ელ. ტენდერი'!R:R,"2703030701"),0)</f>
        <v>0</v>
      </c>
      <c r="Q156" s="29">
        <f t="shared" si="2"/>
        <v>219000</v>
      </c>
    </row>
    <row r="157" spans="1:17" ht="15.75" x14ac:dyDescent="0.3">
      <c r="A157" s="18">
        <v>152</v>
      </c>
      <c r="B157" s="30" t="s">
        <v>234</v>
      </c>
      <c r="C157" s="54" t="s">
        <v>235</v>
      </c>
      <c r="D157" s="55">
        <v>2703030701</v>
      </c>
      <c r="E157" s="56" t="s">
        <v>236</v>
      </c>
      <c r="F157" s="57">
        <f>12000-11000</f>
        <v>1000</v>
      </c>
      <c r="G157" s="60" t="s">
        <v>27</v>
      </c>
      <c r="H157" s="25">
        <v>43831</v>
      </c>
      <c r="I157" s="25">
        <v>44196</v>
      </c>
      <c r="J157" s="59" t="s">
        <v>29</v>
      </c>
      <c r="K157" s="27">
        <v>0</v>
      </c>
      <c r="L157" s="27">
        <f>IF(G157="გამ. შესყიდვა",SUMIFS('[1]გამარტივებული შესყიდვა'!L:L,'[1]გამარტივებული შესყიდვა'!K:K,B157,'[1]გამარტივებული შესყიდვა'!N:N,"სახელმწიფო ბიუჯეტი",'[1]გამარტივებული შესყიდვა'!O:O,"2703030701"),0)</f>
        <v>1000</v>
      </c>
      <c r="M157" s="27">
        <v>0</v>
      </c>
      <c r="N157" s="27">
        <f>IF(G157="კონს. ტენდერი",SUMIFS('[1]კონსოლიდირებული ტენდერი'!L:L,'[1]კონსოლიდირებული ტენდერი'!E:E,B157,'[1]კონსოლიდირებული ტენდერი'!N:N,"სახელმწიფო ბიუჯეტი",'[1]კონსოლიდირებული ტენდერი'!O:O,"2703030701"),0)</f>
        <v>0</v>
      </c>
      <c r="O157" s="27">
        <v>0</v>
      </c>
      <c r="P157" s="27">
        <f>IF(G157="ელ. ტენდერი",SUMIFS('[1]ელ. ტენდერი'!N:N,'[1]ელ. ტენდერი'!G:G,B157,'[1]ელ. ტენდერი'!Q:Q,"სახელმწიფო ბიუჯეტი",'[1]ელ. ტენდერი'!R:R,"2703030701"),0)</f>
        <v>0</v>
      </c>
      <c r="Q157" s="29">
        <f t="shared" si="2"/>
        <v>0</v>
      </c>
    </row>
    <row r="158" spans="1:17" ht="15.75" x14ac:dyDescent="0.3">
      <c r="A158" s="18">
        <v>153</v>
      </c>
      <c r="B158" s="19" t="s">
        <v>234</v>
      </c>
      <c r="C158" s="54" t="s">
        <v>235</v>
      </c>
      <c r="D158" s="55">
        <v>2703030701</v>
      </c>
      <c r="E158" s="56" t="s">
        <v>238</v>
      </c>
      <c r="F158" s="57">
        <f>10000000+10576507</f>
        <v>20576507</v>
      </c>
      <c r="G158" s="24" t="s">
        <v>27</v>
      </c>
      <c r="H158" s="25">
        <v>43831</v>
      </c>
      <c r="I158" s="25">
        <v>44196</v>
      </c>
      <c r="J158" s="59" t="s">
        <v>239</v>
      </c>
      <c r="K158" s="27">
        <v>0</v>
      </c>
      <c r="L158" s="27">
        <f>IF(G158="გამ. შესყიდვა",SUMIFS('[1]გამარტივებული შესყიდვა'!L:L,'[1]გამარტივებული შესყიდვა'!K:K,B158,'[1]გამარტივებული შესყიდვა'!N:N,"სახელმწიფო ბიუჯეტი",'[1]გამარტივებული შესყიდვა'!O:O,"2703030701"),0)</f>
        <v>1000</v>
      </c>
      <c r="M158" s="27">
        <v>0</v>
      </c>
      <c r="N158" s="27">
        <f>IF(G158="კონს. ტენდერი",SUMIFS('[1]კონსოლიდირებული ტენდერი'!L:L,'[1]კონსოლიდირებული ტენდერი'!E:E,B158,'[1]კონსოლიდირებული ტენდერი'!N:N,"სახელმწიფო ბიუჯეტი",'[1]კონსოლიდირებული ტენდერი'!O:O,"2703030701"),0)</f>
        <v>0</v>
      </c>
      <c r="O158" s="27">
        <v>0</v>
      </c>
      <c r="P158" s="27">
        <f>IF(G158="ელ. ტენდერი",SUMIFS('[1]ელ. ტენდერი'!N:N,'[1]ელ. ტენდერი'!G:G,B158,'[1]ელ. ტენდერი'!Q:Q,"სახელმწიფო ბიუჯეტი",'[1]ელ. ტენდერი'!R:R,"2703030701"),0)</f>
        <v>0</v>
      </c>
      <c r="Q158" s="29">
        <f t="shared" ref="Q158:Q167" si="3">F158-SUM(K158:P158)</f>
        <v>20575507</v>
      </c>
    </row>
    <row r="159" spans="1:17" ht="15.75" x14ac:dyDescent="0.3">
      <c r="A159" s="18">
        <v>154</v>
      </c>
      <c r="B159" s="50" t="s">
        <v>240</v>
      </c>
      <c r="C159" s="20" t="s">
        <v>25</v>
      </c>
      <c r="D159" s="55">
        <v>2703030701</v>
      </c>
      <c r="E159" s="56" t="s">
        <v>241</v>
      </c>
      <c r="F159" s="57">
        <f>10000-300+500</f>
        <v>10200</v>
      </c>
      <c r="G159" s="58" t="s">
        <v>44</v>
      </c>
      <c r="H159" s="25">
        <v>43831</v>
      </c>
      <c r="I159" s="25">
        <v>44196</v>
      </c>
      <c r="J159" s="59"/>
      <c r="K159" s="27">
        <v>0</v>
      </c>
      <c r="L159" s="27">
        <f>IF(G159="გამ. შესყიდვა",SUMIFS('[1]გამარტივებული შესყიდვა'!L:L,'[1]გამარტივებული შესყიდვა'!K:K,B159,'[1]გამარტივებული შესყიდვა'!N:N,"სახელმწიფო ბიუჯეტი",'[1]გამარტივებული შესყიდვა'!O:O,"2703030701"),0)</f>
        <v>0</v>
      </c>
      <c r="M159" s="27">
        <v>0</v>
      </c>
      <c r="N159" s="27">
        <f>IF(G159="კონს. ტენდერი",SUMIFS('[1]კონსოლიდირებული ტენდერი'!L:L,'[1]კონსოლიდირებული ტენდერი'!E:E,B159,'[1]კონსოლიდირებული ტენდერი'!N:N,"სახელმწიფო ბიუჯეტი",'[1]კონსოლიდირებული ტენდერი'!O:O,"2703030701"),0)</f>
        <v>0</v>
      </c>
      <c r="O159" s="27">
        <v>0</v>
      </c>
      <c r="P159" s="27">
        <f>IF(G159="ელ. ტენდერი",SUMIFS('[1]ელ. ტენდერი'!N:N,'[1]ელ. ტენდერი'!G:G,B159,'[1]ელ. ტენდერი'!Q:Q,"სახელმწიფო ბიუჯეტი",'[1]ელ. ტენდერი'!R:R,"2703030701"),0)</f>
        <v>10200</v>
      </c>
      <c r="Q159" s="29">
        <f t="shared" si="3"/>
        <v>0</v>
      </c>
    </row>
    <row r="160" spans="1:17" ht="15.75" x14ac:dyDescent="0.3">
      <c r="A160" s="18">
        <v>155</v>
      </c>
      <c r="B160" s="50" t="s">
        <v>240</v>
      </c>
      <c r="C160" s="20" t="s">
        <v>25</v>
      </c>
      <c r="D160" s="55">
        <v>2703030701</v>
      </c>
      <c r="E160" s="56" t="s">
        <v>241</v>
      </c>
      <c r="F160" s="57">
        <v>300</v>
      </c>
      <c r="G160" s="24" t="s">
        <v>27</v>
      </c>
      <c r="H160" s="25">
        <v>43972</v>
      </c>
      <c r="I160" s="25">
        <v>44196</v>
      </c>
      <c r="J160" s="59" t="s">
        <v>242</v>
      </c>
      <c r="K160" s="27">
        <v>0</v>
      </c>
      <c r="L160" s="27">
        <f>IF(G160="გამ. შესყიდვა",SUMIFS('[1]გამარტივებული შესყიდვა'!L:L,'[1]გამარტივებული შესყიდვა'!K:K,B160,'[1]გამარტივებული შესყიდვა'!N:N,"სახელმწიფო ბიუჯეტი",'[1]გამარტივებული შესყიდვა'!O:O,"2703030701"),0)</f>
        <v>300</v>
      </c>
      <c r="M160" s="27">
        <v>0</v>
      </c>
      <c r="N160" s="27">
        <f>IF(G160="კონს. ტენდერი",SUMIFS('[1]კონსოლიდირებული ტენდერი'!L:L,'[1]კონსოლიდირებული ტენდერი'!E:E,B160,'[1]კონსოლიდირებული ტენდერი'!N:N,"სახელმწიფო ბიუჯეტი",'[1]კონსოლიდირებული ტენდერი'!O:O,"2703030701"),0)</f>
        <v>0</v>
      </c>
      <c r="O160" s="27">
        <v>0</v>
      </c>
      <c r="P160" s="27">
        <f>IF(G160="ელ. ტენდერი",SUMIFS('[1]ელ. ტენდერი'!N:N,'[1]ელ. ტენდერი'!G:G,B160,'[1]ელ. ტენდერი'!Q:Q,"სახელმწიფო ბიუჯეტი",'[1]ელ. ტენდერი'!R:R,"2703030701"),0)</f>
        <v>0</v>
      </c>
      <c r="Q160" s="29">
        <f t="shared" si="3"/>
        <v>0</v>
      </c>
    </row>
    <row r="161" spans="1:17" ht="15.75" x14ac:dyDescent="0.3">
      <c r="A161" s="18">
        <v>156</v>
      </c>
      <c r="B161" s="50" t="s">
        <v>243</v>
      </c>
      <c r="C161" s="20" t="s">
        <v>25</v>
      </c>
      <c r="D161" s="21">
        <v>2703030701</v>
      </c>
      <c r="E161" s="22" t="s">
        <v>244</v>
      </c>
      <c r="F161" s="23">
        <f>200000+1560+25000+45000-500</f>
        <v>271060</v>
      </c>
      <c r="G161" s="24" t="s">
        <v>44</v>
      </c>
      <c r="H161" s="25">
        <v>43831</v>
      </c>
      <c r="I161" s="25">
        <v>44196</v>
      </c>
      <c r="J161" s="39"/>
      <c r="K161" s="27">
        <v>0</v>
      </c>
      <c r="L161" s="27">
        <f>IF(G161="გამ. შესყიდვა",SUMIFS('[1]გამარტივებული შესყიდვა'!L:L,'[1]გამარტივებული შესყიდვა'!K:K,B161,'[1]გამარტივებული შესყიდვა'!N:N,"სახელმწიფო ბიუჯეტი",'[1]გამარტივებული შესყიდვა'!O:O,"2703030701"),0)</f>
        <v>0</v>
      </c>
      <c r="M161" s="27">
        <v>0</v>
      </c>
      <c r="N161" s="27">
        <f>IF(G161="კონს. ტენდერი",SUMIFS('[1]კონსოლიდირებული ტენდერი'!L:L,'[1]კონსოლიდირებული ტენდერი'!E:E,B161,'[1]კონსოლიდირებული ტენდერი'!N:N,"სახელმწიფო ბიუჯეტი",'[1]კონსოლიდირებული ტენდერი'!O:O,"2703030701"),0)</f>
        <v>0</v>
      </c>
      <c r="O161" s="27">
        <v>0</v>
      </c>
      <c r="P161" s="27">
        <f>IF(G161="ელ. ტენდერი",SUMIFS('[1]ელ. ტენდერი'!N:N,'[1]ელ. ტენდერი'!G:G,B161,'[1]ელ. ტენდერი'!Q:Q,"სახელმწიფო ბიუჯეტი",'[1]ელ. ტენდერი'!R:R,"2703030701"),0)</f>
        <v>267600</v>
      </c>
      <c r="Q161" s="29">
        <f t="shared" si="3"/>
        <v>3460</v>
      </c>
    </row>
    <row r="162" spans="1:17" ht="15.75" x14ac:dyDescent="0.3">
      <c r="A162" s="18">
        <v>157</v>
      </c>
      <c r="B162" s="19" t="s">
        <v>245</v>
      </c>
      <c r="C162" s="20" t="s">
        <v>25</v>
      </c>
      <c r="D162" s="21">
        <v>2703030701</v>
      </c>
      <c r="E162" s="61" t="s">
        <v>246</v>
      </c>
      <c r="F162" s="23">
        <v>80000</v>
      </c>
      <c r="G162" s="24" t="s">
        <v>44</v>
      </c>
      <c r="H162" s="25">
        <v>43831</v>
      </c>
      <c r="I162" s="25">
        <v>44196</v>
      </c>
      <c r="J162" s="39"/>
      <c r="K162" s="27">
        <v>0</v>
      </c>
      <c r="L162" s="27">
        <f>IF(G162="გამ. შესყიდვა",SUMIFS('[1]გამარტივებული შესყიდვა'!L:L,'[1]გამარტივებული შესყიდვა'!K:K,B162,'[1]გამარტივებული შესყიდვა'!N:N,"სახელმწიფო ბიუჯეტი",'[1]გამარტივებული შესყიდვა'!O:O,"2703030701"),0)</f>
        <v>0</v>
      </c>
      <c r="M162" s="27">
        <v>0</v>
      </c>
      <c r="N162" s="27">
        <f>IF(G162="კონს. ტენდერი",SUMIFS('[1]კონსოლიდირებული ტენდერი'!L:L,'[1]კონსოლიდირებული ტენდერი'!E:E,B162,'[1]კონსოლიდირებული ტენდერი'!N:N,"სახელმწიფო ბიუჯეტი",'[1]კონსოლიდირებული ტენდერი'!O:O,"2703030701"),0)</f>
        <v>0</v>
      </c>
      <c r="O162" s="27">
        <v>0</v>
      </c>
      <c r="P162" s="27">
        <f>IF(G162="ელ. ტენდერი",SUMIFS('[1]ელ. ტენდერი'!N:N,'[1]ელ. ტენდერი'!G:G,B162,'[1]ელ. ტენდერი'!Q:Q,"სახელმწიფო ბიუჯეტი",'[1]ელ. ტენდერი'!R:R,"2703030701"),0)</f>
        <v>31398.2</v>
      </c>
      <c r="Q162" s="29">
        <f t="shared" si="3"/>
        <v>48601.8</v>
      </c>
    </row>
    <row r="163" spans="1:17" ht="15.75" x14ac:dyDescent="0.3">
      <c r="A163" s="18">
        <v>158</v>
      </c>
      <c r="B163" s="19" t="s">
        <v>245</v>
      </c>
      <c r="C163" s="20" t="s">
        <v>25</v>
      </c>
      <c r="D163" s="49">
        <v>270106</v>
      </c>
      <c r="E163" s="61" t="s">
        <v>246</v>
      </c>
      <c r="F163" s="23">
        <f>2800+2180</f>
        <v>4980</v>
      </c>
      <c r="G163" s="24" t="s">
        <v>27</v>
      </c>
      <c r="H163" s="25">
        <v>43831</v>
      </c>
      <c r="I163" s="25">
        <v>44196</v>
      </c>
      <c r="J163" s="39"/>
      <c r="K163" s="27">
        <f>IF(G163="გამ. შესყიდვა",SUMIFS('[1]გამარტივებული შესყიდვა'!L:L,'[1]გამარტივებული შესყიდვა'!K:K,B163,'[1]გამარტივებული შესყიდვა'!N:N,"სახელმწიფო ბიუჯეტი",'[1]გამარტივებული შესყიდვა'!O:O,"270106"),0)</f>
        <v>4980</v>
      </c>
      <c r="L163" s="27">
        <v>0</v>
      </c>
      <c r="M163" s="27">
        <f>IF(G163="კონს. ტენდერი",SUMIFS('[1]კონსოლიდირებული ტენდერი'!L:L,'[1]კონსოლიდირებული ტენდერი'!E:E,B163,'[1]კონსოლიდირებული ტენდერი'!N:N,"სახელმწიფო ბიუჯეტი",'[1]კონსოლიდირებული ტენდერი'!O:O,"270106"),0)</f>
        <v>0</v>
      </c>
      <c r="N163" s="27">
        <v>0</v>
      </c>
      <c r="O163" s="27">
        <f>IF(G163="ელ. ტენდერი",SUMIFS('[1]ელ. ტენდერი'!N:N,'[1]ელ. ტენდერი'!G:G,B163,'[1]ელ. ტენდერი'!Q:Q,"სახელმწიფო ბიუჯეტი",'[1]ელ. ტენდერი'!R:R,"270106"),0)</f>
        <v>0</v>
      </c>
      <c r="P163" s="27">
        <v>0</v>
      </c>
      <c r="Q163" s="29">
        <f t="shared" si="3"/>
        <v>0</v>
      </c>
    </row>
    <row r="164" spans="1:17" ht="15.75" x14ac:dyDescent="0.3">
      <c r="A164" s="18">
        <v>159</v>
      </c>
      <c r="B164" s="19" t="s">
        <v>245</v>
      </c>
      <c r="C164" s="20" t="s">
        <v>25</v>
      </c>
      <c r="D164" s="21">
        <v>2703030701</v>
      </c>
      <c r="E164" s="61" t="s">
        <v>246</v>
      </c>
      <c r="F164" s="23">
        <f>17000+22000+4500+26500+23000</f>
        <v>93000</v>
      </c>
      <c r="G164" s="24" t="s">
        <v>27</v>
      </c>
      <c r="H164" s="25">
        <v>43895</v>
      </c>
      <c r="I164" s="25">
        <v>44196</v>
      </c>
      <c r="J164" s="39" t="s">
        <v>59</v>
      </c>
      <c r="K164" s="27">
        <v>0</v>
      </c>
      <c r="L164" s="27">
        <f>IF(G164="გამ. შესყიდვა",SUMIFS('[1]გამარტივებული შესყიდვა'!L:L,'[1]გამარტივებული შესყიდვა'!K:K,B164,'[1]გამარტივებული შესყიდვა'!N:N,"სახელმწიფო ბიუჯეტი",'[1]გამარტივებული შესყიდვა'!O:O,"2703030701"),0)</f>
        <v>89780.22</v>
      </c>
      <c r="M164" s="27">
        <v>0</v>
      </c>
      <c r="N164" s="27">
        <f>IF(G164="კონს. ტენდერი",SUMIFS('[1]კონსოლიდირებული ტენდერი'!L:L,'[1]კონსოლიდირებული ტენდერი'!E:E,B164,'[1]კონსოლიდირებული ტენდერი'!N:N,"სახელმწიფო ბიუჯეტი",'[1]კონსოლიდირებული ტენდერი'!O:O,"2703030701"),0)</f>
        <v>0</v>
      </c>
      <c r="O164" s="27">
        <v>0</v>
      </c>
      <c r="P164" s="27">
        <f>IF(G164="ელ. ტენდერი",SUMIFS('[1]ელ. ტენდერი'!N:N,'[1]ელ. ტენდერი'!G:G,B164,'[1]ელ. ტენდერი'!Q:Q,"სახელმწიფო ბიუჯეტი",'[1]ელ. ტენდერი'!R:R,"2703030701"),0)</f>
        <v>0</v>
      </c>
      <c r="Q164" s="29">
        <f t="shared" si="3"/>
        <v>3219.7799999999988</v>
      </c>
    </row>
    <row r="165" spans="1:17" ht="15.75" x14ac:dyDescent="0.3">
      <c r="A165" s="18">
        <v>160</v>
      </c>
      <c r="B165" s="30" t="s">
        <v>247</v>
      </c>
      <c r="C165" s="20" t="s">
        <v>25</v>
      </c>
      <c r="D165" s="49">
        <v>270106</v>
      </c>
      <c r="E165" s="22" t="s">
        <v>248</v>
      </c>
      <c r="F165" s="23">
        <f>1000+3000-699</f>
        <v>3301</v>
      </c>
      <c r="G165" s="24" t="s">
        <v>27</v>
      </c>
      <c r="H165" s="25">
        <v>43831</v>
      </c>
      <c r="I165" s="25">
        <v>44196</v>
      </c>
      <c r="J165" s="32"/>
      <c r="K165" s="27">
        <f>IF(G165="გამ. შესყიდვა",SUMIFS('[1]გამარტივებული შესყიდვა'!L:L,'[1]გამარტივებული შესყიდვა'!K:K,B165,'[1]გამარტივებული შესყიდვა'!N:N,"სახელმწიფო ბიუჯეტი",'[1]გამარტივებული შესყიდვა'!O:O,"270106"),0)</f>
        <v>1260</v>
      </c>
      <c r="L165" s="27">
        <v>0</v>
      </c>
      <c r="M165" s="27">
        <f>IF(G165="კონს. ტენდერი",SUMIFS('[1]კონსოლიდირებული ტენდერი'!L:L,'[1]კონსოლიდირებული ტენდერი'!E:E,B165,'[1]კონსოლიდირებული ტენდერი'!N:N,"სახელმწიფო ბიუჯეტი",'[1]კონსოლიდირებული ტენდერი'!O:O,"270106"),0)</f>
        <v>0</v>
      </c>
      <c r="N165" s="27">
        <v>0</v>
      </c>
      <c r="O165" s="27">
        <f>IF(G165="ელ. ტენდერი",SUMIFS('[1]ელ. ტენდერი'!N:N,'[1]ელ. ტენდერი'!G:G,B165,'[1]ელ. ტენდერი'!Q:Q,"სახელმწიფო ბიუჯეტი",'[1]ელ. ტენდერი'!R:R,"270106"),0)</f>
        <v>0</v>
      </c>
      <c r="P165" s="27">
        <v>0</v>
      </c>
      <c r="Q165" s="29">
        <f t="shared" si="3"/>
        <v>2041</v>
      </c>
    </row>
    <row r="166" spans="1:17" ht="15.75" x14ac:dyDescent="0.3">
      <c r="A166" s="18">
        <v>161</v>
      </c>
      <c r="B166" s="19" t="s">
        <v>249</v>
      </c>
      <c r="C166" s="20" t="s">
        <v>25</v>
      </c>
      <c r="D166" s="21">
        <v>2703030701</v>
      </c>
      <c r="E166" s="22" t="s">
        <v>250</v>
      </c>
      <c r="F166" s="23">
        <v>4200</v>
      </c>
      <c r="G166" s="24" t="s">
        <v>27</v>
      </c>
      <c r="H166" s="25">
        <v>43831</v>
      </c>
      <c r="I166" s="25">
        <v>44196</v>
      </c>
      <c r="J166" s="32"/>
      <c r="K166" s="27">
        <v>0</v>
      </c>
      <c r="L166" s="27">
        <f>IF(G166="გამ. შესყიდვა",SUMIFS('[1]გამარტივებული შესყიდვა'!L:L,'[1]გამარტივებული შესყიდვა'!K:K,B166,'[1]გამარტივებული შესყიდვა'!N:N,"სახელმწიფო ბიუჯეტი",'[1]გამარტივებული შესყიდვა'!O:O,"2703030701"),0)</f>
        <v>0</v>
      </c>
      <c r="M166" s="27">
        <v>0</v>
      </c>
      <c r="N166" s="27">
        <f>IF(G166="კონს. ტენდერი",SUMIFS('[1]კონსოლიდირებული ტენდერი'!L:L,'[1]კონსოლიდირებული ტენდერი'!E:E,B166,'[1]კონსოლიდირებული ტენდერი'!N:N,"სახელმწიფო ბიუჯეტი",'[1]კონსოლიდირებული ტენდერი'!O:O,"2703030701"),0)</f>
        <v>0</v>
      </c>
      <c r="O166" s="27">
        <v>0</v>
      </c>
      <c r="P166" s="27">
        <f>IF(G166="ელ. ტენდერი",SUMIFS('[1]ელ. ტენდერი'!N:N,'[1]ელ. ტენდერი'!G:G,B166,'[1]ელ. ტენდერი'!Q:Q,"სახელმწიფო ბიუჯეტი",'[1]ელ. ტენდერი'!R:R,"2703030701"),0)</f>
        <v>0</v>
      </c>
      <c r="Q166" s="29">
        <f t="shared" si="3"/>
        <v>4200</v>
      </c>
    </row>
    <row r="167" spans="1:17" ht="15.75" x14ac:dyDescent="0.3">
      <c r="A167" s="18">
        <v>162</v>
      </c>
      <c r="B167" s="19" t="s">
        <v>251</v>
      </c>
      <c r="C167" s="20" t="s">
        <v>25</v>
      </c>
      <c r="D167" s="21">
        <v>2703030701</v>
      </c>
      <c r="E167" s="22" t="s">
        <v>252</v>
      </c>
      <c r="F167" s="23">
        <f>1000+1050</f>
        <v>2050</v>
      </c>
      <c r="G167" s="24" t="s">
        <v>27</v>
      </c>
      <c r="H167" s="25">
        <v>43831</v>
      </c>
      <c r="I167" s="25">
        <v>44196</v>
      </c>
      <c r="J167" s="62"/>
      <c r="K167" s="27">
        <v>0</v>
      </c>
      <c r="L167" s="27">
        <f>IF(G167="გამ. შესყიდვა",SUMIFS('[1]გამარტივებული შესყიდვა'!L:L,'[1]გამარტივებული შესყიდვა'!K:K,B167,'[1]გამარტივებული შესყიდვა'!N:N,"სახელმწიფო ბიუჯეტი",'[1]გამარტივებული შესყიდვა'!O:O,"2703030701"),0)</f>
        <v>0</v>
      </c>
      <c r="M167" s="27">
        <v>0</v>
      </c>
      <c r="N167" s="27">
        <f>IF(G167="კონს. ტენდერი",SUMIFS('[1]კონსოლიდირებული ტენდერი'!L:L,'[1]კონსოლიდირებული ტენდერი'!E:E,B167,'[1]კონსოლიდირებული ტენდერი'!N:N,"სახელმწიფო ბიუჯეტი",'[1]კონსოლიდირებული ტენდერი'!O:O,"2703030701"),0)</f>
        <v>0</v>
      </c>
      <c r="O167" s="27">
        <v>0</v>
      </c>
      <c r="P167" s="27">
        <f>IF(G167="ელ. ტენდერი",SUMIFS('[1]ელ. ტენდერი'!N:N,'[1]ელ. ტენდერი'!G:G,B167,'[1]ელ. ტენდერი'!Q:Q,"სახელმწიფო ბიუჯეტი",'[1]ელ. ტენდერი'!R:R,"2703030701"),0)</f>
        <v>0</v>
      </c>
      <c r="Q167" s="29">
        <f t="shared" si="3"/>
        <v>2050</v>
      </c>
    </row>
    <row r="168" spans="1:17" x14ac:dyDescent="0.25">
      <c r="A168" s="63"/>
      <c r="B168" s="64"/>
      <c r="C168" s="64"/>
      <c r="D168" s="63"/>
      <c r="E168" s="63"/>
      <c r="F168" s="65"/>
      <c r="G168" s="66"/>
      <c r="H168" s="67"/>
      <c r="I168" s="67"/>
      <c r="J168" s="68"/>
    </row>
    <row r="169" spans="1:17" ht="17.25" x14ac:dyDescent="0.25">
      <c r="A169" s="63"/>
      <c r="B169" s="64"/>
      <c r="C169" s="64"/>
      <c r="D169" s="63"/>
      <c r="E169" s="69"/>
      <c r="F169" s="70"/>
      <c r="G169" s="66"/>
      <c r="H169" s="67"/>
      <c r="I169" s="67"/>
      <c r="J169" s="68"/>
    </row>
    <row r="170" spans="1:17" x14ac:dyDescent="0.25">
      <c r="A170" s="71" t="s">
        <v>0</v>
      </c>
      <c r="B170" s="72"/>
      <c r="C170" s="72"/>
      <c r="D170" s="72"/>
      <c r="E170" s="72"/>
      <c r="F170" s="72"/>
      <c r="G170" s="72"/>
      <c r="H170" s="72"/>
      <c r="I170" s="72"/>
      <c r="J170" s="73"/>
    </row>
    <row r="171" spans="1:17" x14ac:dyDescent="0.25">
      <c r="A171" s="74" t="str">
        <f>A2</f>
        <v>1. შედგენის თარიღი:17/08/20</v>
      </c>
      <c r="B171" s="75"/>
      <c r="C171" s="75"/>
      <c r="D171" s="75"/>
      <c r="E171" s="75"/>
      <c r="F171" s="75"/>
      <c r="G171" s="76"/>
      <c r="H171" s="4" t="s">
        <v>2</v>
      </c>
      <c r="I171" s="4"/>
      <c r="J171" s="4"/>
    </row>
    <row r="172" spans="1:17" ht="15" customHeight="1" x14ac:dyDescent="0.25">
      <c r="A172" s="77" t="s">
        <v>3</v>
      </c>
      <c r="B172" s="78"/>
      <c r="C172" s="78"/>
      <c r="D172" s="78"/>
      <c r="E172" s="78"/>
      <c r="F172" s="78"/>
      <c r="G172" s="79"/>
      <c r="H172" s="4" t="s">
        <v>253</v>
      </c>
      <c r="I172" s="4"/>
      <c r="J172" s="4"/>
    </row>
    <row r="173" spans="1:17" x14ac:dyDescent="0.25">
      <c r="A173" s="7" t="s">
        <v>5</v>
      </c>
      <c r="B173" s="7"/>
      <c r="C173" s="7"/>
      <c r="D173" s="7"/>
      <c r="E173" s="80"/>
      <c r="F173" s="7"/>
      <c r="G173" s="81"/>
      <c r="H173" s="82"/>
      <c r="I173" s="6">
        <f>SUM(F176:F247)</f>
        <v>201440</v>
      </c>
      <c r="J173" s="83" t="s">
        <v>6</v>
      </c>
      <c r="K173" s="2">
        <f t="shared" ref="K173:Q173" si="4">SUM(K176:K247)</f>
        <v>26189.48</v>
      </c>
      <c r="L173" s="2">
        <f t="shared" si="4"/>
        <v>75301.329999999987</v>
      </c>
      <c r="M173" s="2">
        <f t="shared" si="4"/>
        <v>0</v>
      </c>
      <c r="N173" s="2">
        <f t="shared" si="4"/>
        <v>0</v>
      </c>
      <c r="O173" s="2">
        <f t="shared" si="4"/>
        <v>10000</v>
      </c>
      <c r="P173" s="2">
        <f t="shared" si="4"/>
        <v>0</v>
      </c>
      <c r="Q173" s="2">
        <f t="shared" si="4"/>
        <v>89949.19</v>
      </c>
    </row>
    <row r="174" spans="1:17" ht="45" x14ac:dyDescent="0.25">
      <c r="A174" s="9" t="s">
        <v>7</v>
      </c>
      <c r="B174" s="10" t="s">
        <v>8</v>
      </c>
      <c r="C174" s="11" t="s">
        <v>9</v>
      </c>
      <c r="D174" s="12" t="s">
        <v>10</v>
      </c>
      <c r="E174" s="13" t="s">
        <v>11</v>
      </c>
      <c r="F174" s="14" t="s">
        <v>12</v>
      </c>
      <c r="G174" s="13" t="s">
        <v>13</v>
      </c>
      <c r="H174" s="13" t="s">
        <v>14</v>
      </c>
      <c r="I174" s="13" t="s">
        <v>15</v>
      </c>
      <c r="J174" s="15" t="s">
        <v>16</v>
      </c>
      <c r="K174" s="16" t="s">
        <v>17</v>
      </c>
      <c r="L174" s="16" t="s">
        <v>18</v>
      </c>
      <c r="M174" s="16" t="s">
        <v>19</v>
      </c>
      <c r="N174" s="16" t="s">
        <v>20</v>
      </c>
      <c r="O174" s="16" t="s">
        <v>21</v>
      </c>
      <c r="P174" s="16" t="s">
        <v>22</v>
      </c>
      <c r="Q174" s="17" t="s">
        <v>23</v>
      </c>
    </row>
    <row r="175" spans="1:17" x14ac:dyDescent="0.25">
      <c r="A175" s="9">
        <v>1</v>
      </c>
      <c r="B175" s="10" t="s">
        <v>254</v>
      </c>
      <c r="C175" s="84" t="s">
        <v>25</v>
      </c>
      <c r="D175" s="49">
        <v>270106</v>
      </c>
      <c r="E175" s="61" t="s">
        <v>255</v>
      </c>
      <c r="F175" s="85">
        <v>50</v>
      </c>
      <c r="G175" s="86" t="s">
        <v>27</v>
      </c>
      <c r="H175" s="25">
        <v>44001</v>
      </c>
      <c r="I175" s="25">
        <v>43830</v>
      </c>
      <c r="J175" s="15"/>
      <c r="K175" s="87">
        <f>IF(G175="გამ. შესყიდვა",SUMIFS('[1]გამარტივებული შესყიდვა'!L:L,'[1]გამარტივებული შესყიდვა'!K:K,B175,'[1]გამარტივებული შესყიდვა'!N:N,"საკუთარი შემოსავლები",'[1]გამარტივებული შესყიდვა'!O:O,"270106"),0)</f>
        <v>7.5</v>
      </c>
      <c r="L175" s="87">
        <v>0</v>
      </c>
      <c r="M175" s="87">
        <f>IF(G175="კონს. ტენდერი",SUMIFS('[1]კონსოლიდირებული ტენდერი'!L:L,'[1]კონსოლიდირებული ტენდერი'!E:E,B175,'[1]კონსოლიდირებული ტენდერი'!N:N,"საკუთარი შემოსავლები",'[1]კონსოლიდირებული ტენდერი'!O:O,"270106"),0)</f>
        <v>0</v>
      </c>
      <c r="N175" s="87">
        <v>0</v>
      </c>
      <c r="O175" s="87">
        <f>IF(G175="ელ. ტენდერი",SUMIFS('[1]ელ. ტენდერი'!N:N,'[1]ელ. ტენდერი'!G:G,B175,'[1]ელ. ტენდერი'!Q:Q,"საკუთარი შემოსავლები",'[1]ელ. ტენდერი'!R:R,"270106"),0)</f>
        <v>0</v>
      </c>
      <c r="P175" s="87">
        <v>0</v>
      </c>
      <c r="Q175" s="88">
        <f t="shared" ref="Q175:Q245" si="5">F175-SUM(K175:P175)</f>
        <v>42.5</v>
      </c>
    </row>
    <row r="176" spans="1:17" x14ac:dyDescent="0.25">
      <c r="A176" s="18">
        <v>2</v>
      </c>
      <c r="B176" s="53" t="s">
        <v>36</v>
      </c>
      <c r="C176" s="84" t="s">
        <v>25</v>
      </c>
      <c r="D176" s="49">
        <v>270106</v>
      </c>
      <c r="E176" s="61" t="s">
        <v>37</v>
      </c>
      <c r="F176" s="85">
        <v>1000</v>
      </c>
      <c r="G176" s="86" t="s">
        <v>27</v>
      </c>
      <c r="H176" s="25">
        <v>43466</v>
      </c>
      <c r="I176" s="25">
        <v>43830</v>
      </c>
      <c r="J176" s="32"/>
      <c r="K176" s="87">
        <f>IF(G176="გამ. შესყიდვა",SUMIFS('[1]გამარტივებული შესყიდვა'!L:L,'[1]გამარტივებული შესყიდვა'!K:K,B176,'[1]გამარტივებული შესყიდვა'!N:N,"საკუთარი შემოსავლები",'[1]გამარტივებული შესყიდვა'!O:O,"270106"),0)</f>
        <v>0</v>
      </c>
      <c r="L176" s="87">
        <v>0</v>
      </c>
      <c r="M176" s="87">
        <f>IF(G176="კონს. ტენდერი",SUMIFS('[1]კონსოლიდირებული ტენდერი'!L:L,'[1]კონსოლიდირებული ტენდერი'!E:E,B176,'[1]კონსოლიდირებული ტენდერი'!N:N,"საკუთარი შემოსავლები",'[1]კონსოლიდირებული ტენდერი'!O:O,"270106"),0)</f>
        <v>0</v>
      </c>
      <c r="N176" s="87">
        <v>0</v>
      </c>
      <c r="O176" s="87">
        <f>IF(G176="ელ. ტენდერი",SUMIFS('[1]ელ. ტენდერი'!N:N,'[1]ელ. ტენდერი'!G:G,B176,'[1]ელ. ტენდერი'!Q:Q,"საკუთარი შემოსავლები",'[1]ელ. ტენდერი'!R:R,"270106"),0)</f>
        <v>0</v>
      </c>
      <c r="P176" s="87">
        <v>0</v>
      </c>
      <c r="Q176" s="88">
        <f t="shared" si="5"/>
        <v>1000</v>
      </c>
    </row>
    <row r="177" spans="1:17" x14ac:dyDescent="0.25">
      <c r="A177" s="18">
        <v>3</v>
      </c>
      <c r="B177" s="53" t="s">
        <v>40</v>
      </c>
      <c r="C177" s="84" t="s">
        <v>25</v>
      </c>
      <c r="D177" s="49">
        <v>270106</v>
      </c>
      <c r="E177" s="61" t="s">
        <v>41</v>
      </c>
      <c r="F177" s="85">
        <v>2000</v>
      </c>
      <c r="G177" s="86" t="s">
        <v>27</v>
      </c>
      <c r="H177" s="25">
        <v>43466</v>
      </c>
      <c r="I177" s="25">
        <v>43830</v>
      </c>
      <c r="J177" s="32"/>
      <c r="K177" s="87">
        <f>IF(G177="გამ. შესყიდვა",SUMIFS('[1]გამარტივებული შესყიდვა'!L:L,'[1]გამარტივებული შესყიდვა'!K:K,B177,'[1]გამარტივებული შესყიდვა'!N:N,"საკუთარი შემოსავლები",'[1]გამარტივებული შესყიდვა'!O:O,"270106"),0)</f>
        <v>0</v>
      </c>
      <c r="L177" s="87">
        <v>0</v>
      </c>
      <c r="M177" s="87">
        <f>IF(G177="კონს. ტენდერი",SUMIFS('[1]კონსოლიდირებული ტენდერი'!L:L,'[1]კონსოლიდირებული ტენდერი'!E:E,B177,'[1]კონსოლიდირებული ტენდერი'!N:N,"საკუთარი შემოსავლები",'[1]კონსოლიდირებული ტენდერი'!O:O,"270106"),0)</f>
        <v>0</v>
      </c>
      <c r="N177" s="87">
        <v>0</v>
      </c>
      <c r="O177" s="87">
        <f>IF(G177="ელ. ტენდერი",SUMIFS('[1]ელ. ტენდერი'!N:N,'[1]ელ. ტენდერი'!G:G,B177,'[1]ელ. ტენდერი'!Q:Q,"საკუთარი შემოსავლები",'[1]ელ. ტენდერი'!R:R,"270106"),0)</f>
        <v>0</v>
      </c>
      <c r="P177" s="87">
        <v>0</v>
      </c>
      <c r="Q177" s="88">
        <f t="shared" si="5"/>
        <v>2000</v>
      </c>
    </row>
    <row r="178" spans="1:17" x14ac:dyDescent="0.25">
      <c r="A178" s="9">
        <v>4</v>
      </c>
      <c r="B178" s="53" t="s">
        <v>51</v>
      </c>
      <c r="C178" s="84" t="s">
        <v>25</v>
      </c>
      <c r="D178" s="21">
        <v>2703030701</v>
      </c>
      <c r="E178" s="22" t="s">
        <v>52</v>
      </c>
      <c r="F178" s="85">
        <v>4990</v>
      </c>
      <c r="G178" s="86" t="s">
        <v>27</v>
      </c>
      <c r="H178" s="25">
        <v>43987</v>
      </c>
      <c r="I178" s="25">
        <v>43830</v>
      </c>
      <c r="J178" s="32"/>
      <c r="K178" s="87">
        <v>0</v>
      </c>
      <c r="L178" s="87">
        <f>IF(G178="გამ. შესყიდვა",SUMIFS('[1]გამარტივებული შესყიდვა'!L:L,'[1]გამარტივებული შესყიდვა'!K:K,B178,'[1]გამარტივებული შესყიდვა'!N:N,"საკუთარი შემოსავლები",'[1]გამარტივებული შესყიდვა'!O:O,"2703030701"),0)</f>
        <v>4990</v>
      </c>
      <c r="M178" s="87">
        <v>0</v>
      </c>
      <c r="N178" s="87">
        <f>IF(G178="კონს. ტენდერი",SUMIFS('[1]კონსოლიდირებული ტენდერი'!L:L,'[1]კონსოლიდირებული ტენდერი'!E:E,B178,'[1]კონსოლიდირებული ტენდერი'!N:N,"საკუთარი შემოსავლები",'[1]კონსოლიდირებული ტენდერი'!O:O,"2703030701"),0)</f>
        <v>0</v>
      </c>
      <c r="O178" s="87">
        <v>0</v>
      </c>
      <c r="P178" s="87">
        <f>IF(G178="ელ. ტენდერი",SUMIFS('[1]ელ. ტენდერი'!N:N,'[1]ელ. ტენდერი'!G:G,B178,'[1]ელ. ტენდერი'!Q:Q,"საკუთარი შემოსავლები",'[1]ელ. ტენდერი'!R:R,"2703030701"),0)</f>
        <v>0</v>
      </c>
      <c r="Q178" s="88">
        <f t="shared" si="5"/>
        <v>0</v>
      </c>
    </row>
    <row r="179" spans="1:17" x14ac:dyDescent="0.25">
      <c r="A179" s="9">
        <v>5</v>
      </c>
      <c r="B179" s="53" t="s">
        <v>256</v>
      </c>
      <c r="C179" s="84" t="s">
        <v>25</v>
      </c>
      <c r="D179" s="49">
        <v>270106</v>
      </c>
      <c r="E179" s="61" t="s">
        <v>257</v>
      </c>
      <c r="F179" s="85">
        <f>1000+1000+1000</f>
        <v>3000</v>
      </c>
      <c r="G179" s="86" t="s">
        <v>27</v>
      </c>
      <c r="H179" s="25">
        <v>43466</v>
      </c>
      <c r="I179" s="25">
        <v>43830</v>
      </c>
      <c r="J179" s="32"/>
      <c r="K179" s="87">
        <f>IF(G179="გამ. შესყიდვა",SUMIFS('[1]გამარტივებული შესყიდვა'!L:L,'[1]გამარტივებული შესყიდვა'!K:K,B179,'[1]გამარტივებული შესყიდვა'!N:N,"საკუთარი შემოსავლები",'[1]გამარტივებული შესყიდვა'!O:O,"270106"),0)</f>
        <v>0</v>
      </c>
      <c r="L179" s="87">
        <v>0</v>
      </c>
      <c r="M179" s="87">
        <f>IF(G179="კონს. ტენდერი",SUMIFS('[1]კონსოლიდირებული ტენდერი'!L:L,'[1]კონსოლიდირებული ტენდერი'!E:E,B179,'[1]კონსოლიდირებული ტენდერი'!N:N,"საკუთარი შემოსავლები",'[1]კონსოლიდირებული ტენდერი'!O:O,"270106"),0)</f>
        <v>0</v>
      </c>
      <c r="N179" s="87">
        <v>0</v>
      </c>
      <c r="O179" s="87">
        <f>IF(G179="ელ. ტენდერი",SUMIFS('[1]ელ. ტენდერი'!N:N,'[1]ელ. ტენდერი'!G:G,B179,'[1]ელ. ტენდერი'!Q:Q,"საკუთარი შემოსავლები",'[1]ელ. ტენდერი'!R:R,"270106"),0)</f>
        <v>0</v>
      </c>
      <c r="P179" s="87">
        <v>0</v>
      </c>
      <c r="Q179" s="88">
        <f t="shared" si="5"/>
        <v>3000</v>
      </c>
    </row>
    <row r="180" spans="1:17" x14ac:dyDescent="0.25">
      <c r="A180" s="18">
        <v>6</v>
      </c>
      <c r="B180" s="53" t="s">
        <v>57</v>
      </c>
      <c r="C180" s="84" t="s">
        <v>25</v>
      </c>
      <c r="D180" s="49">
        <v>270106</v>
      </c>
      <c r="E180" s="22" t="s">
        <v>258</v>
      </c>
      <c r="F180" s="89">
        <f>2490+2000</f>
        <v>4490</v>
      </c>
      <c r="G180" s="86" t="s">
        <v>27</v>
      </c>
      <c r="H180" s="25">
        <v>43466</v>
      </c>
      <c r="I180" s="25">
        <v>43830</v>
      </c>
      <c r="J180" s="32"/>
      <c r="K180" s="87">
        <f>IF(G180="გამ. შესყიდვა",SUMIFS('[1]გამარტივებული შესყიდვა'!L:L,'[1]გამარტივებული შესყიდვა'!K:K,B180,'[1]გამარტივებული შესყიდვა'!N:N,"საკუთარი შემოსავლები",'[1]გამარტივებული შესყიდვა'!O:O,"270106"),0)</f>
        <v>0</v>
      </c>
      <c r="L180" s="87">
        <v>0</v>
      </c>
      <c r="M180" s="87">
        <f>IF(G180="კონს. ტენდერი",SUMIFS('[1]კონსოლიდირებული ტენდერი'!L:L,'[1]კონსოლიდირებული ტენდერი'!E:E,B180,'[1]კონსოლიდირებული ტენდერი'!N:N,"საკუთარი შემოსავლები",'[1]კონსოლიდირებული ტენდერი'!O:O,"270106"),0)</f>
        <v>0</v>
      </c>
      <c r="N180" s="87">
        <v>0</v>
      </c>
      <c r="O180" s="87">
        <f>IF(G180="ელ. ტენდერი",SUMIFS('[1]ელ. ტენდერი'!N:N,'[1]ელ. ტენდერი'!G:G,B180,'[1]ელ. ტენდერი'!Q:Q,"საკუთარი შემოსავლები",'[1]ელ. ტენდერი'!R:R,"270106"),0)</f>
        <v>0</v>
      </c>
      <c r="P180" s="87">
        <v>0</v>
      </c>
      <c r="Q180" s="88">
        <f t="shared" si="5"/>
        <v>4490</v>
      </c>
    </row>
    <row r="181" spans="1:17" x14ac:dyDescent="0.25">
      <c r="A181" s="18">
        <v>7</v>
      </c>
      <c r="B181" s="53" t="s">
        <v>57</v>
      </c>
      <c r="C181" s="84" t="s">
        <v>25</v>
      </c>
      <c r="D181" s="21">
        <v>2703030701</v>
      </c>
      <c r="E181" s="22" t="s">
        <v>258</v>
      </c>
      <c r="F181" s="89">
        <f>2500-2000</f>
        <v>500</v>
      </c>
      <c r="G181" s="86" t="s">
        <v>27</v>
      </c>
      <c r="H181" s="25">
        <v>43466</v>
      </c>
      <c r="I181" s="25">
        <v>43830</v>
      </c>
      <c r="J181" s="32"/>
      <c r="K181" s="87">
        <v>0</v>
      </c>
      <c r="L181" s="90">
        <v>405</v>
      </c>
      <c r="M181" s="87">
        <v>0</v>
      </c>
      <c r="N181" s="87">
        <f>IF(G181="კონს. ტენდერი",SUMIFS('[1]კონსოლიდირებული ტენდერი'!L:L,'[1]კონსოლიდირებული ტენდერი'!E:E,B181,'[1]კონსოლიდირებული ტენდერი'!N:N,"საკუთარი შემოსავლები",'[1]კონსოლიდირებული ტენდერი'!O:O,"2703030701"),0)</f>
        <v>0</v>
      </c>
      <c r="O181" s="87">
        <v>0</v>
      </c>
      <c r="P181" s="87">
        <f>IF(G181="ელ. ტენდერი",SUMIFS('[1]ელ. ტენდერი'!N:N,'[1]ელ. ტენდერი'!G:G,B181,'[1]ელ. ტენდერი'!Q:Q,"საკუთარი შემოსავლები",'[1]ელ. ტენდერი'!R:R,"2703030701"),0)</f>
        <v>0</v>
      </c>
      <c r="Q181" s="88">
        <f t="shared" si="5"/>
        <v>95</v>
      </c>
    </row>
    <row r="182" spans="1:17" x14ac:dyDescent="0.25">
      <c r="A182" s="9">
        <v>8</v>
      </c>
      <c r="B182" s="53" t="s">
        <v>57</v>
      </c>
      <c r="C182" s="84" t="s">
        <v>25</v>
      </c>
      <c r="D182" s="21">
        <v>2703030701</v>
      </c>
      <c r="E182" s="22" t="s">
        <v>258</v>
      </c>
      <c r="F182" s="89">
        <v>3600</v>
      </c>
      <c r="G182" s="86" t="s">
        <v>27</v>
      </c>
      <c r="H182" s="25">
        <v>44049</v>
      </c>
      <c r="I182" s="25">
        <v>43830</v>
      </c>
      <c r="J182" s="32" t="s">
        <v>259</v>
      </c>
      <c r="K182" s="87">
        <v>0</v>
      </c>
      <c r="L182" s="90">
        <v>3600</v>
      </c>
      <c r="M182" s="87">
        <v>0</v>
      </c>
      <c r="N182" s="87">
        <f>IF(G182="კონს. ტენდერი",SUMIFS('[1]კონსოლიდირებული ტენდერი'!L:L,'[1]კონსოლიდირებული ტენდერი'!E:E,B182,'[1]კონსოლიდირებული ტენდერი'!N:N,"საკუთარი შემოსავლები",'[1]კონსოლიდირებული ტენდერი'!O:O,"2703030701"),0)</f>
        <v>0</v>
      </c>
      <c r="O182" s="87">
        <v>0</v>
      </c>
      <c r="P182" s="87">
        <f>IF(G182="ელ. ტენდერი",SUMIFS('[1]ელ. ტენდერი'!N:N,'[1]ელ. ტენდერი'!G:G,B182,'[1]ელ. ტენდერი'!Q:Q,"საკუთარი შემოსავლები",'[1]ელ. ტენდერი'!R:R,"2703030701"),0)</f>
        <v>0</v>
      </c>
      <c r="Q182" s="88">
        <f t="shared" si="5"/>
        <v>0</v>
      </c>
    </row>
    <row r="183" spans="1:17" ht="15.75" x14ac:dyDescent="0.3">
      <c r="A183" s="9">
        <v>9</v>
      </c>
      <c r="B183" s="91" t="s">
        <v>60</v>
      </c>
      <c r="C183" s="84" t="s">
        <v>25</v>
      </c>
      <c r="D183" s="49">
        <v>270106</v>
      </c>
      <c r="E183" s="92" t="s">
        <v>61</v>
      </c>
      <c r="F183" s="89">
        <f>1500+2700</f>
        <v>4200</v>
      </c>
      <c r="G183" s="86" t="s">
        <v>27</v>
      </c>
      <c r="H183" s="25">
        <v>43466</v>
      </c>
      <c r="I183" s="25">
        <v>43830</v>
      </c>
      <c r="J183" s="32"/>
      <c r="K183" s="87">
        <f>IF(G183="გამ. შესყიდვა",SUMIFS('[1]გამარტივებული შესყიდვა'!L:L,'[1]გამარტივებული შესყიდვა'!K:K,B183,'[1]გამარტივებული შესყიდვა'!N:N,"საკუთარი შემოსავლები",'[1]გამარტივებული შესყიდვა'!O:O,"270106"),0)</f>
        <v>0</v>
      </c>
      <c r="L183" s="87">
        <v>0</v>
      </c>
      <c r="M183" s="87">
        <f>IF(G183="კონს. ტენდერი",SUMIFS('[1]კონსოლიდირებული ტენდერი'!L:L,'[1]კონსოლიდირებული ტენდერი'!E:E,B183,'[1]კონსოლიდირებული ტენდერი'!N:N,"საკუთარი შემოსავლები",'[1]კონსოლიდირებული ტენდერი'!O:O,"270106"),0)</f>
        <v>0</v>
      </c>
      <c r="N183" s="87">
        <v>0</v>
      </c>
      <c r="O183" s="87">
        <f>IF(G183="ელ. ტენდერი",SUMIFS('[1]ელ. ტენდერი'!N:N,'[1]ელ. ტენდერი'!G:G,B183,'[1]ელ. ტენდერი'!Q:Q,"საკუთარი შემოსავლები",'[1]ელ. ტენდერი'!R:R,"270106"),0)</f>
        <v>0</v>
      </c>
      <c r="P183" s="87">
        <v>0</v>
      </c>
      <c r="Q183" s="88">
        <f t="shared" si="5"/>
        <v>4200</v>
      </c>
    </row>
    <row r="184" spans="1:17" x14ac:dyDescent="0.25">
      <c r="A184" s="18">
        <v>10</v>
      </c>
      <c r="B184" s="19" t="s">
        <v>62</v>
      </c>
      <c r="C184" s="20" t="s">
        <v>25</v>
      </c>
      <c r="D184" s="21">
        <v>2703030701</v>
      </c>
      <c r="E184" s="22" t="s">
        <v>63</v>
      </c>
      <c r="F184" s="23">
        <v>4990</v>
      </c>
      <c r="G184" s="24" t="s">
        <v>27</v>
      </c>
      <c r="H184" s="25">
        <v>43831</v>
      </c>
      <c r="I184" s="25">
        <v>44196</v>
      </c>
      <c r="J184" s="32"/>
      <c r="K184" s="87">
        <v>0</v>
      </c>
      <c r="L184" s="87">
        <f>IF(G184="გამ. შესყიდვა",SUMIFS('[1]გამარტივებული შესყიდვა'!L:L,'[1]გამარტივებული შესყიდვა'!K:K,B184,'[1]გამარტივებული შესყიდვა'!N:N,"საკუთარი შემოსავლები",'[1]გამარტივებული შესყიდვა'!O:O,"2703030701"),0)</f>
        <v>4900</v>
      </c>
      <c r="M184" s="87">
        <v>0</v>
      </c>
      <c r="N184" s="87">
        <f>IF(G184="კონს. ტენდერი",SUMIFS('[1]კონსოლიდირებული ტენდერი'!L:L,'[1]კონსოლიდირებული ტენდერი'!E:E,B184,'[1]კონსოლიდირებული ტენდერი'!N:N,"საკუთარი შემოსავლები",'[1]კონსოლიდირებული ტენდერი'!O:O,"2703030701"),0)</f>
        <v>0</v>
      </c>
      <c r="O184" s="87">
        <v>0</v>
      </c>
      <c r="P184" s="87">
        <f>IF(G184="ელ. ტენდერი",SUMIFS('[1]ელ. ტენდერი'!N:N,'[1]ელ. ტენდერი'!G:G,B184,'[1]ელ. ტენდერი'!Q:Q,"საკუთარი შემოსავლები",'[1]ელ. ტენდერი'!R:R,"2703030701"),0)</f>
        <v>0</v>
      </c>
      <c r="Q184" s="88">
        <f t="shared" si="5"/>
        <v>90</v>
      </c>
    </row>
    <row r="185" spans="1:17" x14ac:dyDescent="0.25">
      <c r="A185" s="18">
        <v>11</v>
      </c>
      <c r="B185" s="53" t="s">
        <v>68</v>
      </c>
      <c r="C185" s="84" t="s">
        <v>25</v>
      </c>
      <c r="D185" s="49">
        <v>270106</v>
      </c>
      <c r="E185" s="61" t="s">
        <v>69</v>
      </c>
      <c r="F185" s="89">
        <v>2000</v>
      </c>
      <c r="G185" s="86" t="s">
        <v>27</v>
      </c>
      <c r="H185" s="25">
        <v>43466</v>
      </c>
      <c r="I185" s="25">
        <v>43830</v>
      </c>
      <c r="J185" s="32"/>
      <c r="K185" s="87">
        <f>IF(G185="გამ. შესყიდვა",SUMIFS('[1]გამარტივებული შესყიდვა'!L:L,'[1]გამარტივებული შესყიდვა'!K:K,B185,'[1]გამარტივებული შესყიდვა'!N:N,"საკუთარი შემოსავლები",'[1]გამარტივებული შესყიდვა'!O:O,"270106"),0)</f>
        <v>382</v>
      </c>
      <c r="L185" s="87">
        <v>0</v>
      </c>
      <c r="M185" s="87">
        <f>IF(G185="კონს. ტენდერი",SUMIFS('[1]კონსოლიდირებული ტენდერი'!L:L,'[1]კონსოლიდირებული ტენდერი'!E:E,B185,'[1]კონსოლიდირებული ტენდერი'!N:N,"საკუთარი შემოსავლები",'[1]კონსოლიდირებული ტენდერი'!O:O,"270106"),0)</f>
        <v>0</v>
      </c>
      <c r="N185" s="87">
        <v>0</v>
      </c>
      <c r="O185" s="87">
        <f>IF(G185="ელ. ტენდერი",SUMIFS('[1]ელ. ტენდერი'!N:N,'[1]ელ. ტენდერი'!G:G,B185,'[1]ელ. ტენდერი'!Q:Q,"საკუთარი შემოსავლები",'[1]ელ. ტენდერი'!R:R,"270106"),0)</f>
        <v>0</v>
      </c>
      <c r="P185" s="87">
        <v>0</v>
      </c>
      <c r="Q185" s="88">
        <f t="shared" si="5"/>
        <v>1618</v>
      </c>
    </row>
    <row r="186" spans="1:17" x14ac:dyDescent="0.25">
      <c r="A186" s="9">
        <v>12</v>
      </c>
      <c r="B186" s="53" t="s">
        <v>68</v>
      </c>
      <c r="C186" s="84" t="s">
        <v>25</v>
      </c>
      <c r="D186" s="21">
        <v>2703030701</v>
      </c>
      <c r="E186" s="61" t="s">
        <v>69</v>
      </c>
      <c r="F186" s="89">
        <f>2000-250</f>
        <v>1750</v>
      </c>
      <c r="G186" s="86" t="s">
        <v>27</v>
      </c>
      <c r="H186" s="25">
        <v>43466</v>
      </c>
      <c r="I186" s="25">
        <v>43830</v>
      </c>
      <c r="J186" s="32"/>
      <c r="K186" s="87">
        <v>0</v>
      </c>
      <c r="L186" s="87">
        <f>IF(G186="გამ. შესყიდვა",SUMIFS('[1]გამარტივებული შესყიდვა'!L:L,'[1]გამარტივებული შესყიდვა'!K:K,B186,'[1]გამარტივებული შესყიდვა'!N:N,"საკუთარი შემოსავლები",'[1]გამარტივებული შესყიდვა'!O:O,"2703030701"),0)</f>
        <v>112</v>
      </c>
      <c r="M186" s="87">
        <v>0</v>
      </c>
      <c r="N186" s="87">
        <f>IF(G186="კონს. ტენდერი",SUMIFS('[1]კონსოლიდირებული ტენდერი'!L:L,'[1]კონსოლიდირებული ტენდერი'!E:E,B186,'[1]კონსოლიდირებული ტენდერი'!N:N,"საკუთარი შემოსავლები",'[1]კონსოლიდირებული ტენდერი'!O:O,"2703030701"),0)</f>
        <v>0</v>
      </c>
      <c r="O186" s="87">
        <v>0</v>
      </c>
      <c r="P186" s="87">
        <f>IF(G186="ელ. ტენდერი",SUMIFS('[1]ელ. ტენდერი'!N:N,'[1]ელ. ტენდერი'!G:G,B186,'[1]ელ. ტენდერი'!Q:Q,"საკუთარი შემოსავლები",'[1]ელ. ტენდერი'!R:R,"2703030701"),0)</f>
        <v>0</v>
      </c>
      <c r="Q186" s="88">
        <f t="shared" si="5"/>
        <v>1638</v>
      </c>
    </row>
    <row r="187" spans="1:17" x14ac:dyDescent="0.25">
      <c r="A187" s="9">
        <v>13</v>
      </c>
      <c r="B187" s="19" t="s">
        <v>70</v>
      </c>
      <c r="C187" s="84" t="s">
        <v>72</v>
      </c>
      <c r="D187" s="49">
        <v>270106</v>
      </c>
      <c r="E187" s="61" t="s">
        <v>71</v>
      </c>
      <c r="F187" s="23">
        <f>2000+2990</f>
        <v>4990</v>
      </c>
      <c r="G187" s="86" t="s">
        <v>27</v>
      </c>
      <c r="H187" s="25">
        <v>43466</v>
      </c>
      <c r="I187" s="25">
        <v>43830</v>
      </c>
      <c r="J187" s="32"/>
      <c r="K187" s="87">
        <f>IF(G187="გამ. შესყიდვა",SUMIFS('[1]გამარტივებული შესყიდვა'!L:L,'[1]გამარტივებული შესყიდვა'!K:K,B187,'[1]გამარტივებული შესყიდვა'!N:N,"საკუთარი შემოსავლები",'[1]გამარტივებული შესყიდვა'!O:O,"270106"),0)</f>
        <v>4552</v>
      </c>
      <c r="L187" s="87">
        <v>0</v>
      </c>
      <c r="M187" s="87">
        <f>IF(G187="კონს. ტენდერი",SUMIFS('[1]კონსოლიდირებული ტენდერი'!L:L,'[1]კონსოლიდირებული ტენდერი'!E:E,B187,'[1]კონსოლიდირებული ტენდერი'!N:N,"საკუთარი შემოსავლები",'[1]კონსოლიდირებული ტენდერი'!O:O,"270106"),0)</f>
        <v>0</v>
      </c>
      <c r="N187" s="87">
        <v>0</v>
      </c>
      <c r="O187" s="87">
        <f>IF(G187="ელ. ტენდერი",SUMIFS('[1]ელ. ტენდერი'!N:N,'[1]ელ. ტენდერი'!G:G,B187,'[1]ელ. ტენდერი'!Q:Q,"საკუთარი შემოსავლები",'[1]ელ. ტენდერი'!R:R,"270106"),0)</f>
        <v>0</v>
      </c>
      <c r="P187" s="87">
        <v>0</v>
      </c>
      <c r="Q187" s="88">
        <f t="shared" si="5"/>
        <v>438</v>
      </c>
    </row>
    <row r="188" spans="1:17" x14ac:dyDescent="0.25">
      <c r="A188" s="18">
        <v>14</v>
      </c>
      <c r="B188" s="19" t="s">
        <v>77</v>
      </c>
      <c r="C188" s="84" t="s">
        <v>25</v>
      </c>
      <c r="D188" s="49">
        <v>270106</v>
      </c>
      <c r="E188" s="61" t="s">
        <v>78</v>
      </c>
      <c r="F188" s="23">
        <v>1000</v>
      </c>
      <c r="G188" s="86" t="s">
        <v>27</v>
      </c>
      <c r="H188" s="25">
        <v>43466</v>
      </c>
      <c r="I188" s="25">
        <v>43830</v>
      </c>
      <c r="J188" s="32"/>
      <c r="K188" s="87">
        <f>IF(G188="გამ. შესყიდვა",SUMIFS('[1]გამარტივებული შესყიდვა'!L:L,'[1]გამარტივებული შესყიდვა'!K:K,B188,'[1]გამარტივებული შესყიდვა'!N:N,"საკუთარი შემოსავლები",'[1]გამარტივებული შესყიდვა'!O:O,"270106"),0)</f>
        <v>0</v>
      </c>
      <c r="L188" s="87">
        <v>0</v>
      </c>
      <c r="M188" s="87">
        <f>IF(G188="კონს. ტენდერი",SUMIFS('[1]კონსოლიდირებული ტენდერი'!L:L,'[1]კონსოლიდირებული ტენდერი'!E:E,B188,'[1]კონსოლიდირებული ტენდერი'!N:N,"საკუთარი შემოსავლები",'[1]კონსოლიდირებული ტენდერი'!O:O,"270106"),0)</f>
        <v>0</v>
      </c>
      <c r="N188" s="87">
        <v>0</v>
      </c>
      <c r="O188" s="87">
        <f>IF(G188="ელ. ტენდერი",SUMIFS('[1]ელ. ტენდერი'!N:N,'[1]ელ. ტენდერი'!G:G,B188,'[1]ელ. ტენდერი'!Q:Q,"საკუთარი შემოსავლები",'[1]ელ. ტენდერი'!R:R,"270106"),0)</f>
        <v>0</v>
      </c>
      <c r="P188" s="87">
        <v>0</v>
      </c>
      <c r="Q188" s="88">
        <f t="shared" si="5"/>
        <v>1000</v>
      </c>
    </row>
    <row r="189" spans="1:17" x14ac:dyDescent="0.25">
      <c r="A189" s="18">
        <v>15</v>
      </c>
      <c r="B189" s="19" t="s">
        <v>77</v>
      </c>
      <c r="C189" s="84" t="s">
        <v>25</v>
      </c>
      <c r="D189" s="21">
        <v>2703030701</v>
      </c>
      <c r="E189" s="61" t="s">
        <v>78</v>
      </c>
      <c r="F189" s="23">
        <v>1000</v>
      </c>
      <c r="G189" s="86" t="s">
        <v>27</v>
      </c>
      <c r="H189" s="25">
        <v>43466</v>
      </c>
      <c r="I189" s="25">
        <v>43830</v>
      </c>
      <c r="J189" s="32"/>
      <c r="K189" s="87">
        <v>0</v>
      </c>
      <c r="L189" s="87">
        <f>IF(G189="გამ. შესყიდვა",SUMIFS('[1]გამარტივებული შესყიდვა'!L:L,'[1]გამარტივებული შესყიდვა'!K:K,B189,'[1]გამარტივებული შესყიდვა'!N:N,"საკუთარი შემოსავლები",'[1]გამარტივებული შესყიდვა'!O:O,"2703030701"),0)</f>
        <v>0</v>
      </c>
      <c r="M189" s="87">
        <v>0</v>
      </c>
      <c r="N189" s="87">
        <f>IF(G189="კონს. ტენდერი",SUMIFS('[1]კონსოლიდირებული ტენდერი'!L:L,'[1]კონსოლიდირებული ტენდერი'!E:E,B189,'[1]კონსოლიდირებული ტენდერი'!N:N,"საკუთარი შემოსავლები",'[1]კონსოლიდირებული ტენდერი'!O:O,"2703030701"),0)</f>
        <v>0</v>
      </c>
      <c r="O189" s="87">
        <v>0</v>
      </c>
      <c r="P189" s="87">
        <f>IF(G189="ელ. ტენდერი",SUMIFS('[1]ელ. ტენდერი'!N:N,'[1]ელ. ტენდერი'!G:G,B189,'[1]ელ. ტენდერი'!Q:Q,"საკუთარი შემოსავლები",'[1]ელ. ტენდერი'!R:R,"2703030701"),0)</f>
        <v>0</v>
      </c>
      <c r="Q189" s="88">
        <f t="shared" si="5"/>
        <v>1000</v>
      </c>
    </row>
    <row r="190" spans="1:17" x14ac:dyDescent="0.25">
      <c r="A190" s="9">
        <v>16</v>
      </c>
      <c r="B190" s="19" t="s">
        <v>79</v>
      </c>
      <c r="C190" s="84" t="s">
        <v>25</v>
      </c>
      <c r="D190" s="49">
        <v>270106</v>
      </c>
      <c r="E190" s="61" t="s">
        <v>260</v>
      </c>
      <c r="F190" s="23">
        <v>1000</v>
      </c>
      <c r="G190" s="86" t="s">
        <v>27</v>
      </c>
      <c r="H190" s="25">
        <v>43466</v>
      </c>
      <c r="I190" s="25">
        <v>43830</v>
      </c>
      <c r="J190" s="32"/>
      <c r="K190" s="87">
        <f>IF(G190="გამ. შესყიდვა",SUMIFS('[1]გამარტივებული შესყიდვა'!L:L,'[1]გამარტივებული შესყიდვა'!K:K,B190,'[1]გამარტივებული შესყიდვა'!N:N,"საკუთარი შემოსავლები",'[1]გამარტივებული შესყიდვა'!O:O,"270106"),0)</f>
        <v>0</v>
      </c>
      <c r="L190" s="87">
        <v>0</v>
      </c>
      <c r="M190" s="87">
        <f>IF(G190="კონს. ტენდერი",SUMIFS('[1]კონსოლიდირებული ტენდერი'!L:L,'[1]კონსოლიდირებული ტენდერი'!E:E,B190,'[1]კონსოლიდირებული ტენდერი'!N:N,"საკუთარი შემოსავლები",'[1]კონსოლიდირებული ტენდერი'!O:O,"270106"),0)</f>
        <v>0</v>
      </c>
      <c r="N190" s="87">
        <v>0</v>
      </c>
      <c r="O190" s="87">
        <f>IF(G190="ელ. ტენდერი",SUMIFS('[1]ელ. ტენდერი'!N:N,'[1]ელ. ტენდერი'!G:G,B190,'[1]ელ. ტენდერი'!Q:Q,"საკუთარი შემოსავლები",'[1]ელ. ტენდერი'!R:R,"270106"),0)</f>
        <v>0</v>
      </c>
      <c r="P190" s="87">
        <v>0</v>
      </c>
      <c r="Q190" s="88">
        <f t="shared" si="5"/>
        <v>1000</v>
      </c>
    </row>
    <row r="191" spans="1:17" x14ac:dyDescent="0.25">
      <c r="A191" s="9">
        <v>17</v>
      </c>
      <c r="B191" s="19" t="s">
        <v>79</v>
      </c>
      <c r="C191" s="84" t="s">
        <v>25</v>
      </c>
      <c r="D191" s="21">
        <v>2703030701</v>
      </c>
      <c r="E191" s="61" t="s">
        <v>260</v>
      </c>
      <c r="F191" s="23">
        <v>1000</v>
      </c>
      <c r="G191" s="86" t="s">
        <v>27</v>
      </c>
      <c r="H191" s="25">
        <v>43466</v>
      </c>
      <c r="I191" s="25">
        <v>43830</v>
      </c>
      <c r="J191" s="32"/>
      <c r="K191" s="87">
        <v>0</v>
      </c>
      <c r="L191" s="87">
        <f>IF(G191="გამ. შესყიდვა",SUMIFS('[1]გამარტივებული შესყიდვა'!L:L,'[1]გამარტივებული შესყიდვა'!K:K,B191,'[1]გამარტივებული შესყიდვა'!N:N,"საკუთარი შემოსავლები",'[1]გამარტივებული შესყიდვა'!O:O,"2703030701"),0)</f>
        <v>0</v>
      </c>
      <c r="M191" s="87">
        <v>0</v>
      </c>
      <c r="N191" s="87">
        <f>IF(G191="კონს. ტენდერი",SUMIFS('[1]კონსოლიდირებული ტენდერი'!L:L,'[1]კონსოლიდირებული ტენდერი'!E:E,B191,'[1]კონსოლიდირებული ტენდერი'!N:N,"საკუთარი შემოსავლები",'[1]კონსოლიდირებული ტენდერი'!O:O,"2703030701"),0)</f>
        <v>0</v>
      </c>
      <c r="O191" s="87">
        <v>0</v>
      </c>
      <c r="P191" s="87">
        <f>IF(G191="ელ. ტენდერი",SUMIFS('[1]ელ. ტენდერი'!N:N,'[1]ელ. ტენდერი'!G:G,B191,'[1]ელ. ტენდერი'!Q:Q,"საკუთარი შემოსავლები",'[1]ელ. ტენდერი'!R:R,"2703030701"),0)</f>
        <v>0</v>
      </c>
      <c r="Q191" s="88">
        <f t="shared" si="5"/>
        <v>1000</v>
      </c>
    </row>
    <row r="192" spans="1:17" x14ac:dyDescent="0.25">
      <c r="A192" s="18">
        <v>18</v>
      </c>
      <c r="B192" s="38" t="s">
        <v>81</v>
      </c>
      <c r="C192" s="84" t="s">
        <v>25</v>
      </c>
      <c r="D192" s="21">
        <v>2703030701</v>
      </c>
      <c r="E192" s="61" t="s">
        <v>261</v>
      </c>
      <c r="F192" s="23">
        <f>1000+1500+2390</f>
        <v>4890</v>
      </c>
      <c r="G192" s="86" t="s">
        <v>27</v>
      </c>
      <c r="H192" s="25">
        <v>43466</v>
      </c>
      <c r="I192" s="25">
        <v>43830</v>
      </c>
      <c r="J192" s="32"/>
      <c r="K192" s="87">
        <v>0</v>
      </c>
      <c r="L192" s="87">
        <f>IF(G192="გამ. შესყიდვა",SUMIFS('[1]გამარტივებული შესყიდვა'!L:L,'[1]გამარტივებული შესყიდვა'!K:K,B192,'[1]გამარტივებული შესყიდვა'!N:N,"საკუთარი შემოსავლები",'[1]გამარტივებული შესყიდვა'!O:O,"2703030701"),0)</f>
        <v>2320</v>
      </c>
      <c r="M192" s="87">
        <v>0</v>
      </c>
      <c r="N192" s="87">
        <f>IF(G192="კონს. ტენდერი",SUMIFS('[1]კონსოლიდირებული ტენდერი'!L:L,'[1]კონსოლიდირებული ტენდერი'!E:E,B192,'[1]კონსოლიდირებული ტენდერი'!N:N,"საკუთარი შემოსავლები",'[1]კონსოლიდირებული ტენდერი'!O:O,"2703030701"),0)</f>
        <v>0</v>
      </c>
      <c r="O192" s="87">
        <v>0</v>
      </c>
      <c r="P192" s="87">
        <f>IF(G192="ელ. ტენდერი",SUMIFS('[1]ელ. ტენდერი'!N:N,'[1]ელ. ტენდერი'!G:G,B192,'[1]ელ. ტენდერი'!Q:Q,"საკუთარი შემოსავლები",'[1]ელ. ტენდერი'!R:R,"2703030701"),0)</f>
        <v>0</v>
      </c>
      <c r="Q192" s="88">
        <f t="shared" si="5"/>
        <v>2570</v>
      </c>
    </row>
    <row r="193" spans="1:17" x14ac:dyDescent="0.25">
      <c r="A193" s="18">
        <v>19</v>
      </c>
      <c r="B193" s="30" t="s">
        <v>81</v>
      </c>
      <c r="C193" s="84" t="s">
        <v>25</v>
      </c>
      <c r="D193" s="49">
        <v>270106</v>
      </c>
      <c r="E193" s="61" t="s">
        <v>261</v>
      </c>
      <c r="F193" s="23">
        <f>1000-900</f>
        <v>100</v>
      </c>
      <c r="G193" s="86" t="s">
        <v>27</v>
      </c>
      <c r="H193" s="25">
        <v>43466</v>
      </c>
      <c r="I193" s="25">
        <v>43830</v>
      </c>
      <c r="J193" s="32"/>
      <c r="K193" s="87">
        <f>IF(G193="გამ. შესყიდვა",SUMIFS('[1]გამარტივებული შესყიდვა'!L:L,'[1]გამარტივებული შესყიდვა'!K:K,B193,'[1]გამარტივებული შესყიდვა'!N:N,"საკუთარი შემოსავლები",'[1]გამარტივებული შესყიდვა'!O:O,"270106"),0)</f>
        <v>100</v>
      </c>
      <c r="L193" s="87">
        <v>0</v>
      </c>
      <c r="M193" s="87">
        <f>IF(G193="კონს. ტენდერი",SUMIFS('[1]კონსოლიდირებული ტენდერი'!L:L,'[1]კონსოლიდირებული ტენდერი'!E:E,B193,'[1]კონსოლიდირებული ტენდერი'!N:N,"საკუთარი შემოსავლები",'[1]კონსოლიდირებული ტენდერი'!O:O,"270106"),0)</f>
        <v>0</v>
      </c>
      <c r="N193" s="87">
        <v>0</v>
      </c>
      <c r="O193" s="87">
        <f>IF(G193="ელ. ტენდერი",SUMIFS('[1]ელ. ტენდერი'!N:N,'[1]ელ. ტენდერი'!G:G,B193,'[1]ელ. ტენდერი'!Q:Q,"საკუთარი შემოსავლები",'[1]ელ. ტენდერი'!R:R,"270106"),0)</f>
        <v>0</v>
      </c>
      <c r="P193" s="87">
        <v>0</v>
      </c>
      <c r="Q193" s="88">
        <f t="shared" si="5"/>
        <v>0</v>
      </c>
    </row>
    <row r="194" spans="1:17" x14ac:dyDescent="0.25">
      <c r="A194" s="9">
        <v>20</v>
      </c>
      <c r="B194" s="19" t="s">
        <v>85</v>
      </c>
      <c r="C194" s="84" t="s">
        <v>25</v>
      </c>
      <c r="D194" s="21">
        <v>2703030701</v>
      </c>
      <c r="E194" s="61" t="s">
        <v>86</v>
      </c>
      <c r="F194" s="23">
        <v>500</v>
      </c>
      <c r="G194" s="86" t="s">
        <v>27</v>
      </c>
      <c r="H194" s="25">
        <v>43466</v>
      </c>
      <c r="I194" s="25">
        <v>43830</v>
      </c>
      <c r="J194" s="32"/>
      <c r="K194" s="87">
        <v>0</v>
      </c>
      <c r="L194" s="87">
        <f>IF(G194="გამ. შესყიდვა",SUMIFS('[1]გამარტივებული შესყიდვა'!L:L,'[1]გამარტივებული შესყიდვა'!K:K,B194,'[1]გამარტივებული შესყიდვა'!N:N,"საკუთარი შემოსავლები",'[1]გამარტივებული შესყიდვა'!O:O,"2703030701"),0)</f>
        <v>0</v>
      </c>
      <c r="M194" s="87">
        <v>0</v>
      </c>
      <c r="N194" s="87">
        <f>IF(G194="კონს. ტენდერი",SUMIFS('[1]კონსოლიდირებული ტენდერი'!L:L,'[1]კონსოლიდირებული ტენდერი'!E:E,B194,'[1]კონსოლიდირებული ტენდერი'!N:N,"საკუთარი შემოსავლები",'[1]კონსოლიდირებული ტენდერი'!O:O,"2703030701"),0)</f>
        <v>0</v>
      </c>
      <c r="O194" s="87">
        <v>0</v>
      </c>
      <c r="P194" s="87">
        <f>IF(G194="ელ. ტენდერი",SUMIFS('[1]ელ. ტენდერი'!N:N,'[1]ელ. ტენდერი'!G:G,B194,'[1]ელ. ტენდერი'!Q:Q,"საკუთარი შემოსავლები",'[1]ელ. ტენდერი'!R:R,"2703030701"),0)</f>
        <v>0</v>
      </c>
      <c r="Q194" s="88">
        <f t="shared" si="5"/>
        <v>500</v>
      </c>
    </row>
    <row r="195" spans="1:17" x14ac:dyDescent="0.25">
      <c r="A195" s="9">
        <v>21</v>
      </c>
      <c r="B195" s="53" t="s">
        <v>87</v>
      </c>
      <c r="C195" s="84" t="s">
        <v>25</v>
      </c>
      <c r="D195" s="21">
        <v>2703030701</v>
      </c>
      <c r="E195" s="61" t="s">
        <v>262</v>
      </c>
      <c r="F195" s="23">
        <v>1000</v>
      </c>
      <c r="G195" s="86" t="s">
        <v>27</v>
      </c>
      <c r="H195" s="25">
        <v>43466</v>
      </c>
      <c r="I195" s="25">
        <v>43830</v>
      </c>
      <c r="J195" s="32"/>
      <c r="K195" s="87">
        <v>0</v>
      </c>
      <c r="L195" s="87">
        <f>IF(G195="გამ. შესყიდვა",SUMIFS('[1]გამარტივებული შესყიდვა'!L:L,'[1]გამარტივებული შესყიდვა'!K:K,B195,'[1]გამარტივებული შესყიდვა'!N:N,"საკუთარი შემოსავლები",'[1]გამარტივებული შესყიდვა'!O:O,"2703030701"),0)</f>
        <v>975</v>
      </c>
      <c r="M195" s="87">
        <v>0</v>
      </c>
      <c r="N195" s="87">
        <f>IF(G195="კონს. ტენდერი",SUMIFS('[1]კონსოლიდირებული ტენდერი'!L:L,'[1]კონსოლიდირებული ტენდერი'!E:E,B195,'[1]კონსოლიდირებული ტენდერი'!N:N,"საკუთარი შემოსავლები",'[1]კონსოლიდირებული ტენდერი'!O:O,"2703030701"),0)</f>
        <v>0</v>
      </c>
      <c r="O195" s="87">
        <v>0</v>
      </c>
      <c r="P195" s="87">
        <f>IF(G195="ელ. ტენდერი",SUMIFS('[1]ელ. ტენდერი'!N:N,'[1]ელ. ტენდერი'!G:G,B195,'[1]ელ. ტენდერი'!Q:Q,"საკუთარი შემოსავლები",'[1]ელ. ტენდერი'!R:R,"2703030701"),0)</f>
        <v>0</v>
      </c>
      <c r="Q195" s="88">
        <f t="shared" si="5"/>
        <v>25</v>
      </c>
    </row>
    <row r="196" spans="1:17" x14ac:dyDescent="0.25">
      <c r="A196" s="18">
        <v>22</v>
      </c>
      <c r="B196" s="53" t="s">
        <v>89</v>
      </c>
      <c r="C196" s="84" t="s">
        <v>25</v>
      </c>
      <c r="D196" s="21">
        <v>2703030701</v>
      </c>
      <c r="E196" s="61" t="s">
        <v>90</v>
      </c>
      <c r="F196" s="23">
        <v>4250</v>
      </c>
      <c r="G196" s="86" t="s">
        <v>27</v>
      </c>
      <c r="H196" s="25">
        <v>43879</v>
      </c>
      <c r="I196" s="25">
        <v>43830</v>
      </c>
      <c r="J196" s="32"/>
      <c r="K196" s="87">
        <v>0</v>
      </c>
      <c r="L196" s="87">
        <f>IF(G196="გამ. შესყიდვა",SUMIFS('[1]გამარტივებული შესყიდვა'!L:L,'[1]გამარტივებული შესყიდვა'!K:K,B196,'[1]გამარტივებული შესყიდვა'!N:N,"საკუთარი შემოსავლები",'[1]გამარტივებული შესყიდვა'!O:O,"2703030701"),0)</f>
        <v>4225</v>
      </c>
      <c r="M196" s="87">
        <v>0</v>
      </c>
      <c r="N196" s="87">
        <f>IF(G196="კონს. ტენდერი",SUMIFS('[1]კონსოლიდირებული ტენდერი'!L:L,'[1]კონსოლიდირებული ტენდერი'!E:E,B196,'[1]კონსოლიდირებული ტენდერი'!N:N,"საკუთარი შემოსავლები",'[1]კონსოლიდირებული ტენდერი'!O:O,"2703030701"),0)</f>
        <v>0</v>
      </c>
      <c r="O196" s="87">
        <v>0</v>
      </c>
      <c r="P196" s="87">
        <f>IF(G196="ელ. ტენდერი",SUMIFS('[1]ელ. ტენდერი'!N:N,'[1]ელ. ტენდერი'!G:G,B196,'[1]ელ. ტენდერი'!Q:Q,"საკუთარი შემოსავლები",'[1]ელ. ტენდერი'!R:R,"2703030701"),0)</f>
        <v>0</v>
      </c>
      <c r="Q196" s="88">
        <f t="shared" si="5"/>
        <v>25</v>
      </c>
    </row>
    <row r="197" spans="1:17" x14ac:dyDescent="0.25">
      <c r="A197" s="18">
        <v>23</v>
      </c>
      <c r="B197" s="53" t="s">
        <v>91</v>
      </c>
      <c r="C197" s="84" t="s">
        <v>25</v>
      </c>
      <c r="D197" s="49">
        <v>270106</v>
      </c>
      <c r="E197" s="61" t="s">
        <v>92</v>
      </c>
      <c r="F197" s="23">
        <v>2000</v>
      </c>
      <c r="G197" s="86" t="s">
        <v>27</v>
      </c>
      <c r="H197" s="25">
        <v>43466</v>
      </c>
      <c r="I197" s="25">
        <v>43830</v>
      </c>
      <c r="J197" s="32"/>
      <c r="K197" s="87">
        <f>IF(G197="გამ. შესყიდვა",SUMIFS('[1]გამარტივებული შესყიდვა'!L:L,'[1]გამარტივებული შესყიდვა'!K:K,B197,'[1]გამარტივებული შესყიდვა'!N:N,"საკუთარი შემოსავლები",'[1]გამარტივებული შესყიდვა'!O:O,"270106"),0)</f>
        <v>0</v>
      </c>
      <c r="L197" s="87">
        <v>0</v>
      </c>
      <c r="M197" s="87">
        <f>IF(G197="კონს. ტენდერი",SUMIFS('[1]კონსოლიდირებული ტენდერი'!L:L,'[1]კონსოლიდირებული ტენდერი'!E:E,B197,'[1]კონსოლიდირებული ტენდერი'!N:N,"საკუთარი შემოსავლები",'[1]კონსოლიდირებული ტენდერი'!O:O,"270106"),0)</f>
        <v>0</v>
      </c>
      <c r="N197" s="87">
        <v>0</v>
      </c>
      <c r="O197" s="87">
        <f>IF(G197="ელ. ტენდერი",SUMIFS('[1]ელ. ტენდერი'!N:N,'[1]ელ. ტენდერი'!G:G,B197,'[1]ელ. ტენდერი'!Q:Q,"საკუთარი შემოსავლები",'[1]ელ. ტენდერი'!R:R,"270106"),0)</f>
        <v>0</v>
      </c>
      <c r="P197" s="87">
        <v>0</v>
      </c>
      <c r="Q197" s="88">
        <f t="shared" si="5"/>
        <v>2000</v>
      </c>
    </row>
    <row r="198" spans="1:17" x14ac:dyDescent="0.25">
      <c r="A198" s="9">
        <v>24</v>
      </c>
      <c r="B198" s="53" t="s">
        <v>93</v>
      </c>
      <c r="C198" s="84" t="s">
        <v>25</v>
      </c>
      <c r="D198" s="49">
        <v>270106</v>
      </c>
      <c r="E198" s="22" t="s">
        <v>94</v>
      </c>
      <c r="F198" s="23">
        <v>800</v>
      </c>
      <c r="G198" s="86" t="s">
        <v>27</v>
      </c>
      <c r="H198" s="25">
        <v>43466</v>
      </c>
      <c r="I198" s="25">
        <v>43830</v>
      </c>
      <c r="J198" s="32"/>
      <c r="K198" s="87">
        <f>IF(G198="გამ. შესყიდვა",SUMIFS('[1]გამარტივებული შესყიდვა'!L:L,'[1]გამარტივებული შესყიდვა'!K:K,B198,'[1]გამარტივებული შესყიდვა'!N:N,"საკუთარი შემოსავლები",'[1]გამარტივებული შესყიდვა'!O:O,"270106"),0)</f>
        <v>0</v>
      </c>
      <c r="L198" s="87">
        <v>0</v>
      </c>
      <c r="M198" s="87">
        <f>IF(G198="კონს. ტენდერი",SUMIFS('[1]კონსოლიდირებული ტენდერი'!L:L,'[1]კონსოლიდირებული ტენდერი'!E:E,B198,'[1]კონსოლიდირებული ტენდერი'!N:N,"საკუთარი შემოსავლები",'[1]კონსოლიდირებული ტენდერი'!O:O,"270106"),0)</f>
        <v>0</v>
      </c>
      <c r="N198" s="87">
        <v>0</v>
      </c>
      <c r="O198" s="87">
        <f>IF(G198="ელ. ტენდერი",SUMIFS('[1]ელ. ტენდერი'!N:N,'[1]ელ. ტენდერი'!G:G,B198,'[1]ელ. ტენდერი'!Q:Q,"საკუთარი შემოსავლები",'[1]ელ. ტენდერი'!R:R,"270106"),0)</f>
        <v>0</v>
      </c>
      <c r="P198" s="87">
        <v>0</v>
      </c>
      <c r="Q198" s="88">
        <f t="shared" si="5"/>
        <v>800</v>
      </c>
    </row>
    <row r="199" spans="1:17" x14ac:dyDescent="0.25">
      <c r="A199" s="9">
        <v>25</v>
      </c>
      <c r="B199" s="53" t="s">
        <v>95</v>
      </c>
      <c r="C199" s="84" t="s">
        <v>25</v>
      </c>
      <c r="D199" s="21">
        <v>2703030701</v>
      </c>
      <c r="E199" s="61" t="s">
        <v>96</v>
      </c>
      <c r="F199" s="23">
        <f>4990-2000</f>
        <v>2990</v>
      </c>
      <c r="G199" s="86" t="s">
        <v>27</v>
      </c>
      <c r="H199" s="25">
        <v>43466</v>
      </c>
      <c r="I199" s="25">
        <v>43830</v>
      </c>
      <c r="J199" s="32"/>
      <c r="K199" s="87">
        <v>0</v>
      </c>
      <c r="L199" s="90">
        <v>1752</v>
      </c>
      <c r="M199" s="87">
        <v>0</v>
      </c>
      <c r="N199" s="87">
        <f>IF(G199="კონს. ტენდერი",SUMIFS('[1]კონსოლიდირებული ტენდერი'!L:L,'[1]კონსოლიდირებული ტენდერი'!E:E,B199,'[1]კონსოლიდირებული ტენდერი'!N:N,"საკუთარი შემოსავლები",'[1]კონსოლიდირებული ტენდერი'!O:O,"2703030701"),0)</f>
        <v>0</v>
      </c>
      <c r="O199" s="87">
        <v>0</v>
      </c>
      <c r="P199" s="87">
        <f>IF(G199="ელ. ტენდერი",SUMIFS('[1]ელ. ტენდერი'!N:N,'[1]ელ. ტენდერი'!G:G,B199,'[1]ელ. ტენდერი'!Q:Q,"საკუთარი შემოსავლები",'[1]ელ. ტენდერი'!R:R,"2703030701"),0)</f>
        <v>0</v>
      </c>
      <c r="Q199" s="88">
        <f t="shared" si="5"/>
        <v>1238</v>
      </c>
    </row>
    <row r="200" spans="1:17" x14ac:dyDescent="0.25">
      <c r="A200" s="18">
        <v>26</v>
      </c>
      <c r="B200" s="53" t="s">
        <v>95</v>
      </c>
      <c r="C200" s="84" t="s">
        <v>25</v>
      </c>
      <c r="D200" s="21">
        <v>2703030701</v>
      </c>
      <c r="E200" s="61" t="s">
        <v>96</v>
      </c>
      <c r="F200" s="23">
        <v>27500</v>
      </c>
      <c r="G200" s="86" t="s">
        <v>27</v>
      </c>
      <c r="H200" s="25">
        <v>44033</v>
      </c>
      <c r="I200" s="25">
        <v>43830</v>
      </c>
      <c r="J200" s="32" t="s">
        <v>263</v>
      </c>
      <c r="K200" s="87">
        <v>0</v>
      </c>
      <c r="L200" s="90">
        <v>27500</v>
      </c>
      <c r="M200" s="87">
        <v>0</v>
      </c>
      <c r="N200" s="87">
        <f>IF(G200="კონს. ტენდერი",SUMIFS('[1]კონსოლიდირებული ტენდერი'!L:L,'[1]კონსოლიდირებული ტენდერი'!E:E,B200,'[1]კონსოლიდირებული ტენდერი'!N:N,"საკუთარი შემოსავლები",'[1]კონსოლიდირებული ტენდერი'!O:O,"2703030701"),0)</f>
        <v>0</v>
      </c>
      <c r="O200" s="87">
        <v>0</v>
      </c>
      <c r="P200" s="87">
        <f>IF(G200="ელ. ტენდერი",SUMIFS('[1]ელ. ტენდერი'!N:N,'[1]ელ. ტენდერი'!G:G,B200,'[1]ელ. ტენდერი'!Q:Q,"საკუთარი შემოსავლები",'[1]ელ. ტენდერი'!R:R,"2703030701"),0)</f>
        <v>0</v>
      </c>
      <c r="Q200" s="88">
        <f t="shared" si="5"/>
        <v>0</v>
      </c>
    </row>
    <row r="201" spans="1:17" x14ac:dyDescent="0.25">
      <c r="A201" s="18">
        <v>27</v>
      </c>
      <c r="B201" s="53" t="s">
        <v>97</v>
      </c>
      <c r="C201" s="84" t="s">
        <v>25</v>
      </c>
      <c r="D201" s="21">
        <v>2703030701</v>
      </c>
      <c r="E201" s="61" t="s">
        <v>264</v>
      </c>
      <c r="F201" s="23">
        <f>4990-2000</f>
        <v>2990</v>
      </c>
      <c r="G201" s="86" t="s">
        <v>27</v>
      </c>
      <c r="H201" s="25">
        <v>43466</v>
      </c>
      <c r="I201" s="25">
        <v>43830</v>
      </c>
      <c r="J201" s="32"/>
      <c r="K201" s="87">
        <v>0</v>
      </c>
      <c r="L201" s="87">
        <f>IF(G201="გამ. შესყიდვა",SUMIFS('[1]გამარტივებული შესყიდვა'!L:L,'[1]გამარტივებული შესყიდვა'!K:K,B201,'[1]გამარტივებული შესყიდვა'!N:N,"საკუთარი შემოსავლები",'[1]გამარტივებული შესყიდვა'!O:O,"2703030701"),0)</f>
        <v>1959.6</v>
      </c>
      <c r="M201" s="87">
        <v>0</v>
      </c>
      <c r="N201" s="87">
        <f>IF(G201="კონს. ტენდერი",SUMIFS('[1]კონსოლიდირებული ტენდერი'!L:L,'[1]კონსოლიდირებული ტენდერი'!E:E,B201,'[1]კონსოლიდირებული ტენდერი'!N:N,"საკუთარი შემოსავლები",'[1]კონსოლიდირებული ტენდერი'!O:O,"2703030701"),0)</f>
        <v>0</v>
      </c>
      <c r="O201" s="87">
        <v>0</v>
      </c>
      <c r="P201" s="87">
        <f>IF(G201="ელ. ტენდერი",SUMIFS('[1]ელ. ტენდერი'!N:N,'[1]ელ. ტენდერი'!G:G,B201,'[1]ელ. ტენდერი'!Q:Q,"საკუთარი შემოსავლები",'[1]ელ. ტენდერი'!R:R,"2703030701"),0)</f>
        <v>0</v>
      </c>
      <c r="Q201" s="88">
        <f t="shared" si="5"/>
        <v>1030.4000000000001</v>
      </c>
    </row>
    <row r="202" spans="1:17" ht="15.75" x14ac:dyDescent="0.3">
      <c r="A202" s="9">
        <v>28</v>
      </c>
      <c r="B202" s="19" t="s">
        <v>103</v>
      </c>
      <c r="C202" s="20" t="s">
        <v>25</v>
      </c>
      <c r="D202" s="21">
        <v>2703030701</v>
      </c>
      <c r="E202" s="22" t="s">
        <v>104</v>
      </c>
      <c r="F202" s="40">
        <f>250</f>
        <v>250</v>
      </c>
      <c r="G202" s="24" t="s">
        <v>27</v>
      </c>
      <c r="H202" s="25">
        <v>43944</v>
      </c>
      <c r="I202" s="25">
        <v>44196</v>
      </c>
      <c r="J202" s="41"/>
      <c r="K202" s="87">
        <v>0</v>
      </c>
      <c r="L202" s="87">
        <f>IF(G202="გამ. შესყიდვა",SUMIFS('[1]გამარტივებული შესყიდვა'!L:L,'[1]გამარტივებული შესყიდვა'!K:K,B202,'[1]გამარტივებული შესყიდვა'!N:N,"საკუთარი შემოსავლები",'[1]გამარტივებული შესყიდვა'!O:O,"2703030701"),0)</f>
        <v>250</v>
      </c>
      <c r="M202" s="87">
        <v>0</v>
      </c>
      <c r="N202" s="87">
        <f>IF(G202="კონს. ტენდერი",SUMIFS('[1]კონსოლიდირებული ტენდერი'!L:L,'[1]კონსოლიდირებული ტენდერი'!E:E,B202,'[1]კონსოლიდირებული ტენდერი'!N:N,"საკუთარი შემოსავლები",'[1]კონსოლიდირებული ტენდერი'!O:O,"2703030701"),0)</f>
        <v>0</v>
      </c>
      <c r="O202" s="87">
        <v>0</v>
      </c>
      <c r="P202" s="87">
        <f>IF(G202="ელ. ტენდერი",SUMIFS('[1]ელ. ტენდერი'!N:N,'[1]ელ. ტენდერი'!G:G,B202,'[1]ელ. ტენდერი'!Q:Q,"საკუთარი შემოსავლები",'[1]ელ. ტენდერი'!R:R,"2703030701"),0)</f>
        <v>0</v>
      </c>
      <c r="Q202" s="88">
        <f t="shared" si="5"/>
        <v>0</v>
      </c>
    </row>
    <row r="203" spans="1:17" x14ac:dyDescent="0.25">
      <c r="A203" s="9">
        <v>29</v>
      </c>
      <c r="B203" s="93" t="s">
        <v>99</v>
      </c>
      <c r="C203" s="84" t="s">
        <v>25</v>
      </c>
      <c r="D203" s="94">
        <v>2703030701</v>
      </c>
      <c r="E203" s="61" t="s">
        <v>100</v>
      </c>
      <c r="F203" s="23">
        <f>3000+1990</f>
        <v>4990</v>
      </c>
      <c r="G203" s="86" t="s">
        <v>27</v>
      </c>
      <c r="H203" s="25">
        <v>43466</v>
      </c>
      <c r="I203" s="25">
        <v>43830</v>
      </c>
      <c r="J203" s="32"/>
      <c r="K203" s="87">
        <v>0</v>
      </c>
      <c r="L203" s="87">
        <f>IF(G203="გამ. შესყიდვა",SUMIFS('[1]გამარტივებული შესყიდვა'!L:L,'[1]გამარტივებული შესყიდვა'!K:K,B203,'[1]გამარტივებული შესყიდვა'!N:N,"საკუთარი შემოსავლები",'[1]გამარტივებული შესყიდვა'!O:O,"2703030701"),0)</f>
        <v>4990</v>
      </c>
      <c r="M203" s="87">
        <v>0</v>
      </c>
      <c r="N203" s="87">
        <f>IF(G203="კონს. ტენდერი",SUMIFS('[1]კონსოლიდირებული ტენდერი'!L:L,'[1]კონსოლიდირებული ტენდერი'!E:E,B203,'[1]კონსოლიდირებული ტენდერი'!N:N,"საკუთარი შემოსავლები",'[1]კონსოლიდირებული ტენდერი'!O:O,"2703030701"),0)</f>
        <v>0</v>
      </c>
      <c r="O203" s="87">
        <v>0</v>
      </c>
      <c r="P203" s="87">
        <f>IF(G203="ელ. ტენდერი",SUMIFS('[1]ელ. ტენდერი'!N:N,'[1]ელ. ტენდერი'!G:G,B203,'[1]ელ. ტენდერი'!Q:Q,"საკუთარი შემოსავლები",'[1]ელ. ტენდერი'!R:R,"2703030701"),0)</f>
        <v>0</v>
      </c>
      <c r="Q203" s="88">
        <f t="shared" si="5"/>
        <v>0</v>
      </c>
    </row>
    <row r="204" spans="1:17" x14ac:dyDescent="0.25">
      <c r="A204" s="18">
        <v>30</v>
      </c>
      <c r="B204" s="19" t="s">
        <v>107</v>
      </c>
      <c r="C204" s="84" t="s">
        <v>25</v>
      </c>
      <c r="D204" s="21">
        <v>2703030701</v>
      </c>
      <c r="E204" s="61" t="s">
        <v>265</v>
      </c>
      <c r="F204" s="23">
        <v>2000</v>
      </c>
      <c r="G204" s="86" t="s">
        <v>27</v>
      </c>
      <c r="H204" s="25">
        <v>43466</v>
      </c>
      <c r="I204" s="25">
        <v>43830</v>
      </c>
      <c r="J204" s="32"/>
      <c r="K204" s="87">
        <v>0</v>
      </c>
      <c r="L204" s="87">
        <f>IF(G204="გამ. შესყიდვა",SUMIFS('[1]გამარტივებული შესყიდვა'!L:L,'[1]გამარტივებული შესყიდვა'!K:K,B204,'[1]გამარტივებული შესყიდვა'!N:N,"საკუთარი შემოსავლები",'[1]გამარტივებული შესყიდვა'!O:O,"2703030701"),0)</f>
        <v>885</v>
      </c>
      <c r="M204" s="87">
        <v>0</v>
      </c>
      <c r="N204" s="87">
        <f>IF(G204="კონს. ტენდერი",SUMIFS('[1]კონსოლიდირებული ტენდერი'!L:L,'[1]კონსოლიდირებული ტენდერი'!E:E,B204,'[1]კონსოლიდირებული ტენდერი'!N:N,"საკუთარი შემოსავლები",'[1]კონსოლიდირებული ტენდერი'!O:O,"2703030701"),0)</f>
        <v>0</v>
      </c>
      <c r="O204" s="87">
        <v>0</v>
      </c>
      <c r="P204" s="87">
        <f>IF(G204="ელ. ტენდერი",SUMIFS('[1]ელ. ტენდერი'!N:N,'[1]ელ. ტენდერი'!G:G,B204,'[1]ელ. ტენდერი'!Q:Q,"საკუთარი შემოსავლები",'[1]ელ. ტენდერი'!R:R,"2703030701"),0)</f>
        <v>0</v>
      </c>
      <c r="Q204" s="88">
        <f t="shared" si="5"/>
        <v>1115</v>
      </c>
    </row>
    <row r="205" spans="1:17" ht="15.75" x14ac:dyDescent="0.3">
      <c r="A205" s="18">
        <v>31</v>
      </c>
      <c r="B205" s="19" t="s">
        <v>109</v>
      </c>
      <c r="C205" s="84" t="s">
        <v>25</v>
      </c>
      <c r="D205" s="49">
        <v>270106</v>
      </c>
      <c r="E205" s="95" t="s">
        <v>110</v>
      </c>
      <c r="F205" s="23">
        <v>3000</v>
      </c>
      <c r="G205" s="86" t="s">
        <v>27</v>
      </c>
      <c r="H205" s="25">
        <v>43466</v>
      </c>
      <c r="I205" s="25">
        <v>43830</v>
      </c>
      <c r="J205" s="32"/>
      <c r="K205" s="87">
        <f>IF(G205="გამ. შესყიდვა",SUMIFS('[1]გამარტივებული შესყიდვა'!L:L,'[1]გამარტივებული შესყიდვა'!K:K,B205,'[1]გამარტივებული შესყიდვა'!N:N,"საკუთარი შემოსავლები",'[1]გამარტივებული შესყიდვა'!O:O,"270106"),0)</f>
        <v>0</v>
      </c>
      <c r="L205" s="87">
        <v>0</v>
      </c>
      <c r="M205" s="87">
        <f>IF(G205="კონს. ტენდერი",SUMIFS('[1]კონსოლიდირებული ტენდერი'!L:L,'[1]კონსოლიდირებული ტენდერი'!E:E,B205,'[1]კონსოლიდირებული ტენდერი'!N:N,"საკუთარი შემოსავლები",'[1]კონსოლიდირებული ტენდერი'!O:O,"270106"),0)</f>
        <v>0</v>
      </c>
      <c r="N205" s="87">
        <v>0</v>
      </c>
      <c r="O205" s="87">
        <f>IF(G205="ელ. ტენდერი",SUMIFS('[1]ელ. ტენდერი'!N:N,'[1]ელ. ტენდერი'!G:G,B205,'[1]ელ. ტენდერი'!Q:Q,"საკუთარი შემოსავლები",'[1]ელ. ტენდერი'!R:R,"270106"),0)</f>
        <v>0</v>
      </c>
      <c r="P205" s="87">
        <v>0</v>
      </c>
      <c r="Q205" s="88">
        <f t="shared" si="5"/>
        <v>3000</v>
      </c>
    </row>
    <row r="206" spans="1:17" x14ac:dyDescent="0.25">
      <c r="A206" s="9">
        <v>32</v>
      </c>
      <c r="B206" s="53" t="s">
        <v>113</v>
      </c>
      <c r="C206" s="84" t="s">
        <v>25</v>
      </c>
      <c r="D206" s="49">
        <v>270106</v>
      </c>
      <c r="E206" s="61" t="s">
        <v>114</v>
      </c>
      <c r="F206" s="23">
        <f>4990-1000</f>
        <v>3990</v>
      </c>
      <c r="G206" s="86" t="s">
        <v>27</v>
      </c>
      <c r="H206" s="25">
        <v>43466</v>
      </c>
      <c r="I206" s="25">
        <v>43830</v>
      </c>
      <c r="J206" s="32"/>
      <c r="K206" s="87">
        <f>IF(G206="გამ. შესყიდვა",SUMIFS('[1]გამარტივებული შესყიდვა'!L:L,'[1]გამარტივებული შესყიდვა'!K:K,B206,'[1]გამარტივებული შესყიდვა'!N:N,"საკუთარი შემოსავლები",'[1]გამარტივებული შესყიდვა'!O:O,"270106"),0)</f>
        <v>0</v>
      </c>
      <c r="L206" s="87">
        <v>0</v>
      </c>
      <c r="M206" s="87">
        <f>IF(G206="კონს. ტენდერი",SUMIFS('[1]კონსოლიდირებული ტენდერი'!L:L,'[1]კონსოლიდირებული ტენდერი'!E:E,B206,'[1]კონსოლიდირებული ტენდერი'!N:N,"საკუთარი შემოსავლები",'[1]კონსოლიდირებული ტენდერი'!O:O,"270106"),0)</f>
        <v>0</v>
      </c>
      <c r="N206" s="87">
        <v>0</v>
      </c>
      <c r="O206" s="87">
        <f>IF(G206="ელ. ტენდერი",SUMIFS('[1]ელ. ტენდერი'!N:N,'[1]ელ. ტენდერი'!G:G,B206,'[1]ელ. ტენდერი'!Q:Q,"საკუთარი შემოსავლები",'[1]ელ. ტენდერი'!R:R,"270106"),0)</f>
        <v>0</v>
      </c>
      <c r="P206" s="87">
        <v>0</v>
      </c>
      <c r="Q206" s="88">
        <f t="shared" si="5"/>
        <v>3990</v>
      </c>
    </row>
    <row r="207" spans="1:17" x14ac:dyDescent="0.25">
      <c r="A207" s="9">
        <v>33</v>
      </c>
      <c r="B207" s="53" t="s">
        <v>113</v>
      </c>
      <c r="C207" s="84" t="s">
        <v>25</v>
      </c>
      <c r="D207" s="21">
        <v>2703030701</v>
      </c>
      <c r="E207" s="61" t="s">
        <v>114</v>
      </c>
      <c r="F207" s="23">
        <f>1000-325</f>
        <v>675</v>
      </c>
      <c r="G207" s="86" t="s">
        <v>27</v>
      </c>
      <c r="H207" s="25">
        <v>43466</v>
      </c>
      <c r="I207" s="25">
        <v>43830</v>
      </c>
      <c r="J207" s="32"/>
      <c r="K207" s="87">
        <v>0</v>
      </c>
      <c r="L207" s="87">
        <f>IF(G207="გამ. შესყიდვა",SUMIFS('[1]გამარტივებული შესყიდვა'!L:L,'[1]გამარტივებული შესყიდვა'!K:K,B207,'[1]გამარტივებული შესყიდვა'!N:N,"საკუთარი შემოსავლები",'[1]გამარტივებული შესყიდვა'!O:O,"2703030701"),0)</f>
        <v>0</v>
      </c>
      <c r="M207" s="87">
        <v>0</v>
      </c>
      <c r="N207" s="87">
        <f>IF(G207="კონს. ტენდერი",SUMIFS('[1]კონსოლიდირებული ტენდერი'!L:L,'[1]კონსოლიდირებული ტენდერი'!E:E,B207,'[1]კონსოლიდირებული ტენდერი'!N:N,"საკუთარი შემოსავლები",'[1]კონსოლიდირებული ტენდერი'!O:O,"2703030701"),0)</f>
        <v>0</v>
      </c>
      <c r="O207" s="87">
        <v>0</v>
      </c>
      <c r="P207" s="87">
        <f>IF(G207="ელ. ტენდერი",SUMIFS('[1]ელ. ტენდერი'!N:N,'[1]ელ. ტენდერი'!G:G,B207,'[1]ელ. ტენდერი'!Q:Q,"საკუთარი შემოსავლები",'[1]ელ. ტენდერი'!R:R,"2703030701"),0)</f>
        <v>0</v>
      </c>
      <c r="Q207" s="88">
        <f t="shared" si="5"/>
        <v>675</v>
      </c>
    </row>
    <row r="208" spans="1:17" x14ac:dyDescent="0.25">
      <c r="A208" s="18">
        <v>34</v>
      </c>
      <c r="B208" s="19" t="s">
        <v>115</v>
      </c>
      <c r="C208" s="84" t="s">
        <v>25</v>
      </c>
      <c r="D208" s="49">
        <v>270106</v>
      </c>
      <c r="E208" s="61" t="s">
        <v>116</v>
      </c>
      <c r="F208" s="23">
        <v>1600</v>
      </c>
      <c r="G208" s="86" t="s">
        <v>27</v>
      </c>
      <c r="H208" s="25">
        <v>43466</v>
      </c>
      <c r="I208" s="25">
        <v>43830</v>
      </c>
      <c r="J208" s="32"/>
      <c r="K208" s="87">
        <f>IF(G208="გამ. შესყიდვა",SUMIFS('[1]გამარტივებული შესყიდვა'!L:L,'[1]გამარტივებული შესყიდვა'!K:K,B208,'[1]გამარტივებული შესყიდვა'!N:N,"საკუთარი შემოსავლები",'[1]გამარტივებული შესყიდვა'!O:O,"270106"),0)</f>
        <v>405.5</v>
      </c>
      <c r="L208" s="87">
        <v>0</v>
      </c>
      <c r="M208" s="87">
        <f>IF(G208="კონს. ტენდერი",SUMIFS('[1]კონსოლიდირებული ტენდერი'!L:L,'[1]კონსოლიდირებული ტენდერი'!E:E,B208,'[1]კონსოლიდირებული ტენდერი'!N:N,"საკუთარი შემოსავლები",'[1]კონსოლიდირებული ტენდერი'!O:O,"270106"),0)</f>
        <v>0</v>
      </c>
      <c r="N208" s="87">
        <v>0</v>
      </c>
      <c r="O208" s="87">
        <f>IF(G208="ელ. ტენდერი",SUMIFS('[1]ელ. ტენდერი'!N:N,'[1]ელ. ტენდერი'!G:G,B208,'[1]ელ. ტენდერი'!Q:Q,"საკუთარი შემოსავლები",'[1]ელ. ტენდერი'!R:R,"270106"),0)</f>
        <v>0</v>
      </c>
      <c r="P208" s="87">
        <v>0</v>
      </c>
      <c r="Q208" s="88">
        <f t="shared" si="5"/>
        <v>1194.5</v>
      </c>
    </row>
    <row r="209" spans="1:17" x14ac:dyDescent="0.25">
      <c r="A209" s="18">
        <v>35</v>
      </c>
      <c r="B209" s="19" t="s">
        <v>115</v>
      </c>
      <c r="C209" s="84" t="s">
        <v>25</v>
      </c>
      <c r="D209" s="21">
        <v>2703030701</v>
      </c>
      <c r="E209" s="61" t="s">
        <v>116</v>
      </c>
      <c r="F209" s="23">
        <f>1600+1700-2000</f>
        <v>1300</v>
      </c>
      <c r="G209" s="86" t="s">
        <v>27</v>
      </c>
      <c r="H209" s="25">
        <v>43466</v>
      </c>
      <c r="I209" s="25">
        <v>43830</v>
      </c>
      <c r="J209" s="32"/>
      <c r="K209" s="87">
        <v>0</v>
      </c>
      <c r="L209" s="87">
        <f>IF(G209="გამ. შესყიდვა",SUMIFS('[1]გამარტივებული შესყიდვა'!L:L,'[1]გამარტივებული შესყიდვა'!K:K,B209,'[1]გამარტივებული შესყიდვა'!N:N,"საკუთარი შემოსავლები",'[1]გამარტივებული შესყიდვა'!O:O,"2703030701"),0)</f>
        <v>0</v>
      </c>
      <c r="M209" s="87">
        <v>0</v>
      </c>
      <c r="N209" s="87">
        <f>IF(G209="კონს. ტენდერი",SUMIFS('[1]კონსოლიდირებული ტენდერი'!L:L,'[1]კონსოლიდირებული ტენდერი'!E:E,B209,'[1]კონსოლიდირებული ტენდერი'!N:N,"საკუთარი შემოსავლები",'[1]კონსოლიდირებული ტენდერი'!O:O,"2703030701"),0)</f>
        <v>0</v>
      </c>
      <c r="O209" s="87">
        <v>0</v>
      </c>
      <c r="P209" s="87">
        <f>IF(G209="ელ. ტენდერი",SUMIFS('[1]ელ. ტენდერი'!N:N,'[1]ელ. ტენდერი'!G:G,B209,'[1]ელ. ტენდერი'!Q:Q,"საკუთარი შემოსავლები",'[1]ელ. ტენდერი'!R:R,"2703030701"),0)</f>
        <v>0</v>
      </c>
      <c r="Q209" s="88">
        <f t="shared" si="5"/>
        <v>1300</v>
      </c>
    </row>
    <row r="210" spans="1:17" x14ac:dyDescent="0.25">
      <c r="A210" s="9">
        <v>36</v>
      </c>
      <c r="B210" s="19" t="s">
        <v>119</v>
      </c>
      <c r="C210" s="84" t="s">
        <v>25</v>
      </c>
      <c r="D210" s="21">
        <v>2703030701</v>
      </c>
      <c r="E210" s="61" t="s">
        <v>120</v>
      </c>
      <c r="F210" s="23">
        <f>1200+200+2100-2000</f>
        <v>1500</v>
      </c>
      <c r="G210" s="86" t="s">
        <v>27</v>
      </c>
      <c r="H210" s="25">
        <v>43466</v>
      </c>
      <c r="I210" s="25">
        <v>43830</v>
      </c>
      <c r="J210" s="32"/>
      <c r="K210" s="87">
        <v>0</v>
      </c>
      <c r="L210" s="87">
        <f>IF(G210="გამ. შესყიდვა",SUMIFS('[1]გამარტივებული შესყიდვა'!L:L,'[1]გამარტივებული შესყიდვა'!K:K,B210,'[1]გამარტივებული შესყიდვა'!N:N,"საკუთარი შემოსავლები",'[1]გამარტივებული შესყიდვა'!O:O,"2703030701"),0)</f>
        <v>0</v>
      </c>
      <c r="M210" s="87">
        <v>0</v>
      </c>
      <c r="N210" s="87">
        <f>IF(G210="კონს. ტენდერი",SUMIFS('[1]კონსოლიდირებული ტენდერი'!L:L,'[1]კონსოლიდირებული ტენდერი'!E:E,B210,'[1]კონსოლიდირებული ტენდერი'!N:N,"საკუთარი შემოსავლები",'[1]კონსოლიდირებული ტენდერი'!O:O,"2703030701"),0)</f>
        <v>0</v>
      </c>
      <c r="O210" s="87">
        <v>0</v>
      </c>
      <c r="P210" s="87">
        <f>IF(G210="ელ. ტენდერი",SUMIFS('[1]ელ. ტენდერი'!N:N,'[1]ელ. ტენდერი'!G:G,B210,'[1]ელ. ტენდერი'!Q:Q,"საკუთარი შემოსავლები",'[1]ელ. ტენდერი'!R:R,"2703030701"),0)</f>
        <v>0</v>
      </c>
      <c r="Q210" s="88">
        <f t="shared" si="5"/>
        <v>1500</v>
      </c>
    </row>
    <row r="211" spans="1:17" x14ac:dyDescent="0.25">
      <c r="A211" s="9">
        <v>37</v>
      </c>
      <c r="B211" s="19" t="s">
        <v>119</v>
      </c>
      <c r="C211" s="84" t="s">
        <v>25</v>
      </c>
      <c r="D211" s="49">
        <v>270106</v>
      </c>
      <c r="E211" s="61" t="s">
        <v>120</v>
      </c>
      <c r="F211" s="23">
        <f>2600-1200</f>
        <v>1400</v>
      </c>
      <c r="G211" s="86" t="s">
        <v>27</v>
      </c>
      <c r="H211" s="25">
        <v>43466</v>
      </c>
      <c r="I211" s="25">
        <v>43830</v>
      </c>
      <c r="J211" s="32"/>
      <c r="K211" s="87">
        <f>IF(G211="გამ. შესყიდვა",SUMIFS('[1]გამარტივებული შესყიდვა'!L:L,'[1]გამარტივებული შესყიდვა'!K:K,B211,'[1]გამარტივებული შესყიდვა'!N:N,"საკუთარი შემოსავლები",'[1]გამარტივებული შესყიდვა'!O:O,"270106"),0)</f>
        <v>273</v>
      </c>
      <c r="L211" s="87">
        <v>0</v>
      </c>
      <c r="M211" s="87">
        <f>IF(G211="კონს. ტენდერი",SUMIFS('[1]კონსოლიდირებული ტენდერი'!L:L,'[1]კონსოლიდირებული ტენდერი'!E:E,B211,'[1]კონსოლიდირებული ტენდერი'!N:N,"საკუთარი შემოსავლები",'[1]კონსოლიდირებული ტენდერი'!O:O,"270106"),0)</f>
        <v>0</v>
      </c>
      <c r="N211" s="87">
        <v>0</v>
      </c>
      <c r="O211" s="87">
        <f>IF(G211="ელ. ტენდერი",SUMIFS('[1]ელ. ტენდერი'!N:N,'[1]ელ. ტენდერი'!G:G,B211,'[1]ელ. ტენდერი'!Q:Q,"საკუთარი შემოსავლები",'[1]ელ. ტენდერი'!R:R,"270106"),0)</f>
        <v>0</v>
      </c>
      <c r="P211" s="87">
        <v>0</v>
      </c>
      <c r="Q211" s="88">
        <f t="shared" si="5"/>
        <v>1127</v>
      </c>
    </row>
    <row r="212" spans="1:17" x14ac:dyDescent="0.25">
      <c r="A212" s="18">
        <v>38</v>
      </c>
      <c r="B212" s="53" t="s">
        <v>121</v>
      </c>
      <c r="C212" s="84" t="s">
        <v>25</v>
      </c>
      <c r="D212" s="49">
        <v>270106</v>
      </c>
      <c r="E212" s="61" t="s">
        <v>122</v>
      </c>
      <c r="F212" s="23">
        <v>2990</v>
      </c>
      <c r="G212" s="86" t="s">
        <v>27</v>
      </c>
      <c r="H212" s="25">
        <v>43466</v>
      </c>
      <c r="I212" s="25">
        <v>43830</v>
      </c>
      <c r="J212" s="32"/>
      <c r="K212" s="87">
        <f>IF(G212="გამ. შესყიდვა",SUMIFS('[1]გამარტივებული შესყიდვა'!L:L,'[1]გამარტივებული შესყიდვა'!K:K,B212,'[1]გამარტივებული შესყიდვა'!N:N,"საკუთარი შემოსავლები",'[1]გამარტივებული შესყიდვა'!O:O,"270106"),0)</f>
        <v>1160</v>
      </c>
      <c r="L212" s="87">
        <v>0</v>
      </c>
      <c r="M212" s="87">
        <f>IF(G212="კონს. ტენდერი",SUMIFS('[1]კონსოლიდირებული ტენდერი'!L:L,'[1]კონსოლიდირებული ტენდერი'!E:E,B212,'[1]კონსოლიდირებული ტენდერი'!N:N,"საკუთარი შემოსავლები",'[1]კონსოლიდირებული ტენდერი'!O:O,"270106"),0)</f>
        <v>0</v>
      </c>
      <c r="N212" s="87">
        <v>0</v>
      </c>
      <c r="O212" s="87">
        <f>IF(G212="ელ. ტენდერი",SUMIFS('[1]ელ. ტენდერი'!N:N,'[1]ელ. ტენდერი'!G:G,B212,'[1]ელ. ტენდერი'!Q:Q,"საკუთარი შემოსავლები",'[1]ელ. ტენდერი'!R:R,"270106"),0)</f>
        <v>0</v>
      </c>
      <c r="P212" s="87">
        <v>0</v>
      </c>
      <c r="Q212" s="88">
        <f t="shared" si="5"/>
        <v>1830</v>
      </c>
    </row>
    <row r="213" spans="1:17" x14ac:dyDescent="0.25">
      <c r="A213" s="18">
        <v>39</v>
      </c>
      <c r="B213" s="53" t="s">
        <v>121</v>
      </c>
      <c r="C213" s="84" t="s">
        <v>25</v>
      </c>
      <c r="D213" s="21">
        <v>2703030701</v>
      </c>
      <c r="E213" s="61" t="s">
        <v>122</v>
      </c>
      <c r="F213" s="23">
        <v>2000</v>
      </c>
      <c r="G213" s="86" t="s">
        <v>27</v>
      </c>
      <c r="H213" s="25">
        <v>43466</v>
      </c>
      <c r="I213" s="25">
        <v>43830</v>
      </c>
      <c r="J213" s="32"/>
      <c r="K213" s="87">
        <v>0</v>
      </c>
      <c r="L213" s="87">
        <f>IF(G213="გამ. შესყიდვა",SUMIFS('[1]გამარტივებული შესყიდვა'!L:L,'[1]გამარტივებული შესყიდვა'!K:K,B213,'[1]გამარტივებული შესყიდვა'!N:N,"საკუთარი შემოსავლები",'[1]გამარტივებული შესყიდვა'!O:O,"2703030701"),0)</f>
        <v>0</v>
      </c>
      <c r="M213" s="87">
        <v>0</v>
      </c>
      <c r="N213" s="87">
        <f>IF(G213="კონს. ტენდერი",SUMIFS('[1]კონსოლიდირებული ტენდერი'!L:L,'[1]კონსოლიდირებული ტენდერი'!E:E,B213,'[1]კონსოლიდირებული ტენდერი'!N:N,"საკუთარი შემოსავლები",'[1]კონსოლიდირებული ტენდერი'!O:O,"2703030701"),0)</f>
        <v>0</v>
      </c>
      <c r="O213" s="87">
        <v>0</v>
      </c>
      <c r="P213" s="87">
        <f>IF(G213="ელ. ტენდერი",SUMIFS('[1]ელ. ტენდერი'!N:N,'[1]ელ. ტენდერი'!G:G,B213,'[1]ელ. ტენდერი'!Q:Q,"საკუთარი შემოსავლები",'[1]ელ. ტენდერი'!R:R,"2703030701"),0)</f>
        <v>0</v>
      </c>
      <c r="Q213" s="88">
        <f t="shared" si="5"/>
        <v>2000</v>
      </c>
    </row>
    <row r="214" spans="1:17" x14ac:dyDescent="0.25">
      <c r="A214" s="9">
        <v>40</v>
      </c>
      <c r="B214" s="53" t="s">
        <v>123</v>
      </c>
      <c r="C214" s="84" t="s">
        <v>25</v>
      </c>
      <c r="D214" s="21">
        <v>2703030701</v>
      </c>
      <c r="E214" s="61" t="s">
        <v>124</v>
      </c>
      <c r="F214" s="23">
        <v>400</v>
      </c>
      <c r="G214" s="86" t="s">
        <v>27</v>
      </c>
      <c r="H214" s="25">
        <v>43466</v>
      </c>
      <c r="I214" s="25">
        <v>43830</v>
      </c>
      <c r="J214" s="32"/>
      <c r="K214" s="87">
        <v>0</v>
      </c>
      <c r="L214" s="87">
        <f>IF(G214="გამ. შესყიდვა",SUMIFS('[1]გამარტივებული შესყიდვა'!L:L,'[1]გამარტივებული შესყიდვა'!K:K,B214,'[1]გამარტივებული შესყიდვა'!N:N,"საკუთარი შემოსავლები",'[1]გამარტივებული შესყიდვა'!O:O,"2703030701"),0)</f>
        <v>0</v>
      </c>
      <c r="M214" s="87">
        <v>0</v>
      </c>
      <c r="N214" s="87">
        <f>IF(G214="კონს. ტენდერი",SUMIFS('[1]კონსოლიდირებული ტენდერი'!L:L,'[1]კონსოლიდირებული ტენდერი'!E:E,B214,'[1]კონსოლიდირებული ტენდერი'!N:N,"საკუთარი შემოსავლები",'[1]კონსოლიდირებული ტენდერი'!O:O,"2703030701"),0)</f>
        <v>0</v>
      </c>
      <c r="O214" s="87">
        <v>0</v>
      </c>
      <c r="P214" s="87">
        <f>IF(G214="ელ. ტენდერი",SUMIFS('[1]ელ. ტენდერი'!N:N,'[1]ელ. ტენდერი'!G:G,B214,'[1]ელ. ტენდერი'!Q:Q,"საკუთარი შემოსავლები",'[1]ელ. ტენდერი'!R:R,"2703030701"),0)</f>
        <v>0</v>
      </c>
      <c r="Q214" s="88">
        <f t="shared" si="5"/>
        <v>400</v>
      </c>
    </row>
    <row r="215" spans="1:17" x14ac:dyDescent="0.25">
      <c r="A215" s="9">
        <v>41</v>
      </c>
      <c r="B215" s="53" t="s">
        <v>123</v>
      </c>
      <c r="C215" s="84" t="s">
        <v>25</v>
      </c>
      <c r="D215" s="49">
        <v>270106</v>
      </c>
      <c r="E215" s="61" t="s">
        <v>124</v>
      </c>
      <c r="F215" s="23">
        <f>1000-400+2438</f>
        <v>3038</v>
      </c>
      <c r="G215" s="86" t="s">
        <v>27</v>
      </c>
      <c r="H215" s="25">
        <v>43466</v>
      </c>
      <c r="I215" s="25">
        <v>43830</v>
      </c>
      <c r="J215" s="32"/>
      <c r="K215" s="87">
        <f>IF(G215="გამ. შესყიდვა",SUMIFS('[1]გამარტივებული შესყიდვა'!L:L,'[1]გამარტივებული შესყიდვა'!K:K,B215,'[1]გამარტივებული შესყიდვა'!N:N,"საკუთარი შემოსავლები",'[1]გამარტივებული შესყიდვა'!O:O,"270106"),0)</f>
        <v>3037.4</v>
      </c>
      <c r="L215" s="87">
        <v>0</v>
      </c>
      <c r="M215" s="87">
        <f>IF(G215="კონს. ტენდერი",SUMIFS('[1]კონსოლიდირებული ტენდერი'!L:L,'[1]კონსოლიდირებული ტენდერი'!E:E,B215,'[1]კონსოლიდირებული ტენდერი'!N:N,"საკუთარი შემოსავლები",'[1]კონსოლიდირებული ტენდერი'!O:O,"270106"),0)</f>
        <v>0</v>
      </c>
      <c r="N215" s="87">
        <v>0</v>
      </c>
      <c r="O215" s="87">
        <f>IF(G215="ელ. ტენდერი",SUMIFS('[1]ელ. ტენდერი'!N:N,'[1]ელ. ტენდერი'!G:G,B215,'[1]ელ. ტენდერი'!Q:Q,"საკუთარი შემოსავლები",'[1]ელ. ტენდერი'!R:R,"270106"),0)</f>
        <v>0</v>
      </c>
      <c r="P215" s="87">
        <v>0</v>
      </c>
      <c r="Q215" s="88">
        <f t="shared" si="5"/>
        <v>0.59999999999990905</v>
      </c>
    </row>
    <row r="216" spans="1:17" x14ac:dyDescent="0.25">
      <c r="A216" s="9">
        <v>42</v>
      </c>
      <c r="B216" s="53" t="s">
        <v>128</v>
      </c>
      <c r="C216" s="84" t="s">
        <v>25</v>
      </c>
      <c r="D216" s="21">
        <v>2703030701</v>
      </c>
      <c r="E216" s="61" t="s">
        <v>266</v>
      </c>
      <c r="F216" s="23">
        <f>1500+325</f>
        <v>1825</v>
      </c>
      <c r="G216" s="86" t="s">
        <v>27</v>
      </c>
      <c r="H216" s="25">
        <v>43873</v>
      </c>
      <c r="I216" s="25">
        <v>43830</v>
      </c>
      <c r="J216" s="32"/>
      <c r="K216" s="87">
        <v>0</v>
      </c>
      <c r="L216" s="87">
        <f>IF(G216="გამ. შესყიდვა",SUMIFS('[1]გამარტივებული შესყიდვა'!L:L,'[1]გამარტივებული შესყიდვა'!K:K,B216,'[1]გამარტივებული შესყიდვა'!N:N,"საკუთარი შემოსავლები",'[1]გამარტივებული შესყიდვა'!O:O,"2703030701"),0)</f>
        <v>1825</v>
      </c>
      <c r="M216" s="87">
        <v>0</v>
      </c>
      <c r="N216" s="87">
        <f>IF(G216="კონს. ტენდერი",SUMIFS('[1]კონსოლიდირებული ტენდერი'!L:L,'[1]კონსოლიდირებული ტენდერი'!E:E,B216,'[1]კონსოლიდირებული ტენდერი'!N:N,"საკუთარი შემოსავლები",'[1]კონსოლიდირებული ტენდერი'!O:O,"2703030701"),0)</f>
        <v>0</v>
      </c>
      <c r="O216" s="87">
        <v>0</v>
      </c>
      <c r="P216" s="87">
        <f>IF(G216="ელ. ტენდერი",SUMIFS('[1]ელ. ტენდერი'!N:N,'[1]ელ. ტენდერი'!G:G,B216,'[1]ელ. ტენდერი'!Q:Q,"საკუთარი შემოსავლები",'[1]ელ. ტენდერი'!R:R,"2703030701"),0)</f>
        <v>0</v>
      </c>
      <c r="Q216" s="88">
        <f t="shared" si="5"/>
        <v>0</v>
      </c>
    </row>
    <row r="217" spans="1:17" x14ac:dyDescent="0.25">
      <c r="A217" s="18">
        <v>43</v>
      </c>
      <c r="B217" s="53" t="s">
        <v>130</v>
      </c>
      <c r="C217" s="84" t="s">
        <v>72</v>
      </c>
      <c r="D217" s="49">
        <v>270106</v>
      </c>
      <c r="E217" s="61" t="s">
        <v>131</v>
      </c>
      <c r="F217" s="23">
        <f>1000+3990</f>
        <v>4990</v>
      </c>
      <c r="G217" s="86" t="s">
        <v>27</v>
      </c>
      <c r="H217" s="25">
        <v>43466</v>
      </c>
      <c r="I217" s="25">
        <v>43830</v>
      </c>
      <c r="J217" s="32"/>
      <c r="K217" s="87">
        <f>IF(G217="გამ. შესყიდვა",SUMIFS('[1]გამარტივებული შესყიდვა'!L:L,'[1]გამარტივებული შესყიდვა'!K:K,B217,'[1]გამარტივებული შესყიდვა'!N:N,"საკუთარი შემოსავლები",'[1]გამარტივებული შესყიდვა'!O:O,"270106"),0)</f>
        <v>4450</v>
      </c>
      <c r="L217" s="87">
        <v>0</v>
      </c>
      <c r="M217" s="87">
        <f>IF(G217="კონს. ტენდერი",SUMIFS('[1]კონსოლიდირებული ტენდერი'!L:L,'[1]კონსოლიდირებული ტენდერი'!E:E,B217,'[1]კონსოლიდირებული ტენდერი'!N:N,"საკუთარი შემოსავლები",'[1]კონსოლიდირებული ტენდერი'!O:O,"270106"),0)</f>
        <v>0</v>
      </c>
      <c r="N217" s="87">
        <v>0</v>
      </c>
      <c r="O217" s="87">
        <f>IF(G217="ელ. ტენდერი",SUMIFS('[1]ელ. ტენდერი'!N:N,'[1]ელ. ტენდერი'!G:G,B217,'[1]ელ. ტენდერი'!Q:Q,"საკუთარი შემოსავლები",'[1]ელ. ტენდერი'!R:R,"270106"),0)</f>
        <v>0</v>
      </c>
      <c r="P217" s="87">
        <v>0</v>
      </c>
      <c r="Q217" s="88">
        <f t="shared" si="5"/>
        <v>540</v>
      </c>
    </row>
    <row r="218" spans="1:17" x14ac:dyDescent="0.25">
      <c r="A218" s="18">
        <v>44</v>
      </c>
      <c r="B218" s="53" t="s">
        <v>130</v>
      </c>
      <c r="C218" s="84" t="s">
        <v>25</v>
      </c>
      <c r="D218" s="21">
        <v>2703030701</v>
      </c>
      <c r="E218" s="61" t="s">
        <v>131</v>
      </c>
      <c r="F218" s="23">
        <f>2000-2000</f>
        <v>0</v>
      </c>
      <c r="G218" s="86" t="s">
        <v>267</v>
      </c>
      <c r="H218" s="25">
        <v>43466</v>
      </c>
      <c r="I218" s="25">
        <v>43830</v>
      </c>
      <c r="J218" s="32"/>
      <c r="K218" s="87">
        <v>0</v>
      </c>
      <c r="L218" s="87">
        <f>IF(G218="გამ. შესყიდვა",SUMIFS('[1]გამარტივებული შესყიდვა'!L:L,'[1]გამარტივებული შესყიდვა'!K:K,B218,'[1]გამარტივებული შესყიდვა'!N:N,"საკუთარი შემოსავლები",'[1]გამარტივებული შესყიდვა'!O:O,"2703030701"),0)</f>
        <v>0</v>
      </c>
      <c r="M218" s="87">
        <v>0</v>
      </c>
      <c r="N218" s="87">
        <f>IF(G218="კონს. ტენდერი",SUMIFS('[1]კონსოლიდირებული ტენდერი'!L:L,'[1]კონსოლიდირებული ტენდერი'!E:E,B218,'[1]კონსოლიდირებული ტენდერი'!N:N,"საკუთარი შემოსავლები",'[1]კონსოლიდირებული ტენდერი'!O:O,"2703030701"),0)</f>
        <v>0</v>
      </c>
      <c r="O218" s="87">
        <v>0</v>
      </c>
      <c r="P218" s="87">
        <f>IF(G218="ელ. ტენდერი",SUMIFS('[1]ელ. ტენდერი'!N:N,'[1]ელ. ტენდერი'!G:G,B218,'[1]ელ. ტენდერი'!Q:Q,"საკუთარი შემოსავლები",'[1]ელ. ტენდერი'!R:R,"2703030701"),0)</f>
        <v>0</v>
      </c>
      <c r="Q218" s="88">
        <f t="shared" si="5"/>
        <v>0</v>
      </c>
    </row>
    <row r="219" spans="1:17" x14ac:dyDescent="0.25">
      <c r="A219" s="9">
        <v>45</v>
      </c>
      <c r="B219" s="53" t="s">
        <v>132</v>
      </c>
      <c r="C219" s="84" t="s">
        <v>25</v>
      </c>
      <c r="D219" s="49">
        <v>270106</v>
      </c>
      <c r="E219" s="61" t="s">
        <v>133</v>
      </c>
      <c r="F219" s="23">
        <v>1000</v>
      </c>
      <c r="G219" s="86" t="s">
        <v>27</v>
      </c>
      <c r="H219" s="25">
        <v>43466</v>
      </c>
      <c r="I219" s="25">
        <v>43830</v>
      </c>
      <c r="J219" s="32"/>
      <c r="K219" s="87">
        <f>IF(G219="გამ. შესყიდვა",SUMIFS('[1]გამარტივებული შესყიდვა'!L:L,'[1]გამარტივებული შესყიდვა'!K:K,B219,'[1]გამარტივებული შესყიდვა'!N:N,"საკუთარი შემოსავლები",'[1]გამარტივებული შესყიდვა'!O:O,"270106"),0)</f>
        <v>0</v>
      </c>
      <c r="L219" s="87">
        <v>0</v>
      </c>
      <c r="M219" s="87">
        <f>IF(G219="კონს. ტენდერი",SUMIFS('[1]კონსოლიდირებული ტენდერი'!L:L,'[1]კონსოლიდირებული ტენდერი'!E:E,B219,'[1]კონსოლიდირებული ტენდერი'!N:N,"საკუთარი შემოსავლები",'[1]კონსოლიდირებული ტენდერი'!O:O,"270106"),0)</f>
        <v>0</v>
      </c>
      <c r="N219" s="87">
        <v>0</v>
      </c>
      <c r="O219" s="87">
        <f>IF(G219="ელ. ტენდერი",SUMIFS('[1]ელ. ტენდერი'!N:N,'[1]ელ. ტენდერი'!G:G,B219,'[1]ელ. ტენდერი'!Q:Q,"საკუთარი შემოსავლები",'[1]ელ. ტენდერი'!R:R,"270106"),0)</f>
        <v>0</v>
      </c>
      <c r="P219" s="87">
        <v>0</v>
      </c>
      <c r="Q219" s="88">
        <f t="shared" si="5"/>
        <v>1000</v>
      </c>
    </row>
    <row r="220" spans="1:17" x14ac:dyDescent="0.25">
      <c r="A220" s="9">
        <v>46</v>
      </c>
      <c r="B220" s="53" t="s">
        <v>134</v>
      </c>
      <c r="C220" s="84" t="s">
        <v>25</v>
      </c>
      <c r="D220" s="21">
        <v>2703030701</v>
      </c>
      <c r="E220" s="61" t="s">
        <v>268</v>
      </c>
      <c r="F220" s="23">
        <v>2000</v>
      </c>
      <c r="G220" s="86" t="s">
        <v>27</v>
      </c>
      <c r="H220" s="25">
        <v>43466</v>
      </c>
      <c r="I220" s="25">
        <v>43830</v>
      </c>
      <c r="J220" s="96"/>
      <c r="K220" s="87">
        <v>0</v>
      </c>
      <c r="L220" s="87">
        <f>IF(G220="გამ. შესყიდვა",SUMIFS('[1]გამარტივებული შესყიდვა'!L:L,'[1]გამარტივებული შესყიდვა'!K:K,B220,'[1]გამარტივებული შესყიდვა'!N:N,"საკუთარი შემოსავლები",'[1]გამარტივებული შესყიდვა'!O:O,"2703030701"),0)</f>
        <v>0</v>
      </c>
      <c r="M220" s="87">
        <v>0</v>
      </c>
      <c r="N220" s="87">
        <f>IF(G220="კონს. ტენდერი",SUMIFS('[1]კონსოლიდირებული ტენდერი'!L:L,'[1]კონსოლიდირებული ტენდერი'!E:E,B220,'[1]კონსოლიდირებული ტენდერი'!N:N,"საკუთარი შემოსავლები",'[1]კონსოლიდირებული ტენდერი'!O:O,"2703030701"),0)</f>
        <v>0</v>
      </c>
      <c r="O220" s="87">
        <v>0</v>
      </c>
      <c r="P220" s="87">
        <f>IF(G220="ელ. ტენდერი",SUMIFS('[1]ელ. ტენდერი'!N:N,'[1]ელ. ტენდერი'!G:G,B220,'[1]ელ. ტენდერი'!Q:Q,"საკუთარი შემოსავლები",'[1]ელ. ტენდერი'!R:R,"2703030701"),0)</f>
        <v>0</v>
      </c>
      <c r="Q220" s="88">
        <f t="shared" si="5"/>
        <v>2000</v>
      </c>
    </row>
    <row r="221" spans="1:17" x14ac:dyDescent="0.25">
      <c r="A221" s="9">
        <v>47</v>
      </c>
      <c r="B221" s="53" t="s">
        <v>134</v>
      </c>
      <c r="C221" s="84" t="s">
        <v>25</v>
      </c>
      <c r="D221" s="49">
        <v>270106</v>
      </c>
      <c r="E221" s="61" t="s">
        <v>268</v>
      </c>
      <c r="F221" s="23">
        <f>1000+1990</f>
        <v>2990</v>
      </c>
      <c r="G221" s="86" t="s">
        <v>27</v>
      </c>
      <c r="H221" s="25">
        <v>43466</v>
      </c>
      <c r="I221" s="25">
        <v>43830</v>
      </c>
      <c r="J221" s="96"/>
      <c r="K221" s="87">
        <f>IF(G221="გამ. შესყიდვა",SUMIFS('[1]გამარტივებული შესყიდვა'!L:L,'[1]გამარტივებული შესყიდვა'!K:K,B221,'[1]გამარტივებული შესყიდვა'!N:N,"საკუთარი შემოსავლები",'[1]გამარტივებული შესყიდვა'!O:O,"270106"),0)</f>
        <v>2216.8000000000002</v>
      </c>
      <c r="L221" s="87">
        <v>0</v>
      </c>
      <c r="M221" s="87">
        <f>IF(G221="კონს. ტენდერი",SUMIFS('[1]კონსოლიდირებული ტენდერი'!L:L,'[1]კონსოლიდირებული ტენდერი'!E:E,B221,'[1]კონსოლიდირებული ტენდერი'!N:N,"საკუთარი შემოსავლები",'[1]კონსოლიდირებული ტენდერი'!O:O,"270106"),0)</f>
        <v>0</v>
      </c>
      <c r="N221" s="87">
        <v>0</v>
      </c>
      <c r="O221" s="87">
        <f>IF(G221="ელ. ტენდერი",SUMIFS('[1]ელ. ტენდერი'!N:N,'[1]ელ. ტენდერი'!G:G,B221,'[1]ელ. ტენდერი'!Q:Q,"საკუთარი შემოსავლები",'[1]ელ. ტენდერი'!R:R,"270106"),0)</f>
        <v>0</v>
      </c>
      <c r="P221" s="87">
        <v>0</v>
      </c>
      <c r="Q221" s="88">
        <f t="shared" si="5"/>
        <v>773.19999999999982</v>
      </c>
    </row>
    <row r="222" spans="1:17" x14ac:dyDescent="0.25">
      <c r="A222" s="18">
        <v>48</v>
      </c>
      <c r="B222" s="53" t="s">
        <v>140</v>
      </c>
      <c r="C222" s="84" t="s">
        <v>25</v>
      </c>
      <c r="D222" s="21">
        <v>2703030701</v>
      </c>
      <c r="E222" s="61" t="s">
        <v>141</v>
      </c>
      <c r="F222" s="23">
        <f>2000+1900-1202-1800</f>
        <v>898</v>
      </c>
      <c r="G222" s="86" t="s">
        <v>27</v>
      </c>
      <c r="H222" s="25">
        <v>43466</v>
      </c>
      <c r="I222" s="25">
        <v>43830</v>
      </c>
      <c r="J222" s="32"/>
      <c r="K222" s="87">
        <v>0</v>
      </c>
      <c r="L222" s="87">
        <f>IF(G222="გამ. შესყიდვა",SUMIFS('[1]გამარტივებული შესყიდვა'!L:L,'[1]გამარტივებული შესყიდვა'!K:K,B222,'[1]გამარტივებული შესყიდვა'!N:N,"საკუთარი შემოსავლები",'[1]გამარტივებული შესყიდვა'!O:O,"2703030701"),0)</f>
        <v>0</v>
      </c>
      <c r="M222" s="87">
        <v>0</v>
      </c>
      <c r="N222" s="87">
        <f>IF(G222="კონს. ტენდერი",SUMIFS('[1]კონსოლიდირებული ტენდერი'!L:L,'[1]კონსოლიდირებული ტენდერი'!E:E,B222,'[1]კონსოლიდირებული ტენდერი'!N:N,"საკუთარი შემოსავლები",'[1]კონსოლიდირებული ტენდერი'!O:O,"2703030701"),0)</f>
        <v>0</v>
      </c>
      <c r="O222" s="87">
        <v>0</v>
      </c>
      <c r="P222" s="87">
        <f>IF(G222="ელ. ტენდერი",SUMIFS('[1]ელ. ტენდერი'!N:N,'[1]ელ. ტენდერი'!G:G,B222,'[1]ელ. ტენდერი'!Q:Q,"საკუთარი შემოსავლები",'[1]ელ. ტენდერი'!R:R,"2703030701"),0)</f>
        <v>0</v>
      </c>
      <c r="Q222" s="88">
        <f t="shared" si="5"/>
        <v>898</v>
      </c>
    </row>
    <row r="223" spans="1:17" x14ac:dyDescent="0.25">
      <c r="A223" s="18">
        <v>49</v>
      </c>
      <c r="B223" s="53" t="s">
        <v>140</v>
      </c>
      <c r="C223" s="84" t="s">
        <v>25</v>
      </c>
      <c r="D223" s="49">
        <v>270106</v>
      </c>
      <c r="E223" s="61" t="s">
        <v>141</v>
      </c>
      <c r="F223" s="23">
        <v>1000</v>
      </c>
      <c r="G223" s="86" t="s">
        <v>27</v>
      </c>
      <c r="H223" s="25">
        <v>43466</v>
      </c>
      <c r="I223" s="25">
        <v>43830</v>
      </c>
      <c r="J223" s="32"/>
      <c r="K223" s="87">
        <f>IF(G223="გამ. შესყიდვა",SUMIFS('[1]გამარტივებული შესყიდვა'!L:L,'[1]გამარტივებული შესყიდვა'!K:K,B223,'[1]გამარტივებული შესყიდვა'!N:N,"საკუთარი შემოსავლები",'[1]გამარტივებული შესყიდვა'!O:O,"270106"),0)</f>
        <v>90</v>
      </c>
      <c r="L223" s="87">
        <v>0</v>
      </c>
      <c r="M223" s="87">
        <f>IF(G223="კონს. ტენდერი",SUMIFS('[1]კონსოლიდირებული ტენდერი'!L:L,'[1]კონსოლიდირებული ტენდერი'!E:E,B223,'[1]კონსოლიდირებული ტენდერი'!N:N,"საკუთარი შემოსავლები",'[1]კონსოლიდირებული ტენდერი'!O:O,"270106"),0)</f>
        <v>0</v>
      </c>
      <c r="N223" s="87">
        <v>0</v>
      </c>
      <c r="O223" s="87">
        <f>IF(G223="ელ. ტენდერი",SUMIFS('[1]ელ. ტენდერი'!N:N,'[1]ელ. ტენდერი'!G:G,B223,'[1]ელ. ტენდერი'!Q:Q,"საკუთარი შემოსავლები",'[1]ელ. ტენდერი'!R:R,"270106"),0)</f>
        <v>0</v>
      </c>
      <c r="P223" s="87">
        <v>0</v>
      </c>
      <c r="Q223" s="88">
        <f t="shared" si="5"/>
        <v>910</v>
      </c>
    </row>
    <row r="224" spans="1:17" x14ac:dyDescent="0.25">
      <c r="A224" s="9">
        <v>50</v>
      </c>
      <c r="B224" s="48" t="s">
        <v>142</v>
      </c>
      <c r="C224" s="84" t="s">
        <v>25</v>
      </c>
      <c r="D224" s="49">
        <v>270106</v>
      </c>
      <c r="E224" s="61" t="s">
        <v>143</v>
      </c>
      <c r="F224" s="23">
        <f>1500-1000</f>
        <v>500</v>
      </c>
      <c r="G224" s="86" t="s">
        <v>27</v>
      </c>
      <c r="H224" s="25">
        <v>43466</v>
      </c>
      <c r="I224" s="25">
        <v>43830</v>
      </c>
      <c r="J224" s="32"/>
      <c r="K224" s="87">
        <f>IF(G224="გამ. შესყიდვა",SUMIFS('[1]გამარტივებული შესყიდვა'!L:L,'[1]გამარტივებული შესყიდვა'!K:K,B224,'[1]გამარტივებული შესყიდვა'!N:N,"საკუთარი შემოსავლები",'[1]გამარტივებული შესყიდვა'!O:O,"270106"),0)</f>
        <v>259.5</v>
      </c>
      <c r="L224" s="87">
        <v>0</v>
      </c>
      <c r="M224" s="87">
        <f>IF(G224="კონს. ტენდერი",SUMIFS('[1]კონსოლიდირებული ტენდერი'!L:L,'[1]კონსოლიდირებული ტენდერი'!E:E,B224,'[1]კონსოლიდირებული ტენდერი'!N:N,"საკუთარი შემოსავლები",'[1]კონსოლიდირებული ტენდერი'!O:O,"270106"),0)</f>
        <v>0</v>
      </c>
      <c r="N224" s="87">
        <v>0</v>
      </c>
      <c r="O224" s="87">
        <f>IF(G224="ელ. ტენდერი",SUMIFS('[1]ელ. ტენდერი'!N:N,'[1]ელ. ტენდერი'!G:G,B224,'[1]ელ. ტენდერი'!Q:Q,"საკუთარი შემოსავლები",'[1]ელ. ტენდერი'!R:R,"270106"),0)</f>
        <v>0</v>
      </c>
      <c r="P224" s="87">
        <v>0</v>
      </c>
      <c r="Q224" s="88">
        <f t="shared" si="5"/>
        <v>240.5</v>
      </c>
    </row>
    <row r="225" spans="1:17" x14ac:dyDescent="0.25">
      <c r="A225" s="9">
        <v>51</v>
      </c>
      <c r="B225" s="97" t="s">
        <v>142</v>
      </c>
      <c r="C225" s="84" t="s">
        <v>25</v>
      </c>
      <c r="D225" s="21">
        <v>2703030701</v>
      </c>
      <c r="E225" s="61" t="s">
        <v>143</v>
      </c>
      <c r="F225" s="23">
        <v>2000</v>
      </c>
      <c r="G225" s="86" t="s">
        <v>27</v>
      </c>
      <c r="H225" s="25">
        <v>44089</v>
      </c>
      <c r="I225" s="25">
        <v>43830</v>
      </c>
      <c r="J225" s="32"/>
      <c r="K225" s="87">
        <v>0</v>
      </c>
      <c r="L225" s="87">
        <f>IF(G225="გამ. შესყიდვა",SUMIFS('[1]გამარტივებული შესყიდვა'!L:L,'[1]გამარტივებული შესყიდვა'!K:K,B225,'[1]გამარტივებული შესყიდვა'!N:N,"საკუთარი შემოსავლები",'[1]გამარტივებული შესყიდვა'!O:O,"2703030701"),0)</f>
        <v>0</v>
      </c>
      <c r="M225" s="87">
        <v>0</v>
      </c>
      <c r="N225" s="87">
        <f>IF(G225="კონს. ტენდერი",SUMIFS('[1]კონსოლიდირებული ტენდერი'!L:L,'[1]კონსოლიდირებული ტენდერი'!E:E,B225,'[1]კონსოლიდირებული ტენდერი'!N:N,"საკუთარი შემოსავლები",'[1]კონსოლიდირებული ტენდერი'!O:O,"2703030701"),0)</f>
        <v>0</v>
      </c>
      <c r="O225" s="87">
        <v>0</v>
      </c>
      <c r="P225" s="87">
        <f>IF(G225="ელ. ტენდერი",SUMIFS('[1]ელ. ტენდერი'!N:N,'[1]ელ. ტენდერი'!G:G,B225,'[1]ელ. ტენდერი'!Q:Q,"საკუთარი შემოსავლები",'[1]ელ. ტენდერი'!R:R,"2703030701"),0)</f>
        <v>0</v>
      </c>
      <c r="Q225" s="88">
        <f t="shared" si="5"/>
        <v>2000</v>
      </c>
    </row>
    <row r="226" spans="1:17" x14ac:dyDescent="0.25">
      <c r="A226" s="9">
        <v>52</v>
      </c>
      <c r="B226" s="53" t="s">
        <v>150</v>
      </c>
      <c r="C226" s="84" t="s">
        <v>25</v>
      </c>
      <c r="D226" s="49">
        <v>270106</v>
      </c>
      <c r="E226" s="61" t="s">
        <v>269</v>
      </c>
      <c r="F226" s="23">
        <v>2000</v>
      </c>
      <c r="G226" s="86" t="s">
        <v>27</v>
      </c>
      <c r="H226" s="25">
        <v>43466</v>
      </c>
      <c r="I226" s="25">
        <v>43830</v>
      </c>
      <c r="J226" s="32"/>
      <c r="K226" s="87">
        <f>IF(G226="გამ. შესყიდვა",SUMIFS('[1]გამარტივებული შესყიდვა'!L:L,'[1]გამარტივებული შესყიდვა'!K:K,B226,'[1]გამარტივებული შესყიდვა'!N:N,"საკუთარი შემოსავლები",'[1]გამარტივებული შესყიდვა'!O:O,"270106"),0)</f>
        <v>0</v>
      </c>
      <c r="L226" s="87">
        <v>0</v>
      </c>
      <c r="M226" s="87">
        <f>IF(G226="კონს. ტენდერი",SUMIFS('[1]კონსოლიდირებული ტენდერი'!L:L,'[1]კონსოლიდირებული ტენდერი'!E:E,B226,'[1]კონსოლიდირებული ტენდერი'!N:N,"საკუთარი შემოსავლები",'[1]კონსოლიდირებული ტენდერი'!O:O,"270106"),0)</f>
        <v>0</v>
      </c>
      <c r="N226" s="87">
        <v>0</v>
      </c>
      <c r="O226" s="87">
        <f>IF(G226="ელ. ტენდერი",SUMIFS('[1]ელ. ტენდერი'!N:N,'[1]ელ. ტენდერი'!G:G,B226,'[1]ელ. ტენდერი'!Q:Q,"საკუთარი შემოსავლები",'[1]ელ. ტენდერი'!R:R,"270106"),0)</f>
        <v>0</v>
      </c>
      <c r="P226" s="87">
        <v>0</v>
      </c>
      <c r="Q226" s="88">
        <f t="shared" si="5"/>
        <v>2000</v>
      </c>
    </row>
    <row r="227" spans="1:17" x14ac:dyDescent="0.25">
      <c r="A227" s="18">
        <v>53</v>
      </c>
      <c r="B227" s="53" t="s">
        <v>150</v>
      </c>
      <c r="C227" s="84" t="s">
        <v>25</v>
      </c>
      <c r="D227" s="21">
        <v>2703030701</v>
      </c>
      <c r="E227" s="61" t="s">
        <v>269</v>
      </c>
      <c r="F227" s="23">
        <v>2900</v>
      </c>
      <c r="G227" s="86" t="s">
        <v>27</v>
      </c>
      <c r="H227" s="25">
        <v>43466</v>
      </c>
      <c r="I227" s="25">
        <v>43830</v>
      </c>
      <c r="J227" s="32"/>
      <c r="K227" s="87">
        <v>0</v>
      </c>
      <c r="L227" s="87">
        <f>IF(G227="გამ. შესყიდვა",SUMIFS('[1]გამარტივებული შესყიდვა'!L:L,'[1]გამარტივებული შესყიდვა'!K:K,B227,'[1]გამარტივებული შესყიდვა'!N:N,"საკუთარი შემოსავლები",'[1]გამარტივებული შესყიდვა'!O:O,"2703030701"),0)</f>
        <v>0</v>
      </c>
      <c r="M227" s="87">
        <v>0</v>
      </c>
      <c r="N227" s="87">
        <f>IF(G227="კონს. ტენდერი",SUMIFS('[1]კონსოლიდირებული ტენდერი'!L:L,'[1]კონსოლიდირებული ტენდერი'!E:E,B227,'[1]კონსოლიდირებული ტენდერი'!N:N,"საკუთარი შემოსავლები",'[1]კონსოლიდირებული ტენდერი'!O:O,"2703030701"),0)</f>
        <v>0</v>
      </c>
      <c r="O227" s="87">
        <v>0</v>
      </c>
      <c r="P227" s="87">
        <f>IF(G227="ელ. ტენდერი",SUMIFS('[1]ელ. ტენდერი'!N:N,'[1]ელ. ტენდერი'!G:G,B227,'[1]ელ. ტენდერი'!Q:Q,"საკუთარი შემოსავლები",'[1]ელ. ტენდერი'!R:R,"2703030701"),0)</f>
        <v>0</v>
      </c>
      <c r="Q227" s="88">
        <f t="shared" si="5"/>
        <v>2900</v>
      </c>
    </row>
    <row r="228" spans="1:17" x14ac:dyDescent="0.25">
      <c r="A228" s="18">
        <v>54</v>
      </c>
      <c r="B228" s="53" t="s">
        <v>152</v>
      </c>
      <c r="C228" s="84" t="s">
        <v>25</v>
      </c>
      <c r="D228" s="21">
        <v>2703030701</v>
      </c>
      <c r="E228" s="61" t="s">
        <v>153</v>
      </c>
      <c r="F228" s="23">
        <v>1500</v>
      </c>
      <c r="G228" s="86" t="s">
        <v>27</v>
      </c>
      <c r="H228" s="25">
        <v>44060</v>
      </c>
      <c r="I228" s="25">
        <v>43830</v>
      </c>
      <c r="J228" s="32"/>
      <c r="K228" s="87">
        <v>0</v>
      </c>
      <c r="L228" s="87">
        <f>IF(G228="გამ. შესყიდვა",SUMIFS('[1]გამარტივებული შესყიდვა'!L:L,'[1]გამარტივებული შესყიდვა'!K:K,B228,'[1]გამარტივებული შესყიდვა'!N:N,"საკუთარი შემოსავლები",'[1]გამარტივებული შესყიდვა'!O:O,"2703030701"),0)</f>
        <v>1500</v>
      </c>
      <c r="M228" s="87">
        <v>0</v>
      </c>
      <c r="N228" s="87">
        <f>IF(G228="კონს. ტენდერი",SUMIFS('[1]კონსოლიდირებული ტენდერი'!L:L,'[1]კონსოლიდირებული ტენდერი'!E:E,B228,'[1]კონსოლიდირებული ტენდერი'!N:N,"საკუთარი შემოსავლები",'[1]კონსოლიდირებული ტენდერი'!O:O,"2703030701"),0)</f>
        <v>0</v>
      </c>
      <c r="O228" s="87">
        <v>0</v>
      </c>
      <c r="P228" s="87">
        <f>IF(G228="ელ. ტენდერი",SUMIFS('[1]ელ. ტენდერი'!N:N,'[1]ელ. ტენდერი'!G:G,B228,'[1]ელ. ტენდერი'!Q:Q,"საკუთარი შემოსავლები",'[1]ელ. ტენდერი'!R:R,"2703030701"),0)</f>
        <v>0</v>
      </c>
      <c r="Q228" s="88">
        <f t="shared" si="5"/>
        <v>0</v>
      </c>
    </row>
    <row r="229" spans="1:17" x14ac:dyDescent="0.25">
      <c r="A229" s="9">
        <v>55</v>
      </c>
      <c r="B229" s="53" t="s">
        <v>164</v>
      </c>
      <c r="C229" s="84" t="s">
        <v>25</v>
      </c>
      <c r="D229" s="49">
        <v>270106</v>
      </c>
      <c r="E229" s="61" t="s">
        <v>165</v>
      </c>
      <c r="F229" s="23">
        <v>2990</v>
      </c>
      <c r="G229" s="86" t="s">
        <v>27</v>
      </c>
      <c r="H229" s="25">
        <v>43466</v>
      </c>
      <c r="I229" s="25">
        <v>43830</v>
      </c>
      <c r="J229" s="32"/>
      <c r="K229" s="87">
        <f>IF(G229="გამ. შესყიდვა",SUMIFS('[1]გამარტივებული შესყიდვა'!L:L,'[1]გამარტივებული შესყიდვა'!K:K,B229,'[1]გამარტივებული შესყიდვა'!N:N,"საკუთარი შემოსავლები",'[1]გამარტივებული შესყიდვა'!O:O,"270106"),0)</f>
        <v>100</v>
      </c>
      <c r="L229" s="87">
        <v>0</v>
      </c>
      <c r="M229" s="87">
        <f>IF(G229="კონს. ტენდერი",SUMIFS('[1]კონსოლიდირებული ტენდერი'!L:L,'[1]კონსოლიდირებული ტენდერი'!E:E,B229,'[1]კონსოლიდირებული ტენდერი'!N:N,"საკუთარი შემოსავლები",'[1]კონსოლიდირებული ტენდერი'!O:O,"270106"),0)</f>
        <v>0</v>
      </c>
      <c r="N229" s="87">
        <v>0</v>
      </c>
      <c r="O229" s="87">
        <f>IF(G229="ელ. ტენდერი",SUMIFS('[1]ელ. ტენდერი'!N:N,'[1]ელ. ტენდერი'!G:G,B229,'[1]ელ. ტენდერი'!Q:Q,"საკუთარი შემოსავლები",'[1]ელ. ტენდერი'!R:R,"270106"),0)</f>
        <v>0</v>
      </c>
      <c r="P229" s="87">
        <v>0</v>
      </c>
      <c r="Q229" s="88">
        <f t="shared" si="5"/>
        <v>2890</v>
      </c>
    </row>
    <row r="230" spans="1:17" x14ac:dyDescent="0.25">
      <c r="A230" s="18"/>
      <c r="B230" s="53" t="s">
        <v>164</v>
      </c>
      <c r="C230" s="84" t="s">
        <v>25</v>
      </c>
      <c r="D230" s="21">
        <v>2703030701</v>
      </c>
      <c r="E230" s="61" t="s">
        <v>165</v>
      </c>
      <c r="F230" s="23">
        <v>900</v>
      </c>
      <c r="G230" s="86" t="s">
        <v>27</v>
      </c>
      <c r="H230" s="25">
        <v>44060</v>
      </c>
      <c r="I230" s="25">
        <v>43830</v>
      </c>
      <c r="J230" s="32"/>
      <c r="K230" s="87">
        <v>0</v>
      </c>
      <c r="L230" s="87">
        <f>IF(G230="გამ. შესყიდვა",SUMIFS('[1]გამარტივებული შესყიდვა'!L:L,'[1]გამარტივებული შესყიდვა'!K:K,B230,'[1]გამარტივებული შესყიდვა'!N:N,"საკუთარი შემოსავლები",'[1]გამარტივებული შესყიდვა'!O:O,"2703030701"),0)</f>
        <v>900</v>
      </c>
      <c r="M230" s="87">
        <v>0</v>
      </c>
      <c r="N230" s="87">
        <f>IF(G230="კონს. ტენდერი",SUMIFS('[1]კონსოლიდირებული ტენდერი'!L:L,'[1]კონსოლიდირებული ტენდერი'!E:E,B230,'[1]კონსოლიდირებული ტენდერი'!N:N,"საკუთარი შემოსავლები",'[1]კონსოლიდირებული ტენდერი'!O:O,"2703030701"),0)</f>
        <v>0</v>
      </c>
      <c r="O230" s="87">
        <v>0</v>
      </c>
      <c r="P230" s="87">
        <f>IF(G230="ელ. ტენდერი",SUMIFS('[1]ელ. ტენდერი'!N:N,'[1]ელ. ტენდერი'!G:G,B230,'[1]ელ. ტენდერი'!Q:Q,"საკუთარი შემოსავლები",'[1]ელ. ტენდერი'!R:R,"2703030701"),0)</f>
        <v>0</v>
      </c>
      <c r="Q230" s="88">
        <f t="shared" si="5"/>
        <v>0</v>
      </c>
    </row>
    <row r="231" spans="1:17" ht="30" x14ac:dyDescent="0.25">
      <c r="A231" s="9">
        <v>56</v>
      </c>
      <c r="B231" s="53" t="s">
        <v>167</v>
      </c>
      <c r="C231" s="84" t="s">
        <v>25</v>
      </c>
      <c r="D231" s="49">
        <v>270106</v>
      </c>
      <c r="E231" s="61" t="s">
        <v>168</v>
      </c>
      <c r="F231" s="23">
        <v>1800</v>
      </c>
      <c r="G231" s="86" t="s">
        <v>27</v>
      </c>
      <c r="H231" s="25">
        <v>43466</v>
      </c>
      <c r="I231" s="25">
        <v>43830</v>
      </c>
      <c r="J231" s="32"/>
      <c r="K231" s="87">
        <f>IF(G231="გამ. შესყიდვა",SUMIFS('[1]გამარტივებული შესყიდვა'!L:L,'[1]გამარტივებული შესყიდვა'!K:K,B231,'[1]გამარტივებული შესყიდვა'!N:N,"საკუთარი შემოსავლები",'[1]გამარტივებული შესყიდვა'!O:O,"270106"),0)</f>
        <v>1240</v>
      </c>
      <c r="L231" s="87">
        <v>0</v>
      </c>
      <c r="M231" s="87">
        <f>IF(G231="კონს. ტენდერი",SUMIFS('[1]კონსოლიდირებული ტენდერი'!L:L,'[1]კონსოლიდირებული ტენდერი'!E:E,B231,'[1]კონსოლიდირებული ტენდერი'!N:N,"საკუთარი შემოსავლები",'[1]კონსოლიდირებული ტენდერი'!O:O,"270106"),0)</f>
        <v>0</v>
      </c>
      <c r="N231" s="87">
        <v>0</v>
      </c>
      <c r="O231" s="87">
        <f>IF(G231="ელ. ტენდერი",SUMIFS('[1]ელ. ტენდერი'!N:N,'[1]ელ. ტენდერი'!G:G,B231,'[1]ელ. ტენდერი'!Q:Q,"საკუთარი შემოსავლები",'[1]ელ. ტენდერი'!R:R,"270106"),0)</f>
        <v>0</v>
      </c>
      <c r="P231" s="87">
        <v>0</v>
      </c>
      <c r="Q231" s="88">
        <f t="shared" si="5"/>
        <v>560</v>
      </c>
    </row>
    <row r="232" spans="1:17" ht="30" x14ac:dyDescent="0.25">
      <c r="A232" s="9">
        <v>57</v>
      </c>
      <c r="B232" s="53" t="s">
        <v>167</v>
      </c>
      <c r="C232" s="84" t="s">
        <v>25</v>
      </c>
      <c r="D232" s="21">
        <v>2703030701</v>
      </c>
      <c r="E232" s="61" t="s">
        <v>168</v>
      </c>
      <c r="F232" s="23">
        <f>3100-1000</f>
        <v>2100</v>
      </c>
      <c r="G232" s="86" t="s">
        <v>27</v>
      </c>
      <c r="H232" s="25">
        <v>43466</v>
      </c>
      <c r="I232" s="25">
        <v>43830</v>
      </c>
      <c r="J232" s="32"/>
      <c r="K232" s="87">
        <v>0</v>
      </c>
      <c r="L232" s="87">
        <f>IF(G232="გამ. შესყიდვა",SUMIFS('[1]გამარტივებული შესყიდვა'!L:L,'[1]გამარტივებული შესყიდვა'!K:K,B232,'[1]გამარტივებული შესყიდვა'!N:N,"საკუთარი შემოსავლები",'[1]გამარტივებული შესყიდვა'!O:O,"2703030701"),0)</f>
        <v>843.8</v>
      </c>
      <c r="M232" s="87">
        <v>0</v>
      </c>
      <c r="N232" s="87">
        <f>IF(G232="კონს. ტენდერი",SUMIFS('[1]კონსოლიდირებული ტენდერი'!L:L,'[1]კონსოლიდირებული ტენდერი'!E:E,B232,'[1]კონსოლიდირებული ტენდერი'!N:N,"საკუთარი შემოსავლები",'[1]კონსოლიდირებული ტენდერი'!O:O,"2703030701"),0)</f>
        <v>0</v>
      </c>
      <c r="O232" s="87">
        <v>0</v>
      </c>
      <c r="P232" s="87">
        <f>IF(G232="ელ. ტენდერი",SUMIFS('[1]ელ. ტენდერი'!N:N,'[1]ელ. ტენდერი'!G:G,B232,'[1]ელ. ტენდერი'!Q:Q,"საკუთარი შემოსავლები",'[1]ელ. ტენდერი'!R:R,"2703030701"),0)</f>
        <v>0</v>
      </c>
      <c r="Q232" s="88">
        <f t="shared" si="5"/>
        <v>1256.2</v>
      </c>
    </row>
    <row r="233" spans="1:17" x14ac:dyDescent="0.25">
      <c r="A233" s="9">
        <v>58</v>
      </c>
      <c r="B233" s="19" t="s">
        <v>169</v>
      </c>
      <c r="C233" s="84" t="s">
        <v>25</v>
      </c>
      <c r="D233" s="21">
        <v>2703030701</v>
      </c>
      <c r="E233" s="61" t="s">
        <v>170</v>
      </c>
      <c r="F233" s="23">
        <f>1500+3400</f>
        <v>4900</v>
      </c>
      <c r="G233" s="86" t="s">
        <v>27</v>
      </c>
      <c r="H233" s="25">
        <v>43466</v>
      </c>
      <c r="I233" s="25">
        <v>43830</v>
      </c>
      <c r="J233" s="32"/>
      <c r="K233" s="87">
        <v>0</v>
      </c>
      <c r="L233" s="87">
        <f>IF(G233="გამ. შესყიდვა",SUMIFS('[1]გამარტივებული შესყიდვა'!L:L,'[1]გამარტივებული შესყიდვა'!K:K,B233,'[1]გამარტივებული შესყიდვა'!N:N,"საკუთარი შემოსავლები",'[1]გამარტივებული შესყიდვა'!O:O,"2703030701"),0)</f>
        <v>4900</v>
      </c>
      <c r="M233" s="87">
        <v>0</v>
      </c>
      <c r="N233" s="87">
        <f>IF(G233="კონს. ტენდერი",SUMIFS('[1]კონსოლიდირებული ტენდერი'!L:L,'[1]კონსოლიდირებული ტენდერი'!E:E,B233,'[1]კონსოლიდირებული ტენდერი'!N:N,"საკუთარი შემოსავლები",'[1]კონსოლიდირებული ტენდერი'!O:O,"2703030701"),0)</f>
        <v>0</v>
      </c>
      <c r="O233" s="87">
        <v>0</v>
      </c>
      <c r="P233" s="87">
        <f>IF(G233="ელ. ტენდერი",SUMIFS('[1]ელ. ტენდერი'!N:N,'[1]ელ. ტენდერი'!G:G,B233,'[1]ელ. ტენდერი'!Q:Q,"საკუთარი შემოსავლები",'[1]ელ. ტენდერი'!R:R,"2703030701"),0)</f>
        <v>0</v>
      </c>
      <c r="Q233" s="88">
        <f t="shared" si="5"/>
        <v>0</v>
      </c>
    </row>
    <row r="234" spans="1:17" x14ac:dyDescent="0.25">
      <c r="A234" s="9">
        <v>59</v>
      </c>
      <c r="B234" s="19" t="s">
        <v>171</v>
      </c>
      <c r="C234" s="20" t="s">
        <v>25</v>
      </c>
      <c r="D234" s="21">
        <v>2703030701</v>
      </c>
      <c r="E234" s="22" t="s">
        <v>172</v>
      </c>
      <c r="F234" s="23">
        <v>2000</v>
      </c>
      <c r="G234" s="24" t="s">
        <v>27</v>
      </c>
      <c r="H234" s="25">
        <v>43466</v>
      </c>
      <c r="I234" s="25">
        <v>43830</v>
      </c>
      <c r="J234" s="32"/>
      <c r="K234" s="87">
        <v>0</v>
      </c>
      <c r="L234" s="87">
        <f>IF(G234="გამ. შესყიდვა",SUMIFS('[1]გამარტივებული შესყიდვა'!L:L,'[1]გამარტივებული შესყიდვა'!K:K,B234,'[1]გამარტივებული შესყიდვა'!N:N,"საკუთარი შემოსავლები",'[1]გამარტივებული შესყიდვა'!O:O,"2703030701"),0)</f>
        <v>821.43000000000006</v>
      </c>
      <c r="M234" s="87">
        <v>0</v>
      </c>
      <c r="N234" s="87">
        <f>IF(G234="კონს. ტენდერი",SUMIFS('[1]კონსოლიდირებული ტენდერი'!L:L,'[1]კონსოლიდირებული ტენდერი'!E:E,B234,'[1]კონსოლიდირებული ტენდერი'!N:N,"საკუთარი შემოსავლები",'[1]კონსოლიდირებული ტენდერი'!O:O,"2703030701"),0)</f>
        <v>0</v>
      </c>
      <c r="O234" s="87">
        <v>0</v>
      </c>
      <c r="P234" s="87">
        <f>IF(G234="ელ. ტენდერი",SUMIFS('[1]ელ. ტენდერი'!N:N,'[1]ელ. ტენდერი'!G:G,B234,'[1]ელ. ტენდერი'!Q:Q,"საკუთარი შემოსავლები",'[1]ელ. ტენდერი'!R:R,"2703030701"),0)</f>
        <v>0</v>
      </c>
      <c r="Q234" s="88">
        <f t="shared" si="5"/>
        <v>1178.57</v>
      </c>
    </row>
    <row r="235" spans="1:17" x14ac:dyDescent="0.25">
      <c r="A235" s="18">
        <v>60</v>
      </c>
      <c r="B235" s="19" t="s">
        <v>174</v>
      </c>
      <c r="C235" s="84" t="s">
        <v>72</v>
      </c>
      <c r="D235" s="49">
        <v>270106</v>
      </c>
      <c r="E235" s="61" t="s">
        <v>175</v>
      </c>
      <c r="F235" s="23">
        <v>4990</v>
      </c>
      <c r="G235" s="86" t="s">
        <v>27</v>
      </c>
      <c r="H235" s="25">
        <v>43466</v>
      </c>
      <c r="I235" s="25">
        <v>43830</v>
      </c>
      <c r="J235" s="32"/>
      <c r="K235" s="87">
        <f>IF(G235="გამ. შესყიდვა",SUMIFS('[1]გამარტივებული შესყიდვა'!L:L,'[1]გამარტივებული შესყიდვა'!K:K,B235,'[1]გამარტივებული შესყიდვა'!N:N,"საკუთარი შემოსავლები",'[1]გამარტივებული შესყიდვა'!O:O,"270106"),0)</f>
        <v>4989.6900000000005</v>
      </c>
      <c r="L235" s="87">
        <v>0</v>
      </c>
      <c r="M235" s="87">
        <f>IF(G235="კონს. ტენდერი",SUMIFS('[1]კონსოლიდირებული ტენდერი'!L:L,'[1]კონსოლიდირებული ტენდერი'!E:E,B235,'[1]კონსოლიდირებული ტენდერი'!N:N,"საკუთარი შემოსავლები",'[1]კონსოლიდირებული ტენდერი'!O:O,"270106"),0)</f>
        <v>0</v>
      </c>
      <c r="N235" s="87">
        <v>0</v>
      </c>
      <c r="O235" s="87">
        <f>IF(G235="ელ. ტენდერი",SUMIFS('[1]ელ. ტენდერი'!N:N,'[1]ელ. ტენდერი'!G:G,B235,'[1]ელ. ტენდერი'!Q:Q,"საკუთარი შემოსავლები",'[1]ელ. ტენდერი'!R:R,"270106"),0)</f>
        <v>0</v>
      </c>
      <c r="P235" s="87">
        <v>0</v>
      </c>
      <c r="Q235" s="88">
        <f t="shared" si="5"/>
        <v>0.30999999999949068</v>
      </c>
    </row>
    <row r="236" spans="1:17" x14ac:dyDescent="0.25">
      <c r="A236" s="18">
        <v>61</v>
      </c>
      <c r="B236" s="19" t="s">
        <v>180</v>
      </c>
      <c r="C236" s="84" t="s">
        <v>25</v>
      </c>
      <c r="D236" s="49">
        <v>270106</v>
      </c>
      <c r="E236" s="61" t="s">
        <v>181</v>
      </c>
      <c r="F236" s="23">
        <f>4990-2438</f>
        <v>2552</v>
      </c>
      <c r="G236" s="86" t="s">
        <v>27</v>
      </c>
      <c r="H236" s="25">
        <v>43466</v>
      </c>
      <c r="I236" s="25">
        <v>43830</v>
      </c>
      <c r="J236" s="32"/>
      <c r="K236" s="87">
        <f>IF(G236="გამ. შესყიდვა",SUMIFS('[1]გამარტივებული შესყიდვა'!L:L,'[1]გამარტივებული შესყიდვა'!K:K,B236,'[1]გამარტივებული შესყიდვა'!N:N,"საკუთარი შემოსავლები",'[1]გამარტივებული შესყიდვა'!O:O,"270106"),0)</f>
        <v>0</v>
      </c>
      <c r="L236" s="87">
        <v>0</v>
      </c>
      <c r="M236" s="87">
        <f>IF(G236="კონს. ტენდერი",SUMIFS('[1]კონსოლიდირებული ტენდერი'!L:L,'[1]კონსოლიდირებული ტენდერი'!E:E,B236,'[1]კონსოლიდირებული ტენდერი'!N:N,"საკუთარი შემოსავლები",'[1]კონსოლიდირებული ტენდერი'!O:O,"270106"),0)</f>
        <v>0</v>
      </c>
      <c r="N236" s="87">
        <v>0</v>
      </c>
      <c r="O236" s="87">
        <f>IF(G236="ელ. ტენდერი",SUMIFS('[1]ელ. ტენდერი'!N:N,'[1]ელ. ტენდერი'!G:G,B236,'[1]ელ. ტენდერი'!Q:Q,"საკუთარი შემოსავლები",'[1]ელ. ტენდერი'!R:R,"270106"),0)</f>
        <v>0</v>
      </c>
      <c r="P236" s="87">
        <v>0</v>
      </c>
      <c r="Q236" s="88">
        <f t="shared" si="5"/>
        <v>2552</v>
      </c>
    </row>
    <row r="237" spans="1:17" x14ac:dyDescent="0.25">
      <c r="A237" s="9">
        <v>62</v>
      </c>
      <c r="B237" s="19" t="s">
        <v>270</v>
      </c>
      <c r="C237" s="98" t="s">
        <v>72</v>
      </c>
      <c r="D237" s="49">
        <v>270106</v>
      </c>
      <c r="E237" s="61" t="s">
        <v>271</v>
      </c>
      <c r="F237" s="23">
        <v>10000</v>
      </c>
      <c r="G237" s="86" t="s">
        <v>44</v>
      </c>
      <c r="H237" s="25">
        <v>43466</v>
      </c>
      <c r="I237" s="25">
        <v>43830</v>
      </c>
      <c r="J237" s="32"/>
      <c r="K237" s="87">
        <f>IF(G237="გამ. შესყიდვა",SUMIFS('[1]გამარტივებული შესყიდვა'!L:L,'[1]გამარტივებული შესყიდვა'!K:K,B237,'[1]გამარტივებული შესყიდვა'!N:N,"საკუთარი შემოსავლები",'[1]გამარტივებული შესყიდვა'!O:O,"270106"),0)</f>
        <v>0</v>
      </c>
      <c r="L237" s="87">
        <v>0</v>
      </c>
      <c r="M237" s="87">
        <f>IF(G237="კონს. ტენდერი",SUMIFS('[1]კონსოლიდირებული ტენდერი'!L:L,'[1]კონსოლიდირებული ტენდერი'!E:E,B237,'[1]კონსოლიდირებული ტენდერი'!N:N,"საკუთარი შემოსავლები",'[1]კონსოლიდირებული ტენდერი'!O:O,"270106"),0)</f>
        <v>0</v>
      </c>
      <c r="N237" s="87">
        <v>0</v>
      </c>
      <c r="O237" s="87">
        <f>IF(G237="ელ. ტენდერი",SUMIFS('[1]ელ. ტენდერი'!N:N,'[1]ელ. ტენდერი'!G:G,B237,'[1]ელ. ტენდერი'!Q:Q,"საკუთარი შემოსავლები",'[1]ელ. ტენდერი'!R:R,"270106"),0)</f>
        <v>10000</v>
      </c>
      <c r="P237" s="87">
        <v>0</v>
      </c>
      <c r="Q237" s="88">
        <f t="shared" si="5"/>
        <v>0</v>
      </c>
    </row>
    <row r="238" spans="1:17" x14ac:dyDescent="0.25">
      <c r="A238" s="9">
        <v>63</v>
      </c>
      <c r="B238" s="19" t="s">
        <v>205</v>
      </c>
      <c r="C238" s="20" t="s">
        <v>25</v>
      </c>
      <c r="D238" s="49">
        <v>270106</v>
      </c>
      <c r="E238" s="22" t="s">
        <v>206</v>
      </c>
      <c r="F238" s="23">
        <v>1000</v>
      </c>
      <c r="G238" s="86" t="s">
        <v>27</v>
      </c>
      <c r="H238" s="25">
        <v>43466</v>
      </c>
      <c r="I238" s="25">
        <v>43830</v>
      </c>
      <c r="J238" s="32"/>
      <c r="K238" s="87">
        <f>IF(G238="გამ. შესყიდვა",SUMIFS('[1]გამარტივებული შესყიდვა'!L:L,'[1]გამარტივებული შესყიდვა'!K:K,B238,'[1]გამარტივებული შესყიდვა'!N:N,"საკუთარი შემოსავლები",'[1]გამარტივებული შესყიდვა'!O:O,"270106"),0)</f>
        <v>0</v>
      </c>
      <c r="L238" s="87">
        <v>0</v>
      </c>
      <c r="M238" s="87">
        <f>IF(G238="კონს. ტენდერი",SUMIFS('[1]კონსოლიდირებული ტენდერი'!L:L,'[1]კონსოლიდირებული ტენდერი'!E:E,B238,'[1]კონსოლიდირებული ტენდერი'!N:N,"საკუთარი შემოსავლები",'[1]კონსოლიდირებული ტენდერი'!O:O,"270106"),0)</f>
        <v>0</v>
      </c>
      <c r="N238" s="87">
        <v>0</v>
      </c>
      <c r="O238" s="87">
        <f>IF(G238="ელ. ტენდერი",SUMIFS('[1]ელ. ტენდერი'!N:N,'[1]ელ. ტენდერი'!G:G,B238,'[1]ელ. ტენდერი'!Q:Q,"საკუთარი შემოსავლები",'[1]ელ. ტენდერი'!R:R,"270106"),0)</f>
        <v>0</v>
      </c>
      <c r="P238" s="87">
        <v>0</v>
      </c>
      <c r="Q238" s="88">
        <f t="shared" si="5"/>
        <v>1000</v>
      </c>
    </row>
    <row r="239" spans="1:17" x14ac:dyDescent="0.25">
      <c r="A239" s="9">
        <v>64</v>
      </c>
      <c r="B239" s="19" t="s">
        <v>272</v>
      </c>
      <c r="C239" s="20" t="s">
        <v>25</v>
      </c>
      <c r="D239" s="21">
        <v>2703030701</v>
      </c>
      <c r="E239" s="22" t="s">
        <v>273</v>
      </c>
      <c r="F239" s="23">
        <v>10000</v>
      </c>
      <c r="G239" s="86" t="s">
        <v>27</v>
      </c>
      <c r="H239" s="25">
        <v>44034</v>
      </c>
      <c r="I239" s="25">
        <v>43830</v>
      </c>
      <c r="J239" s="32"/>
      <c r="K239" s="87">
        <v>0</v>
      </c>
      <c r="L239" s="87">
        <f>IF(G239="გამ. შესყიდვა",SUMIFS('[1]გამარტივებული შესყიდვა'!L:L,'[1]გამარტივებული შესყიდვა'!K:K,B239,'[1]გამარტივებული შესყიდვა'!N:N,"საკუთარი შემოსავლები",'[1]გამარტივებული შესყიდვა'!O:O,"2703030701"),0)</f>
        <v>0</v>
      </c>
      <c r="M239" s="87">
        <v>0</v>
      </c>
      <c r="N239" s="87">
        <f>IF(G239="კონს. ტენდერი",SUMIFS('[1]კონსოლიდირებული ტენდერი'!L:L,'[1]კონსოლიდირებული ტენდერი'!E:E,B239,'[1]კონსოლიდირებული ტენდერი'!N:N,"საკუთარი შემოსავლები",'[1]კონსოლიდირებული ტენდერი'!O:O,"2703030701"),0)</f>
        <v>0</v>
      </c>
      <c r="O239" s="87">
        <v>0</v>
      </c>
      <c r="P239" s="87">
        <f>IF(G239="ელ. ტენდერი",SUMIFS('[1]ელ. ტენდერი'!N:N,'[1]ელ. ტენდერი'!G:G,B239,'[1]ელ. ტენდერი'!Q:Q,"საკუთარი შემოსავლები",'[1]ელ. ტენდერი'!R:R,"2703030701"),0)</f>
        <v>0</v>
      </c>
      <c r="Q239" s="88">
        <f t="shared" si="5"/>
        <v>10000</v>
      </c>
    </row>
    <row r="240" spans="1:17" x14ac:dyDescent="0.25">
      <c r="A240" s="9">
        <v>65</v>
      </c>
      <c r="B240" s="53" t="s">
        <v>226</v>
      </c>
      <c r="C240" s="20" t="s">
        <v>25</v>
      </c>
      <c r="D240" s="21">
        <v>2703030701</v>
      </c>
      <c r="E240" s="22" t="s">
        <v>227</v>
      </c>
      <c r="F240" s="23">
        <v>1000</v>
      </c>
      <c r="G240" s="86" t="s">
        <v>27</v>
      </c>
      <c r="H240" s="25">
        <v>43831</v>
      </c>
      <c r="I240" s="25">
        <v>44196</v>
      </c>
      <c r="J240" s="32"/>
      <c r="K240" s="87">
        <v>0</v>
      </c>
      <c r="L240" s="87">
        <f>IF(G240="გამ. შესყიდვა",SUMIFS('[1]გამარტივებული შესყიდვა'!L:L,'[1]გამარტივებული შესყიდვა'!K:K,B240,'[1]გამარტივებული შესყიდვა'!N:N,"საკუთარი შემოსავლები",'[1]გამარტივებული შესყიდვა'!O:O,"2703030701"),0)</f>
        <v>0</v>
      </c>
      <c r="M240" s="87">
        <v>0</v>
      </c>
      <c r="N240" s="87">
        <f>IF(G240="კონს. ტენდერი",SUMIFS('[1]კონსოლიდირებული ტენდერი'!L:L,'[1]კონსოლიდირებული ტენდერი'!E:E,B240,'[1]კონსოლიდირებული ტენდერი'!N:N,"საკუთარი შემოსავლები",'[1]კონსოლიდირებული ტენდერი'!O:O,"2703030701"),0)</f>
        <v>0</v>
      </c>
      <c r="O240" s="87">
        <v>0</v>
      </c>
      <c r="P240" s="87">
        <f>IF(G240="ელ. ტენდერი",SUMIFS('[1]ელ. ტენდერი'!N:N,'[1]ელ. ტენდერი'!G:G,B240,'[1]ელ. ტენდერი'!Q:Q,"საკუთარი შემოსავლები",'[1]ელ. ტენდერი'!R:R,"2703030701"),0)</f>
        <v>0</v>
      </c>
      <c r="Q240" s="88">
        <f t="shared" si="5"/>
        <v>1000</v>
      </c>
    </row>
    <row r="241" spans="1:17" x14ac:dyDescent="0.25">
      <c r="A241" s="18">
        <v>66</v>
      </c>
      <c r="B241" s="19" t="s">
        <v>228</v>
      </c>
      <c r="C241" s="20" t="s">
        <v>25</v>
      </c>
      <c r="D241" s="49">
        <v>270106</v>
      </c>
      <c r="E241" s="61" t="s">
        <v>229</v>
      </c>
      <c r="F241" s="23">
        <v>2000</v>
      </c>
      <c r="G241" s="86" t="s">
        <v>27</v>
      </c>
      <c r="H241" s="25">
        <v>43466</v>
      </c>
      <c r="I241" s="25">
        <v>43830</v>
      </c>
      <c r="J241" s="32"/>
      <c r="K241" s="87">
        <f>IF(G241="გამ. შესყიდვა",SUMIFS('[1]გამარტივებული შესყიდვა'!L:L,'[1]გამარტივებული შესყიდვა'!K:K,B241,'[1]გამარტივებული შესყიდვა'!N:N,"საკუთარი შემოსავლები",'[1]გამარტივებული შესყიდვა'!O:O,"270106"),0)</f>
        <v>0</v>
      </c>
      <c r="L241" s="87">
        <v>0</v>
      </c>
      <c r="M241" s="87">
        <f>IF(G241="კონს. ტენდერი",SUMIFS('[1]კონსოლიდირებული ტენდერი'!L:L,'[1]კონსოლიდირებული ტენდერი'!E:E,B241,'[1]კონსოლიდირებული ტენდერი'!N:N,"საკუთარი შემოსავლები",'[1]კონსოლიდირებული ტენდერი'!O:O,"270106"),0)</f>
        <v>0</v>
      </c>
      <c r="N241" s="87">
        <v>0</v>
      </c>
      <c r="O241" s="87">
        <f>IF(G241="ელ. ტენდერი",SUMIFS('[1]ელ. ტენდერი'!N:N,'[1]ელ. ტენდერი'!G:G,B241,'[1]ელ. ტენდერი'!Q:Q,"საკუთარი შემოსავლები",'[1]ელ. ტენდერი'!R:R,"270106"),0)</f>
        <v>0</v>
      </c>
      <c r="P241" s="87">
        <v>0</v>
      </c>
      <c r="Q241" s="88">
        <f t="shared" si="5"/>
        <v>2000</v>
      </c>
    </row>
    <row r="242" spans="1:17" x14ac:dyDescent="0.25">
      <c r="A242" s="18">
        <v>67</v>
      </c>
      <c r="B242" s="19" t="s">
        <v>228</v>
      </c>
      <c r="C242" s="20" t="s">
        <v>25</v>
      </c>
      <c r="D242" s="21">
        <v>2703030701</v>
      </c>
      <c r="E242" s="61" t="s">
        <v>229</v>
      </c>
      <c r="F242" s="23">
        <v>2990</v>
      </c>
      <c r="G242" s="86" t="s">
        <v>27</v>
      </c>
      <c r="H242" s="25">
        <v>43466</v>
      </c>
      <c r="I242" s="25">
        <v>43830</v>
      </c>
      <c r="J242" s="32"/>
      <c r="K242" s="87">
        <v>0</v>
      </c>
      <c r="L242" s="87">
        <f>IF(G242="გამ. შესყიდვა",SUMIFS('[1]გამარტივებული შესყიდვა'!L:L,'[1]გამარტივებული შესყიდვა'!K:K,B242,'[1]გამარტივებული შესყიდვა'!N:N,"საკუთარი შემოსავლები",'[1]გამარტივებული შესყიდვა'!O:O,"2703030701"),0)</f>
        <v>1160</v>
      </c>
      <c r="M242" s="87">
        <v>0</v>
      </c>
      <c r="N242" s="87">
        <f>IF(G242="კონს. ტენდერი",SUMIFS('[1]კონსოლიდირებული ტენდერი'!L:L,'[1]კონსოლიდირებული ტენდერი'!E:E,B242,'[1]კონსოლიდირებული ტენდერი'!N:N,"საკუთარი შემოსავლები",'[1]კონსოლიდირებული ტენდერი'!O:O,"2703030701"),0)</f>
        <v>0</v>
      </c>
      <c r="O242" s="87">
        <v>0</v>
      </c>
      <c r="P242" s="87">
        <f>IF(G242="ელ. ტენდერი",SUMIFS('[1]ელ. ტენდერი'!N:N,'[1]ელ. ტენდერი'!G:G,B242,'[1]ელ. ტენდერი'!Q:Q,"საკუთარი შემოსავლები",'[1]ელ. ტენდერი'!R:R,"2703030701"),0)</f>
        <v>0</v>
      </c>
      <c r="Q242" s="88">
        <f t="shared" si="5"/>
        <v>1830</v>
      </c>
    </row>
    <row r="243" spans="1:17" x14ac:dyDescent="0.25">
      <c r="A243" s="9">
        <v>68</v>
      </c>
      <c r="B243" s="50" t="s">
        <v>240</v>
      </c>
      <c r="C243" s="20" t="s">
        <v>25</v>
      </c>
      <c r="D243" s="21">
        <v>2703030701</v>
      </c>
      <c r="E243" s="56" t="s">
        <v>241</v>
      </c>
      <c r="F243" s="23">
        <f>1000+1000+1000-250+1550</f>
        <v>4300</v>
      </c>
      <c r="G243" s="86" t="s">
        <v>27</v>
      </c>
      <c r="H243" s="25">
        <v>43466</v>
      </c>
      <c r="I243" s="25">
        <v>43830</v>
      </c>
      <c r="J243" s="32"/>
      <c r="K243" s="87">
        <v>0</v>
      </c>
      <c r="L243" s="87">
        <f>IF(G243="გამ. შესყიდვა",SUMIFS('[1]გამარტივებული შესყიდვა'!L:L,'[1]გამარტივებული შესყიდვა'!K:K,B243,'[1]გამარტივებული შესყიდვა'!N:N,"საკუთარი შემოსავლები",'[1]გამარტივებული შესყიდვა'!O:O,"2703030701"),0)</f>
        <v>4300</v>
      </c>
      <c r="M243" s="87">
        <v>0</v>
      </c>
      <c r="N243" s="87">
        <f>IF(G243="კონს. ტენდერი",SUMIFS('[1]კონსოლიდირებული ტენდერი'!L:L,'[1]კონსოლიდირებული ტენდერი'!E:E,B243,'[1]კონსოლიდირებული ტენდერი'!N:N,"საკუთარი შემოსავლები",'[1]კონსოლიდირებული ტენდერი'!O:O,"2703030701"),0)</f>
        <v>0</v>
      </c>
      <c r="O243" s="87">
        <v>0</v>
      </c>
      <c r="P243" s="87">
        <f>IF(G243="ელ. ტენდერი",SUMIFS('[1]ელ. ტენდერი'!N:N,'[1]ელ. ტენდერი'!G:G,B243,'[1]ელ. ტენდერი'!Q:Q,"საკუთარი შემოსავლები",'[1]ელ. ტენდერი'!R:R,"2703030701"),0)</f>
        <v>0</v>
      </c>
      <c r="Q243" s="88">
        <f t="shared" si="5"/>
        <v>0</v>
      </c>
    </row>
    <row r="244" spans="1:17" x14ac:dyDescent="0.25">
      <c r="A244" s="9">
        <v>69</v>
      </c>
      <c r="B244" s="50" t="s">
        <v>240</v>
      </c>
      <c r="C244" s="20" t="s">
        <v>25</v>
      </c>
      <c r="D244" s="49">
        <v>270106</v>
      </c>
      <c r="E244" s="56" t="s">
        <v>241</v>
      </c>
      <c r="F244" s="23">
        <f>1000-348</f>
        <v>652</v>
      </c>
      <c r="G244" s="86" t="s">
        <v>27</v>
      </c>
      <c r="H244" s="25">
        <v>43875</v>
      </c>
      <c r="I244" s="25">
        <v>43830</v>
      </c>
      <c r="J244" s="32"/>
      <c r="K244" s="87">
        <f>IF(G244="გამ. შესყიდვა",SUMIFS('[1]გამარტივებული შესყიდვა'!L:L,'[1]გამარტივებული შესყიდვა'!K:K,B244,'[1]გამარტივებული შესყიდვა'!N:N,"საკუთარი შემოსავლები",'[1]გამარტივებული შესყიდვა'!O:O,"270106"),0)</f>
        <v>651.47</v>
      </c>
      <c r="L244" s="87">
        <v>0</v>
      </c>
      <c r="M244" s="87">
        <f>IF(G244="კონს. ტენდერი",SUMIFS('[1]კონსოლიდირებული ტენდერი'!L:L,'[1]კონსოლიდირებული ტენდერი'!E:E,B244,'[1]კონსოლიდირებული ტენდერი'!N:N,"საკუთარი შემოსავლები",'[1]კონსოლიდირებული ტენდერი'!O:O,"270106"),0)</f>
        <v>0</v>
      </c>
      <c r="N244" s="87">
        <v>0</v>
      </c>
      <c r="O244" s="87">
        <f>IF(G244="ელ. ტენდერი",SUMIFS('[1]ელ. ტენდერი'!N:N,'[1]ელ. ტენდერი'!G:G,B244,'[1]ელ. ტენდერი'!Q:Q,"საკუთარი შემოსავლები",'[1]ელ. ტენდერი'!R:R,"270106"),0)</f>
        <v>0</v>
      </c>
      <c r="P244" s="87">
        <v>0</v>
      </c>
      <c r="Q244" s="88">
        <f t="shared" si="5"/>
        <v>0.52999999999997272</v>
      </c>
    </row>
    <row r="245" spans="1:17" x14ac:dyDescent="0.25">
      <c r="A245" s="9">
        <v>70</v>
      </c>
      <c r="B245" s="19" t="s">
        <v>243</v>
      </c>
      <c r="C245" s="20" t="s">
        <v>25</v>
      </c>
      <c r="D245" s="21">
        <v>2703030701</v>
      </c>
      <c r="E245" s="22" t="s">
        <v>244</v>
      </c>
      <c r="F245" s="23">
        <v>1000</v>
      </c>
      <c r="G245" s="86" t="s">
        <v>27</v>
      </c>
      <c r="H245" s="25">
        <v>43466</v>
      </c>
      <c r="I245" s="25">
        <v>43830</v>
      </c>
      <c r="J245" s="32"/>
      <c r="K245" s="87">
        <v>0</v>
      </c>
      <c r="L245" s="87">
        <f>IF(G245="გამ. შესყიდვა",SUMIFS('[1]გამარტივებული შესყიდვა'!L:L,'[1]გამარტივებული შესყიდვა'!K:K,B245,'[1]გამარტივებული შესყიდვა'!N:N,"საკუთარი შემოსავლები",'[1]გამარტივებული შესყიდვა'!O:O,"2703030701"),0)</f>
        <v>187.5</v>
      </c>
      <c r="M245" s="87">
        <v>0</v>
      </c>
      <c r="N245" s="87">
        <f>IF(G245="კონს. ტენდერი",SUMIFS('[1]კონსოლიდირებული ტენდერი'!L:L,'[1]კონსოლიდირებული ტენდერი'!E:E,B245,'[1]კონსოლიდირებული ტენდერი'!N:N,"საკუთარი შემოსავლები",'[1]კონსოლიდირებული ტენდერი'!O:O,"2703030701"),0)</f>
        <v>0</v>
      </c>
      <c r="O245" s="87">
        <v>0</v>
      </c>
      <c r="P245" s="87">
        <f>IF(G245="ელ. ტენდერი",SUMIFS('[1]ელ. ტენდერი'!N:N,'[1]ელ. ტენდერი'!G:G,B245,'[1]ელ. ტენდერი'!Q:Q,"საკუთარი შემოსავლები",'[1]ელ. ტენდერი'!R:R,"2703030701"),0)</f>
        <v>0</v>
      </c>
      <c r="Q245" s="88">
        <f t="shared" si="5"/>
        <v>812.5</v>
      </c>
    </row>
    <row r="246" spans="1:17" x14ac:dyDescent="0.25">
      <c r="A246" s="9">
        <v>71</v>
      </c>
      <c r="B246" s="19" t="s">
        <v>245</v>
      </c>
      <c r="C246" s="20" t="s">
        <v>25</v>
      </c>
      <c r="D246" s="49">
        <v>270106</v>
      </c>
      <c r="E246" s="61" t="s">
        <v>246</v>
      </c>
      <c r="F246" s="99">
        <v>4000</v>
      </c>
      <c r="G246" s="86" t="s">
        <v>27</v>
      </c>
      <c r="H246" s="25">
        <v>43466</v>
      </c>
      <c r="I246" s="25">
        <v>43830</v>
      </c>
      <c r="J246" s="32"/>
      <c r="K246" s="87">
        <f>IF(G246="გამ. შესყიდვა",SUMIFS('[1]გამარტივებული შესყიდვა'!L:L,'[1]გამარტივებული შესყიდვა'!K:K,B246,'[1]გამარტივებული შესყიდვა'!N:N,"საკუთარი შემოსავლები",'[1]გამარტივებული შესყიდვა'!O:O,"270106"),0)</f>
        <v>1682.12</v>
      </c>
      <c r="L246" s="87">
        <v>0</v>
      </c>
      <c r="M246" s="87">
        <f>IF(G246="კონს. ტენდერი",SUMIFS('[1]კონსოლიდირებული ტენდერი'!L:L,'[1]კონსოლიდირებული ტენდერი'!E:E,B246,'[1]კონსოლიდირებული ტენდერი'!N:N,"საკუთარი შემოსავლები",'[1]კონსოლიდირებული ტენდერი'!O:O,"270106"),0)</f>
        <v>0</v>
      </c>
      <c r="N246" s="87">
        <v>0</v>
      </c>
      <c r="O246" s="87">
        <f>IF(G246="ელ. ტენდერი",SUMIFS('[1]ელ. ტენდერი'!N:N,'[1]ელ. ტენდერი'!G:G,B246,'[1]ელ. ტენდერი'!Q:Q,"საკუთარი შემოსავლები",'[1]ელ. ტენდერი'!R:R,"270106"),0)</f>
        <v>0</v>
      </c>
      <c r="P246" s="87">
        <v>0</v>
      </c>
      <c r="Q246" s="88">
        <f t="shared" ref="Q246:Q247" si="6">F246-SUM(K246:P246)</f>
        <v>2317.88</v>
      </c>
    </row>
    <row r="247" spans="1:17" x14ac:dyDescent="0.25">
      <c r="A247" s="18">
        <v>72</v>
      </c>
      <c r="B247" s="19" t="s">
        <v>251</v>
      </c>
      <c r="C247" s="20" t="s">
        <v>25</v>
      </c>
      <c r="D247" s="49">
        <v>270106</v>
      </c>
      <c r="E247" s="61" t="s">
        <v>274</v>
      </c>
      <c r="F247" s="99">
        <v>1000</v>
      </c>
      <c r="G247" s="86" t="s">
        <v>27</v>
      </c>
      <c r="H247" s="25">
        <v>43466</v>
      </c>
      <c r="I247" s="25">
        <v>43830</v>
      </c>
      <c r="J247" s="32"/>
      <c r="K247" s="87">
        <f>IF(G247="გამ. შესყიდვა",SUMIFS('[1]გამარტივებული შესყიდვა'!L:L,'[1]გამარტივებული შესყიდვა'!K:K,B247,'[1]გამარტივებული შესყიდვა'!N:N,"საკუთარი შემოსავლები",'[1]გამარტივებული შესყიდვა'!O:O,"270106"),0)</f>
        <v>600</v>
      </c>
      <c r="L247" s="87">
        <v>0</v>
      </c>
      <c r="M247" s="87">
        <f>IF(G247="კონს. ტენდერი",SUMIFS('[1]კონსოლიდირებული ტენდერი'!L:L,'[1]კონსოლიდირებული ტენდერი'!E:E,B247,'[1]კონსოლიდირებული ტენდერი'!N:N,"საკუთარი შემოსავლები",'[1]კონსოლიდირებული ტენდერი'!O:O,"270106"),0)</f>
        <v>0</v>
      </c>
      <c r="N247" s="87">
        <v>0</v>
      </c>
      <c r="O247" s="87">
        <f>IF(G247="ელ. ტენდერი",SUMIFS('[1]ელ. ტენდერი'!N:N,'[1]ელ. ტენდერი'!G:G,B247,'[1]ელ. ტენდერი'!Q:Q,"საკუთარი შემოსავლები",'[1]ელ. ტენდერი'!R:R,"270106"),0)</f>
        <v>0</v>
      </c>
      <c r="P247" s="87">
        <v>0</v>
      </c>
      <c r="Q247" s="88">
        <f t="shared" si="6"/>
        <v>400</v>
      </c>
    </row>
    <row r="248" spans="1:17" ht="19.5" customHeight="1" x14ac:dyDescent="0.25"/>
    <row r="251" spans="1:17" x14ac:dyDescent="0.25">
      <c r="A251" s="74" t="s">
        <v>275</v>
      </c>
      <c r="B251" s="75"/>
      <c r="C251" s="75"/>
      <c r="D251" s="75"/>
      <c r="E251" s="75"/>
      <c r="F251" s="75"/>
      <c r="G251" s="76"/>
      <c r="H251" s="4" t="s">
        <v>2</v>
      </c>
      <c r="I251" s="4"/>
      <c r="J251" s="4"/>
    </row>
    <row r="252" spans="1:17" x14ac:dyDescent="0.25">
      <c r="A252" s="77" t="s">
        <v>3</v>
      </c>
      <c r="B252" s="78"/>
      <c r="C252" s="78"/>
      <c r="D252" s="78"/>
      <c r="E252" s="78"/>
      <c r="F252" s="78"/>
      <c r="G252" s="79"/>
      <c r="H252" s="4" t="s">
        <v>276</v>
      </c>
      <c r="I252" s="4"/>
      <c r="J252" s="4"/>
    </row>
    <row r="253" spans="1:17" x14ac:dyDescent="0.25">
      <c r="A253" s="7" t="s">
        <v>5</v>
      </c>
      <c r="B253" s="7"/>
      <c r="C253" s="7"/>
      <c r="D253" s="7"/>
      <c r="E253" s="80"/>
      <c r="F253" s="7"/>
      <c r="G253" s="81"/>
      <c r="H253" s="82"/>
      <c r="I253" s="6">
        <f>SUM(F255:F256)</f>
        <v>879818</v>
      </c>
      <c r="J253" s="83" t="s">
        <v>6</v>
      </c>
    </row>
    <row r="254" spans="1:17" ht="45" x14ac:dyDescent="0.25">
      <c r="A254" s="9" t="s">
        <v>7</v>
      </c>
      <c r="B254" s="10" t="s">
        <v>8</v>
      </c>
      <c r="C254" s="10" t="s">
        <v>9</v>
      </c>
      <c r="D254" s="12" t="s">
        <v>10</v>
      </c>
      <c r="E254" s="13" t="s">
        <v>11</v>
      </c>
      <c r="F254" s="14" t="s">
        <v>12</v>
      </c>
      <c r="G254" s="13" t="s">
        <v>13</v>
      </c>
      <c r="H254" s="13" t="s">
        <v>14</v>
      </c>
      <c r="I254" s="13" t="s">
        <v>15</v>
      </c>
      <c r="J254" s="9" t="s">
        <v>16</v>
      </c>
    </row>
    <row r="255" spans="1:17" x14ac:dyDescent="0.25">
      <c r="A255" s="101">
        <v>1</v>
      </c>
      <c r="B255" s="50">
        <v>34100000</v>
      </c>
      <c r="C255" s="102" t="s">
        <v>72</v>
      </c>
      <c r="D255" s="12">
        <v>2703030701</v>
      </c>
      <c r="E255" s="13" t="s">
        <v>102</v>
      </c>
      <c r="F255" s="23">
        <v>874828</v>
      </c>
      <c r="G255" s="24" t="s">
        <v>32</v>
      </c>
      <c r="H255" s="25">
        <v>44063</v>
      </c>
      <c r="I255" s="25">
        <v>44196</v>
      </c>
      <c r="J255" s="101"/>
      <c r="K255" s="87">
        <v>0</v>
      </c>
      <c r="L255" s="87">
        <f>IF(G255="გამ. შესყიდვა",SUMIFS('[1]გამარტივებული შესყიდვა'!L:L,'[1]გამარტივებული შესყიდვა'!K:K,B255,'[1]გამარტივებული შესყიდვა'!N:N,"გრანტი",'[1]გამარტივებული შესყიდვა'!O:O,"2703030701"),0)</f>
        <v>0</v>
      </c>
      <c r="M255" s="87">
        <v>0</v>
      </c>
      <c r="N255" s="87">
        <f>IF(G255="კონს. ტენდერი",SUMIFS('[1]კონსოლიდირებული ტენდერი'!L:L,'[1]კონსოლიდირებული ტენდერი'!E:E,B255,'[1]კონსოლიდირებული ტენდერი'!N:N,"გრანტი",'[1]კონსოლიდირებული ტენდერი'!O:O,"2703030701"),0)</f>
        <v>874828</v>
      </c>
      <c r="O255" s="87">
        <v>0</v>
      </c>
      <c r="P255" s="87">
        <f>IF(G255="ელ. ტენდერი",SUMIFS('[1]ელ. ტენდერი'!N:N,'[1]ელ. ტენდერი'!G:G,B255,'[1]ელ. ტენდერი'!Q:Q,"გრანტი",'[1]ელ. ტენდერი'!R:R,"2703030701"),0)</f>
        <v>0</v>
      </c>
      <c r="Q255" s="88">
        <f t="shared" ref="Q255:Q257" si="7">F255-SUM(K255:P255)</f>
        <v>0</v>
      </c>
    </row>
    <row r="256" spans="1:17" x14ac:dyDescent="0.25">
      <c r="A256" s="101">
        <v>2</v>
      </c>
      <c r="B256" s="50">
        <v>79200000</v>
      </c>
      <c r="C256" s="20" t="s">
        <v>25</v>
      </c>
      <c r="D256" s="103">
        <v>2703030701</v>
      </c>
      <c r="E256" s="13" t="s">
        <v>277</v>
      </c>
      <c r="F256" s="23">
        <v>4990</v>
      </c>
      <c r="G256" s="86" t="s">
        <v>27</v>
      </c>
      <c r="H256" s="25">
        <v>44063</v>
      </c>
      <c r="I256" s="25">
        <v>43830</v>
      </c>
      <c r="J256" s="101"/>
      <c r="K256" s="87">
        <v>0</v>
      </c>
      <c r="L256" s="87">
        <f>IF(G256="გამ. შესყიდვა",SUMIFS('[1]გამარტივებული შესყიდვა'!L:L,'[1]გამარტივებული შესყიდვა'!K:K,B256,'[1]გამარტივებული შესყიდვა'!N:N,"გრანტი",'[1]გამარტივებული შესყიდვა'!O:O,"2703030701"),0)</f>
        <v>0</v>
      </c>
      <c r="M256" s="87">
        <v>0</v>
      </c>
      <c r="N256" s="87">
        <f>IF(G256="კონს. ტენდერი",SUMIFS('[1]კონსოლიდირებული ტენდერი'!L:L,'[1]კონსოლიდირებული ტენდერი'!E:E,B256,'[1]კონსოლიდირებული ტენდერი'!N:N,"გრანტი",'[1]კონსოლიდირებული ტენდერი'!O:O,"2703030701"),0)</f>
        <v>0</v>
      </c>
      <c r="O256" s="87">
        <v>0</v>
      </c>
      <c r="P256" s="87">
        <f>IF(G256="ელ. ტენდერი",SUMIFS('[1]ელ. ტენდერი'!N:N,'[1]ელ. ტენდერი'!G:G,B256,'[1]ელ. ტენდერი'!Q:Q,"გრანტი",'[1]ელ. ტენდერი'!R:R,"2703030701"),0)</f>
        <v>0</v>
      </c>
      <c r="Q256" s="88">
        <f t="shared" si="7"/>
        <v>4990</v>
      </c>
    </row>
    <row r="257" spans="1:17" x14ac:dyDescent="0.25">
      <c r="A257" s="101">
        <v>3</v>
      </c>
      <c r="B257" s="50">
        <v>79800000</v>
      </c>
      <c r="C257" s="20" t="s">
        <v>25</v>
      </c>
      <c r="D257" s="103">
        <v>2703030701</v>
      </c>
      <c r="E257" s="13" t="s">
        <v>229</v>
      </c>
      <c r="F257" s="23">
        <v>2100</v>
      </c>
      <c r="G257" s="24" t="s">
        <v>27</v>
      </c>
      <c r="H257" s="25">
        <v>44076</v>
      </c>
      <c r="I257" s="25">
        <v>43830</v>
      </c>
      <c r="J257" s="104"/>
      <c r="K257" s="87">
        <v>0</v>
      </c>
      <c r="L257" s="87">
        <f>IF(G257="გამ. შესყიდვა",SUMIFS('[1]გამარტივებული შესყიდვა'!L:L,'[1]გამარტივებული შესყიდვა'!K:K,B257,'[1]გამარტივებული შესყიდვა'!N:N,"გრანტი",'[1]გამარტივებული შესყიდვა'!O:O,"2703030701"),0)</f>
        <v>2100</v>
      </c>
      <c r="M257" s="87">
        <v>0</v>
      </c>
      <c r="N257" s="87">
        <f>IF(G257="კონს. ტენდერი",SUMIFS('[1]კონსოლიდირებული ტენდერი'!L:L,'[1]კონსოლიდირებული ტენდერი'!E:E,B257,'[1]კონსოლიდირებული ტენდერი'!N:N,"გრანტი",'[1]კონსოლიდირებული ტენდერი'!O:O,"2703030701"),0)</f>
        <v>0</v>
      </c>
      <c r="O257" s="87">
        <v>0</v>
      </c>
      <c r="P257" s="87">
        <f>IF(G257="ელ. ტენდერი",SUMIFS('[1]ელ. ტენდერი'!N:N,'[1]ელ. ტენდერი'!G:G,B257,'[1]ელ. ტენდერი'!Q:Q,"გრანტი",'[1]ელ. ტენდერი'!R:R,"2703030701"),0)</f>
        <v>0</v>
      </c>
      <c r="Q257" s="88">
        <f t="shared" si="7"/>
        <v>0</v>
      </c>
    </row>
  </sheetData>
  <autoFilter ref="A5:Q167"/>
  <mergeCells count="15">
    <mergeCell ref="A252:G252"/>
    <mergeCell ref="H252:J252"/>
    <mergeCell ref="A170:J170"/>
    <mergeCell ref="A171:G171"/>
    <mergeCell ref="H171:J171"/>
    <mergeCell ref="A172:G172"/>
    <mergeCell ref="H172:J172"/>
    <mergeCell ref="A251:G251"/>
    <mergeCell ref="H251:J251"/>
    <mergeCell ref="A1:J1"/>
    <mergeCell ref="A2:G2"/>
    <mergeCell ref="H2:J2"/>
    <mergeCell ref="A3:G3"/>
    <mergeCell ref="H3:J3"/>
    <mergeCell ref="A4:H4"/>
  </mergeCells>
  <hyperlinks>
    <hyperlink ref="E53" r:id="rId1" display="https://tenders.procurement.gov.ge/"/>
    <hyperlink ref="E206" r:id="rId2" display="https://tenders.procurement.gov.ge/"/>
    <hyperlink ref="E207" r:id="rId3" display="https://tenders.procurement.gov.ge/"/>
  </hyperlinks>
  <pageMargins left="0.7" right="0.7" top="0.75" bottom="0.75" header="0.3" footer="0.3"/>
  <pageSetup paperSize="9" scale="29" orientation="portrait" horizontalDpi="4294967294" verticalDpi="4294967294" r:id="rId4"/>
  <rowBreaks count="1" manualBreakCount="1">
    <brk id="1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მიმდინარე</vt:lpstr>
      <vt:lpstr>მიმდინარე!Print_Area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Rati Sakhelashvili</cp:lastModifiedBy>
  <dcterms:created xsi:type="dcterms:W3CDTF">2020-09-15T11:18:22Z</dcterms:created>
  <dcterms:modified xsi:type="dcterms:W3CDTF">2020-09-15T11:18:56Z</dcterms:modified>
</cp:coreProperties>
</file>